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7.xml" ContentType="application/vnd.openxmlformats-officedocument.spreadsheetml.comments+xml"/>
  <Override PartName="/xl/styles.xml" ContentType="application/vnd.openxmlformats-officedocument.spreadsheetml.styl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5.xml.rels" ContentType="application/vnd.openxmlformats-package.relationships+xml"/>
  <Override PartName="/xl/worksheets/_rels/sheet7.xml.rels" ContentType="application/vnd.openxmlformats-package.relationships+xml"/>
  <Override PartName="/xl/worksheets/_rels/sheet8.xml.rels" ContentType="application/vnd.openxmlformats-package.relationships+xml"/>
  <Override PartName="/xl/worksheets/_rels/sheet9.xml.rels" ContentType="application/vnd.openxmlformats-package.relationships+xml"/>
  <Override PartName="/xl/worksheets/_rels/sheet10.xml.rels" ContentType="application/vnd.openxmlformats-package.relationships+xml"/>
  <Override PartName="/xl/worksheets/_rels/sheet11.xml.rels" ContentType="application/vnd.openxmlformats-package.relationships+xml"/>
  <Override PartName="/xl/worksheets/_rels/sheet12.xml.rels" ContentType="application/vnd.openxmlformats-package.relationships+xml"/>
  <Override PartName="/xl/worksheets/_rels/sheet13.xml.rels" ContentType="application/vnd.openxmlformats-package.relationships+xml"/>
  <Override PartName="/xl/worksheets/_rels/sheet14.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omments15.xml" ContentType="application/vnd.openxmlformats-officedocument.spreadsheetml.comments+xml"/>
  <Override PartName="/xl/workbook.xml" ContentType="application/vnd.openxmlformats-officedocument.spreadsheetml.sheet.main+xml"/>
  <Override PartName="/xl/sharedStrings.xml" ContentType="application/vnd.openxmlformats-officedocument.spreadsheetml.sharedStrings+xml"/>
  <Override PartName="/xl/comments13.xml" ContentType="application/vnd.openxmlformats-officedocument.spreadsheetml.comments+xml"/>
  <Override PartName="/xl/drawings/vmlDrawing9.vml" ContentType="application/vnd.openxmlformats-officedocument.vmlDrawing"/>
  <Override PartName="/xl/drawings/vmlDrawing1.vml" ContentType="application/vnd.openxmlformats-officedocument.vmlDrawing"/>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drawings/vmlDrawing5.vml" ContentType="application/vnd.openxmlformats-officedocument.vmlDrawing"/>
  <Override PartName="/xl/drawings/vmlDrawing6.vml" ContentType="application/vnd.openxmlformats-officedocument.vmlDrawing"/>
  <Override PartName="/xl/drawings/vmlDrawing7.vml" ContentType="application/vnd.openxmlformats-officedocument.vmlDrawing"/>
  <Override PartName="/xl/drawings/vmlDrawing8.vml" ContentType="application/vnd.openxmlformats-officedocument.vmlDrawing"/>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4.xml" ContentType="application/vnd.openxmlformats-officedocument.spreadsheetml.comment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ício" sheetId="1" state="visible" r:id="rId2"/>
    <sheet name="Premissas" sheetId="2" state="visible" r:id="rId3"/>
    <sheet name="DI, Tri e Pag" sheetId="3" state="visible" r:id="rId4"/>
    <sheet name="Inv. Inicial" sheetId="4" state="visible" r:id="rId5"/>
    <sheet name="VxTxR" sheetId="5" state="visible" r:id="rId6"/>
    <sheet name="Financeiro." sheetId="6" state="visible" r:id="rId7"/>
    <sheet name="CFM" sheetId="7" state="visible" r:id="rId8"/>
    <sheet name="C. F. P. Caixa-Operador" sheetId="8" state="visible" r:id="rId9"/>
    <sheet name="C. F. P. Orient de Tráf" sheetId="9" state="visible" r:id="rId10"/>
    <sheet name="C. F. P. Supervisor" sheetId="10" state="visible" r:id="rId11"/>
    <sheet name="C. F. P. Encarregado" sheetId="11" state="visible" r:id="rId12"/>
    <sheet name="C. F. P. Vigia Diurno" sheetId="12" state="visible" r:id="rId13"/>
    <sheet name="C. F. P. Vigia Noturno" sheetId="13" state="visible" r:id="rId14"/>
    <sheet name="Custo Mensal do Veículo" sheetId="14" state="visible" r:id="rId15"/>
    <sheet name="Custo Mensal da Moto" sheetId="15" state="visible" r:id="rId16"/>
  </sheets>
  <definedNames>
    <definedName function="false" hidden="false" localSheetId="7" name="_xlnm.Print_Area" vbProcedure="false">'C. F. P. Caixa-Operador'!$A:$J</definedName>
    <definedName function="false" hidden="false" localSheetId="7" name="_xlnm.Print_Titles" vbProcedure="false">'C. F. P. Caixa-Operador'!$1:$11</definedName>
    <definedName function="false" hidden="false" localSheetId="10" name="_xlnm.Print_Area" vbProcedure="false">'C. F. P. Encarregado'!$A:$J</definedName>
    <definedName function="false" hidden="false" localSheetId="10" name="_xlnm.Print_Titles" vbProcedure="false">'C. F. P. Encarregado'!$1:$11</definedName>
    <definedName function="false" hidden="false" localSheetId="8" name="_xlnm.Print_Area" vbProcedure="false">'C. F. P. Orient de Tráf'!$A:$J</definedName>
    <definedName function="false" hidden="false" localSheetId="8" name="_xlnm.Print_Titles" vbProcedure="false">'C. F. P. Orient de Tráf'!$1:$11</definedName>
    <definedName function="false" hidden="false" localSheetId="9" name="_xlnm.Print_Area" vbProcedure="false">'C. F. P. Supervisor'!$A:$J</definedName>
    <definedName function="false" hidden="false" localSheetId="9" name="_xlnm.Print_Titles" vbProcedure="false">'C. F. P. Supervisor'!$1:$11</definedName>
    <definedName function="false" hidden="false" localSheetId="11" name="_xlnm.Print_Area" vbProcedure="false">'C. F. P. Vigia Diurno'!$A:$J</definedName>
    <definedName function="false" hidden="false" localSheetId="11" name="_xlnm.Print_Titles" vbProcedure="false">'C. F. P. Vigia Diurno'!$1:$11</definedName>
    <definedName function="false" hidden="false" localSheetId="12" name="_xlnm.Print_Area" vbProcedure="false">'C. F. P. Vigia Noturno'!$A:$J</definedName>
    <definedName function="false" hidden="false" localSheetId="12" name="_xlnm.Print_Titles" vbProcedure="false">'C. F. P. Vigia Noturno'!$1:$11</definedName>
    <definedName function="false" hidden="false" localSheetId="6" name="_xlnm.Print_Area" vbProcedure="false">CFM!$A:$J</definedName>
    <definedName function="false" hidden="false" localSheetId="6" name="_xlnm.Print_Titles" vbProcedure="false">CFM!$1:$11</definedName>
    <definedName function="false" hidden="false" localSheetId="14" name="_xlnm.Print_Area" vbProcedure="false">'Custo Mensal da Moto'!$A:$J</definedName>
    <definedName function="false" hidden="false" localSheetId="14" name="_xlnm.Print_Titles" vbProcedure="false">'Custo Mensal da Moto'!$1:$10</definedName>
    <definedName function="false" hidden="false" localSheetId="13" name="_xlnm.Print_Area" vbProcedure="false">'Custo Mensal do Veículo'!$A:$J</definedName>
    <definedName function="false" hidden="false" localSheetId="13" name="_xlnm.Print_Titles" vbProcedure="false">'Custo Mensal do Veículo'!$1:$10</definedName>
    <definedName function="false" hidden="false" localSheetId="2" name="_xlnm.Print_Area" vbProcedure="false">'DI, Tri e Pag'!$A:$J</definedName>
    <definedName function="false" hidden="false" localSheetId="2" name="_xlnm.Print_Titles" vbProcedure="false">'DI, Tri e Pag'!$1:$7</definedName>
    <definedName function="false" hidden="false" localSheetId="5" name="_xlnm.Print_Area" vbProcedure="false">'Financeiro.'!$A:$N</definedName>
    <definedName function="false" hidden="false" localSheetId="5" name="_xlnm.Print_Titles" vbProcedure="false">'Financeiro.'!$1:$8</definedName>
    <definedName function="false" hidden="false" localSheetId="0" name="_xlnm.Print_Area" vbProcedure="false">Início!$A:$J</definedName>
    <definedName function="false" hidden="false" localSheetId="0" name="_xlnm.Print_Titles" vbProcedure="false">Início!$1:$7</definedName>
    <definedName function="false" hidden="false" localSheetId="3" name="_xlnm.Print_Area" vbProcedure="false">'Inv. Inicial'!$A:$J</definedName>
    <definedName function="false" hidden="false" localSheetId="3" name="_xlnm.Print_Titles" vbProcedure="false">'Inv. Inicial'!$1:$7</definedName>
    <definedName function="false" hidden="false" localSheetId="1" name="_xlnm.Print_Area" vbProcedure="false">Premissas!$A:$J</definedName>
    <definedName function="false" hidden="false" localSheetId="1" name="_xlnm.Print_Titles" vbProcedure="false">Premissas!$1:$7</definedName>
    <definedName function="false" hidden="false" localSheetId="4" name="_xlnm.Print_Area" vbProcedure="false">VxTxR!$A:$J</definedName>
    <definedName function="false" hidden="false" localSheetId="4" name="_xlnm.Print_Titles" vbProcedure="false">VxTxR!$1:$8</definedName>
    <definedName function="false" hidden="false" name="CFM" vbProcedure="false">CFM!$I$70:$J$75</definedName>
    <definedName function="false" hidden="false" name="Jan_Abril" vbProcedure="false">Premissas!$A$28:$B$31</definedName>
    <definedName function="false" hidden="false" name="Mai_Ago" vbProcedure="false">Premissas!$C$28:$D$31</definedName>
    <definedName function="false" hidden="false" name="PM" vbProcedure="false">'Inv. Inicial'!$A$52:$F$57</definedName>
    <definedName function="false" hidden="false" name="Set_Dez" vbProcedure="false">Premissas!$E$28:$F$31</definedName>
    <definedName function="false" hidden="false" name="tab_pre" vbProcedure="false">Premissas!$A$38:$F$42</definedName>
    <definedName function="false" hidden="false" name="v_t_r" vbProcedure="false">VxTxR!$A$10:$J$69</definedName>
    <definedName function="false" hidden="false" localSheetId="0" name="Jan_Abril" vbProcedure="false">início!#REF!</definedName>
    <definedName function="false" hidden="false" localSheetId="0" name="Mai_Ago" vbProcedure="false">início!#REF!</definedName>
    <definedName function="false" hidden="false" localSheetId="0" name="Set_Dez" vbProcedure="false">início!#REF!</definedName>
    <definedName function="false" hidden="false" localSheetId="0" name="tab_pre" vbProcedure="false">início!#REF!</definedName>
    <definedName function="false" hidden="false" localSheetId="0" name="_xlnm.Print_Area" vbProcedure="false">Início!$A:$J</definedName>
    <definedName function="false" hidden="false" localSheetId="0" name="_xlnm.Print_Titles" vbProcedure="false">Início!$1:$7</definedName>
    <definedName function="false" hidden="false" localSheetId="1" name="_xlnm.Print_Area" vbProcedure="false">Premissas!$A:$J</definedName>
    <definedName function="false" hidden="false" localSheetId="1" name="_xlnm.Print_Titles" vbProcedure="false">Premissas!$1:$7</definedName>
    <definedName function="false" hidden="false" localSheetId="2" name="_xlnm.Print_Area" vbProcedure="false">'DI, Tri e Pag'!$A:$J</definedName>
    <definedName function="false" hidden="false" localSheetId="2" name="_xlnm.Print_Titles" vbProcedure="false">'DI, Tri e Pag'!$1:$7</definedName>
    <definedName function="false" hidden="false" localSheetId="3" name="_xlnm.Print_Area" vbProcedure="false">'Inv. Inicial'!$A:$J</definedName>
    <definedName function="false" hidden="false" localSheetId="3" name="_xlnm.Print_Titles" vbProcedure="false">'Inv. Inicial'!$1:$7</definedName>
    <definedName function="false" hidden="false" localSheetId="4" name="_xlnm.Print_Area" vbProcedure="false">VxTxR!$A:$J</definedName>
    <definedName function="false" hidden="false" localSheetId="4" name="_xlnm.Print_Titles" vbProcedure="false">VxTxR!$1:$8</definedName>
    <definedName function="false" hidden="false" localSheetId="4" name="_xlnm._FilterDatabase" vbProcedure="false">VxTxR!$A$22:$A$33</definedName>
    <definedName function="false" hidden="false" localSheetId="5" name="_xlnm.Print_Area" vbProcedure="false">'Financeiro.'!$A:$N</definedName>
    <definedName function="false" hidden="false" localSheetId="5" name="_xlnm.Print_Titles" vbProcedure="false">'Financeiro.'!$1:$8</definedName>
    <definedName function="false" hidden="false" localSheetId="5" name="_xlnm._FilterDatabase" vbProcedure="false">'Financeiro.'!$O$24:$O$35</definedName>
    <definedName function="false" hidden="false" localSheetId="6" name="_xlnm.Print_Area" vbProcedure="false">CFM!$A:$J</definedName>
    <definedName function="false" hidden="false" localSheetId="6" name="_xlnm.Print_Titles" vbProcedure="false">CFM!$1:$11</definedName>
    <definedName function="false" hidden="false" localSheetId="7" name="_xlnm.Print_Area" vbProcedure="false">'C. F. P. Caixa-Operador'!$A:$J</definedName>
    <definedName function="false" hidden="false" localSheetId="7" name="_xlnm.Print_Titles" vbProcedure="false">'C. F. P. Caixa-Operador'!$1:$11</definedName>
    <definedName function="false" hidden="false" localSheetId="8" name="_xlnm.Print_Area" vbProcedure="false">'C. F. P. Orient de Tráf'!$A:$J</definedName>
    <definedName function="false" hidden="false" localSheetId="8" name="_xlnm.Print_Titles" vbProcedure="false">'C. F. P. Orient de Tráf'!$1:$11</definedName>
    <definedName function="false" hidden="false" localSheetId="9" name="_xlnm.Print_Area" vbProcedure="false">'C. F. P. Supervisor'!$A:$J</definedName>
    <definedName function="false" hidden="false" localSheetId="9" name="_xlnm.Print_Titles" vbProcedure="false">'C. F. P. Supervisor'!$1:$11</definedName>
    <definedName function="false" hidden="false" localSheetId="10" name="_xlnm.Print_Area" vbProcedure="false">'C. F. P. Encarregado'!$A:$J</definedName>
    <definedName function="false" hidden="false" localSheetId="10" name="_xlnm.Print_Titles" vbProcedure="false">'C. F. P. Encarregado'!$1:$11</definedName>
    <definedName function="false" hidden="false" localSheetId="11" name="_xlnm.Print_Area" vbProcedure="false">'C. F. P. Vigia Diurno'!$A:$J</definedName>
    <definedName function="false" hidden="false" localSheetId="11" name="_xlnm.Print_Titles" vbProcedure="false">'C. F. P. Vigia Diurno'!$1:$11</definedName>
    <definedName function="false" hidden="false" localSheetId="12" name="_xlnm.Print_Area" vbProcedure="false">'C. F. P. Vigia Noturno'!$A:$J</definedName>
    <definedName function="false" hidden="false" localSheetId="12" name="_xlnm.Print_Titles" vbProcedure="false">'C. F. P. Vigia Noturno'!$1:$11</definedName>
    <definedName function="false" hidden="false" localSheetId="13" name="_xlnm.Print_Area" vbProcedure="false">'Custo Mensal do Veículo'!$A:$J</definedName>
    <definedName function="false" hidden="false" localSheetId="13" name="_xlnm.Print_Titles" vbProcedure="false">'Custo Mensal do Veículo'!$1:$10</definedName>
    <definedName function="false" hidden="false" localSheetId="14" name="_xlnm.Print_Area" vbProcedure="false">'Custo Mensal da Moto'!$A:$J</definedName>
    <definedName function="false" hidden="false" localSheetId="14" name="_xlnm.Print_Titles" vbProcedure="false">'Custo Mensal da Moto'!$1:$10</definedName>
  </definedNames>
  <calcPr iterateCount="100" refMode="A1" iterate="false" iterateDelta="0.0001"/>
  <extLst>
    <ext xmlns:loext="http://schemas.libreoffice.org/" uri="{7626C862-2A13-11E5-B345-FEFF819CDC9F}">
      <loext:extCalcPr stringRefSyntax="ExcelA1"/>
    </ext>
  </extLst>
</workbook>
</file>

<file path=xl/comments10.xml><?xml version="1.0" encoding="utf-8"?>
<comments xmlns="http://schemas.openxmlformats.org/spreadsheetml/2006/main" xmlns:xdr="http://schemas.openxmlformats.org/drawingml/2006/spreadsheetDrawing">
  <authors>
    <author/>
  </authors>
  <commentList>
    <comment ref="B34" authorId="0">
      <text>
        <r>
          <rPr>
            <sz val="9"/>
            <color rgb="FF000000"/>
            <rFont val="Times New Roman"/>
            <family val="0"/>
            <charset val="1"/>
          </rPr>
          <t xml:space="preserve">Apresentar nova referência caso altere o valor do salário base.</t>
        </r>
      </text>
    </comment>
    <comment ref="B42" authorId="0">
      <text>
        <r>
          <rPr>
            <sz val="9"/>
            <color rgb="FF000000"/>
            <rFont val="Times New Roman"/>
            <family val="0"/>
            <charset val="1"/>
          </rPr>
          <t xml:space="preserve">Apresentar nova referência caso altere o valor do transporte.</t>
        </r>
      </text>
    </comment>
    <comment ref="B43" authorId="0">
      <text>
        <r>
          <rPr>
            <sz val="9"/>
            <color rgb="FF000000"/>
            <rFont val="Times New Roman"/>
            <family val="0"/>
            <charset val="1"/>
          </rPr>
          <t xml:space="preserve">Apresentar nova referência caso altere o valor do transporte.</t>
        </r>
      </text>
    </comment>
    <comment ref="B44" authorId="0">
      <text>
        <r>
          <rPr>
            <sz val="9"/>
            <color rgb="FF000000"/>
            <rFont val="Times New Roman"/>
            <family val="0"/>
            <charset val="1"/>
          </rPr>
          <t xml:space="preserve">Apresentar novo memorial de cálculo caso altere o valor do transporte.</t>
        </r>
      </text>
    </comment>
    <comment ref="B85" authorId="0">
      <text>
        <r>
          <rPr>
            <sz val="9"/>
            <color rgb="FF000000"/>
            <rFont val="Times New Roman"/>
            <family val="0"/>
            <charset val="1"/>
          </rPr>
          <t xml:space="preserve">Apresentar nova referência caso altere a taxa de Risco Ambienlat do Trabalho.</t>
        </r>
      </text>
    </comment>
    <comment ref="B86" authorId="0">
      <text>
        <r>
          <rPr>
            <sz val="9"/>
            <color rgb="FF000000"/>
            <rFont val="Times New Roman"/>
            <family val="0"/>
            <charset val="1"/>
          </rPr>
          <t xml:space="preserve">Apresentar novo memorial de cálculo caso altere a taxa de Risco Ambiental do Trabalho.</t>
        </r>
      </text>
    </comment>
    <comment ref="B102" authorId="0">
      <text>
        <r>
          <rPr>
            <sz val="9"/>
            <color rgb="FF000000"/>
            <rFont val="Times New Roman"/>
            <family val="0"/>
            <charset val="1"/>
          </rPr>
          <t xml:space="preserve">Apresentar nova referência caso altere a taxa do afastamento maternidade.</t>
        </r>
      </text>
    </comment>
    <comment ref="B103" authorId="0">
      <text>
        <r>
          <rPr>
            <sz val="9"/>
            <color rgb="FF000000"/>
            <rFont val="Times New Roman"/>
            <family val="0"/>
            <charset val="1"/>
          </rPr>
          <t xml:space="preserve">Apresentar nova referência caso altere a taxa do afastamento maternidade.</t>
        </r>
      </text>
    </comment>
    <comment ref="B104" authorId="0">
      <text>
        <r>
          <rPr>
            <sz val="9"/>
            <color rgb="FF000000"/>
            <rFont val="Times New Roman"/>
            <family val="0"/>
            <charset val="1"/>
          </rPr>
          <t xml:space="preserve">Apresentar novo memorial de cálculo caso altere a taxa do afastamento maternidade.</t>
        </r>
      </text>
    </comment>
    <comment ref="B111" authorId="0">
      <text>
        <r>
          <rPr>
            <sz val="9"/>
            <color rgb="FF000000"/>
            <rFont val="Times New Roman"/>
            <family val="0"/>
            <charset val="1"/>
          </rPr>
          <t xml:space="preserve">Apresentar nova referência caso altere a taxa do aviso prévio indenizado.</t>
        </r>
      </text>
    </comment>
    <comment ref="B112" authorId="0">
      <text>
        <r>
          <rPr>
            <sz val="9"/>
            <color rgb="FF000000"/>
            <rFont val="Times New Roman"/>
            <family val="0"/>
            <charset val="1"/>
          </rPr>
          <t xml:space="preserve">Apresentar nova referência caso altere a taxa do aviso prévio indenizado.</t>
        </r>
      </text>
    </comment>
    <comment ref="B113" authorId="0">
      <text>
        <r>
          <rPr>
            <sz val="9"/>
            <color rgb="FF000000"/>
            <rFont val="Times New Roman"/>
            <family val="0"/>
            <charset val="1"/>
          </rPr>
          <t xml:space="preserve">Apresentar nova referência caso altere a taxa do aviso prévio indenizado.</t>
        </r>
      </text>
    </comment>
    <comment ref="B118" authorId="0">
      <text>
        <r>
          <rPr>
            <sz val="9"/>
            <color rgb="FF000000"/>
            <rFont val="Times New Roman"/>
            <family val="0"/>
            <charset val="1"/>
          </rPr>
          <t xml:space="preserve">Apresentar nova referência caso altere a taxa da multa do aviso prévio indenizado.</t>
        </r>
      </text>
    </comment>
    <comment ref="B119" authorId="0">
      <text>
        <r>
          <rPr>
            <sz val="9"/>
            <color rgb="FF000000"/>
            <rFont val="Times New Roman"/>
            <family val="0"/>
            <charset val="1"/>
          </rPr>
          <t xml:space="preserve">Apresentar novo memorial de cálculo caso altere a taxa da multa do aviso prévio indenizado.
</t>
        </r>
      </text>
    </comment>
    <comment ref="B121" authorId="0">
      <text>
        <r>
          <rPr>
            <sz val="9"/>
            <color rgb="FF000000"/>
            <rFont val="Times New Roman"/>
            <family val="0"/>
            <charset val="1"/>
          </rPr>
          <t xml:space="preserve">Apresentar nova referência caso altere a taxa do aviso prévio trabalhado.</t>
        </r>
      </text>
    </comment>
    <comment ref="B122" authorId="0">
      <text>
        <r>
          <rPr>
            <sz val="9"/>
            <color rgb="FF000000"/>
            <rFont val="Times New Roman"/>
            <family val="0"/>
            <charset val="1"/>
          </rPr>
          <t xml:space="preserve">Apresentar novo memorial de cálculo caso altere a taxa do aviso prévio trabalhado.</t>
        </r>
      </text>
    </comment>
    <comment ref="B124" authorId="0">
      <text>
        <r>
          <rPr>
            <sz val="9"/>
            <color rgb="FF000000"/>
            <rFont val="Times New Roman"/>
            <family val="0"/>
            <charset val="1"/>
          </rPr>
          <t xml:space="preserve">Apresentar novo memorial de cálculo caso altere a taxa de multa do FGTS aviso prévio trabalhado.</t>
        </r>
      </text>
    </comment>
    <comment ref="B137" authorId="0">
      <text>
        <r>
          <rPr>
            <sz val="9"/>
            <color rgb="FF000000"/>
            <rFont val="Times New Roman"/>
            <family val="0"/>
            <charset val="1"/>
          </rPr>
          <t xml:space="preserve">Apresentar nova referência caso altere a taxa do auxílio doença.</t>
        </r>
      </text>
    </comment>
    <comment ref="B138" authorId="0">
      <text>
        <r>
          <rPr>
            <sz val="9"/>
            <color rgb="FF000000"/>
            <rFont val="Times New Roman"/>
            <family val="0"/>
            <charset val="1"/>
          </rPr>
          <t xml:space="preserve">Apresentar novo memorial de cálculo caso altere a taxa do auxílio doença.</t>
        </r>
      </text>
    </comment>
    <comment ref="B140" authorId="0">
      <text>
        <r>
          <rPr>
            <sz val="9"/>
            <color rgb="FF000000"/>
            <rFont val="Times New Roman"/>
            <family val="0"/>
            <charset val="1"/>
          </rPr>
          <t xml:space="preserve">Apresentar nova referência caso altere a taxa de licença paternidade.</t>
        </r>
      </text>
    </comment>
    <comment ref="B141" authorId="0">
      <text>
        <r>
          <rPr>
            <sz val="9"/>
            <color rgb="FF000000"/>
            <rFont val="Times New Roman"/>
            <family val="0"/>
            <charset val="1"/>
          </rPr>
          <t xml:space="preserve">Apresentar memorial de cálculo caso altere a taxa de licença paternidade.</t>
        </r>
      </text>
    </comment>
    <comment ref="B143" authorId="0">
      <text>
        <r>
          <rPr>
            <sz val="9"/>
            <color rgb="FF000000"/>
            <rFont val="Times New Roman"/>
            <family val="0"/>
            <charset val="1"/>
          </rPr>
          <t xml:space="preserve">Apresentar nova referência caso altere a taxa de ausências legais.</t>
        </r>
      </text>
    </comment>
    <comment ref="B144" authorId="0">
      <text>
        <r>
          <rPr>
            <sz val="9"/>
            <color rgb="FF000000"/>
            <rFont val="Times New Roman"/>
            <family val="0"/>
            <charset val="1"/>
          </rPr>
          <t xml:space="preserve">Apresentar novo memorial de cálculo caso altere a taxa de ausências legais.</t>
        </r>
      </text>
    </comment>
    <comment ref="B146" authorId="0">
      <text>
        <r>
          <rPr>
            <sz val="9"/>
            <color rgb="FF000000"/>
            <rFont val="Times New Roman"/>
            <family val="0"/>
            <charset val="1"/>
          </rPr>
          <t xml:space="preserve">Apresentar nova referência caso altere a taxa de ausência por acidente de trabalho.</t>
        </r>
      </text>
    </comment>
    <comment ref="B147" authorId="0">
      <text>
        <r>
          <rPr>
            <sz val="9"/>
            <color rgb="FF000000"/>
            <rFont val="Times New Roman"/>
            <family val="0"/>
            <charset val="1"/>
          </rPr>
          <t xml:space="preserve">Apresentar novo memorial de cálculo caso altere a taxa de ausência por acidente de trabalho.</t>
        </r>
      </text>
    </comment>
  </commentList>
</comments>
</file>

<file path=xl/comments11.xml><?xml version="1.0" encoding="utf-8"?>
<comments xmlns="http://schemas.openxmlformats.org/spreadsheetml/2006/main" xmlns:xdr="http://schemas.openxmlformats.org/drawingml/2006/spreadsheetDrawing">
  <authors>
    <author/>
  </authors>
  <commentList>
    <comment ref="B34" authorId="0">
      <text>
        <r>
          <rPr>
            <sz val="9"/>
            <color rgb="FF000000"/>
            <rFont val="Times New Roman"/>
            <family val="0"/>
            <charset val="1"/>
          </rPr>
          <t xml:space="preserve">Apresentar nova referência caso altere o valor do salário base.</t>
        </r>
      </text>
    </comment>
    <comment ref="B42" authorId="0">
      <text>
        <r>
          <rPr>
            <sz val="9"/>
            <color rgb="FF000000"/>
            <rFont val="Times New Roman"/>
            <family val="0"/>
            <charset val="1"/>
          </rPr>
          <t xml:space="preserve">Apresentar nova referência caso altere o valor do transporte.</t>
        </r>
      </text>
    </comment>
    <comment ref="B43" authorId="0">
      <text>
        <r>
          <rPr>
            <sz val="9"/>
            <color rgb="FF000000"/>
            <rFont val="Times New Roman"/>
            <family val="0"/>
            <charset val="1"/>
          </rPr>
          <t xml:space="preserve">Apresentar nova referência caso altere o valor do transporte.</t>
        </r>
      </text>
    </comment>
    <comment ref="B44" authorId="0">
      <text>
        <r>
          <rPr>
            <sz val="9"/>
            <color rgb="FF000000"/>
            <rFont val="Times New Roman"/>
            <family val="0"/>
            <charset val="1"/>
          </rPr>
          <t xml:space="preserve">Apresentar novo memorial de cálculo caso altere o valor do transporte.</t>
        </r>
      </text>
    </comment>
    <comment ref="B85" authorId="0">
      <text>
        <r>
          <rPr>
            <sz val="9"/>
            <color rgb="FF000000"/>
            <rFont val="Times New Roman"/>
            <family val="0"/>
            <charset val="1"/>
          </rPr>
          <t xml:space="preserve">Apresentar nova referência caso altere a taxa de Risco Ambienlat do Trabalho.</t>
        </r>
      </text>
    </comment>
    <comment ref="B86" authorId="0">
      <text>
        <r>
          <rPr>
            <sz val="9"/>
            <color rgb="FF000000"/>
            <rFont val="Times New Roman"/>
            <family val="0"/>
            <charset val="1"/>
          </rPr>
          <t xml:space="preserve">Apresentar novo memorial de cálculo caso altere a taxa de Risco Ambiental do Trabalho.</t>
        </r>
      </text>
    </comment>
    <comment ref="B102" authorId="0">
      <text>
        <r>
          <rPr>
            <sz val="9"/>
            <color rgb="FF000000"/>
            <rFont val="Times New Roman"/>
            <family val="0"/>
            <charset val="1"/>
          </rPr>
          <t xml:space="preserve">Apresentar nova referência caso altere a taxa do afastamento maternidade.</t>
        </r>
      </text>
    </comment>
    <comment ref="B103" authorId="0">
      <text>
        <r>
          <rPr>
            <sz val="9"/>
            <color rgb="FF000000"/>
            <rFont val="Times New Roman"/>
            <family val="0"/>
            <charset val="1"/>
          </rPr>
          <t xml:space="preserve">Apresentar nova referência caso altere a taxa do afastamento maternidade.</t>
        </r>
      </text>
    </comment>
    <comment ref="B104" authorId="0">
      <text>
        <r>
          <rPr>
            <sz val="9"/>
            <color rgb="FF000000"/>
            <rFont val="Times New Roman"/>
            <family val="0"/>
            <charset val="1"/>
          </rPr>
          <t xml:space="preserve">Apresentar novo memorial de cálculo caso altere a taxa do afastamento maternidade.</t>
        </r>
      </text>
    </comment>
    <comment ref="B111" authorId="0">
      <text>
        <r>
          <rPr>
            <sz val="9"/>
            <color rgb="FF000000"/>
            <rFont val="Times New Roman"/>
            <family val="0"/>
            <charset val="1"/>
          </rPr>
          <t xml:space="preserve">Apresentar nova referência caso altere a taxa do aviso prévio indenizado.</t>
        </r>
      </text>
    </comment>
    <comment ref="B112" authorId="0">
      <text>
        <r>
          <rPr>
            <sz val="9"/>
            <color rgb="FF000000"/>
            <rFont val="Times New Roman"/>
            <family val="0"/>
            <charset val="1"/>
          </rPr>
          <t xml:space="preserve">Apresentar nova referência caso altere a taxa do aviso prévio indenizado.</t>
        </r>
      </text>
    </comment>
    <comment ref="B113" authorId="0">
      <text>
        <r>
          <rPr>
            <sz val="9"/>
            <color rgb="FF000000"/>
            <rFont val="Times New Roman"/>
            <family val="0"/>
            <charset val="1"/>
          </rPr>
          <t xml:space="preserve">Apresentar nova referência caso altere a taxa do aviso prévio indenizado.</t>
        </r>
      </text>
    </comment>
    <comment ref="B118" authorId="0">
      <text>
        <r>
          <rPr>
            <sz val="9"/>
            <color rgb="FF000000"/>
            <rFont val="Times New Roman"/>
            <family val="0"/>
            <charset val="1"/>
          </rPr>
          <t xml:space="preserve">Apresentar nova referência caso altere a taxa da multa do aviso prévio indenizado.</t>
        </r>
      </text>
    </comment>
    <comment ref="B119" authorId="0">
      <text>
        <r>
          <rPr>
            <sz val="9"/>
            <color rgb="FF000000"/>
            <rFont val="Times New Roman"/>
            <family val="0"/>
            <charset val="1"/>
          </rPr>
          <t xml:space="preserve">Apresentar novo memorial de cálculo caso altere a taxa da multa do aviso prévio indenizado.
</t>
        </r>
      </text>
    </comment>
    <comment ref="B121" authorId="0">
      <text>
        <r>
          <rPr>
            <sz val="9"/>
            <color rgb="FF000000"/>
            <rFont val="Times New Roman"/>
            <family val="0"/>
            <charset val="1"/>
          </rPr>
          <t xml:space="preserve">Apresentar nova referência caso altere a taxa do aviso prévio trabalhado.</t>
        </r>
      </text>
    </comment>
    <comment ref="B122" authorId="0">
      <text>
        <r>
          <rPr>
            <sz val="9"/>
            <color rgb="FF000000"/>
            <rFont val="Times New Roman"/>
            <family val="0"/>
            <charset val="1"/>
          </rPr>
          <t xml:space="preserve">Apresentar novo memorial de cálculo caso altere a taxa do aviso prévio trabalhado.</t>
        </r>
      </text>
    </comment>
    <comment ref="B124" authorId="0">
      <text>
        <r>
          <rPr>
            <sz val="9"/>
            <color rgb="FF000000"/>
            <rFont val="Times New Roman"/>
            <family val="0"/>
            <charset val="1"/>
          </rPr>
          <t xml:space="preserve">Apresentar novo memorial de cálculo caso altere a taxa de multa do FGTS aviso prévio trabalhado.</t>
        </r>
      </text>
    </comment>
    <comment ref="B137" authorId="0">
      <text>
        <r>
          <rPr>
            <sz val="9"/>
            <color rgb="FF000000"/>
            <rFont val="Times New Roman"/>
            <family val="0"/>
            <charset val="1"/>
          </rPr>
          <t xml:space="preserve">Apresentar nova referência caso altere a taxa do auxílio doença.</t>
        </r>
      </text>
    </comment>
    <comment ref="B138" authorId="0">
      <text>
        <r>
          <rPr>
            <sz val="9"/>
            <color rgb="FF000000"/>
            <rFont val="Times New Roman"/>
            <family val="0"/>
            <charset val="1"/>
          </rPr>
          <t xml:space="preserve">Apresentar novo memorial de cálculo caso altere a taxa do auxílio doença.</t>
        </r>
      </text>
    </comment>
    <comment ref="B140" authorId="0">
      <text>
        <r>
          <rPr>
            <sz val="9"/>
            <color rgb="FF000000"/>
            <rFont val="Times New Roman"/>
            <family val="0"/>
            <charset val="1"/>
          </rPr>
          <t xml:space="preserve">Apresentar nova referência caso altere a taxa de licença paternidade.</t>
        </r>
      </text>
    </comment>
    <comment ref="B141" authorId="0">
      <text>
        <r>
          <rPr>
            <sz val="9"/>
            <color rgb="FF000000"/>
            <rFont val="Times New Roman"/>
            <family val="0"/>
            <charset val="1"/>
          </rPr>
          <t xml:space="preserve">Apresentar memorial de cálculo caso altere a taxa de licença paternidade.</t>
        </r>
      </text>
    </comment>
    <comment ref="B143" authorId="0">
      <text>
        <r>
          <rPr>
            <sz val="9"/>
            <color rgb="FF000000"/>
            <rFont val="Times New Roman"/>
            <family val="0"/>
            <charset val="1"/>
          </rPr>
          <t xml:space="preserve">Apresentar nova referência caso altere a taxa de ausências legais.</t>
        </r>
      </text>
    </comment>
    <comment ref="B144" authorId="0">
      <text>
        <r>
          <rPr>
            <sz val="9"/>
            <color rgb="FF000000"/>
            <rFont val="Times New Roman"/>
            <family val="0"/>
            <charset val="1"/>
          </rPr>
          <t xml:space="preserve">Apresentar novo memorial de cálculo caso altere a taxa de ausências legais.</t>
        </r>
      </text>
    </comment>
    <comment ref="B146" authorId="0">
      <text>
        <r>
          <rPr>
            <sz val="9"/>
            <color rgb="FF000000"/>
            <rFont val="Times New Roman"/>
            <family val="0"/>
            <charset val="1"/>
          </rPr>
          <t xml:space="preserve">Apresentar nova referência caso altere a taxa de ausência por acidente de trabalho.</t>
        </r>
      </text>
    </comment>
    <comment ref="B147" authorId="0">
      <text>
        <r>
          <rPr>
            <sz val="9"/>
            <color rgb="FF000000"/>
            <rFont val="Times New Roman"/>
            <family val="0"/>
            <charset val="1"/>
          </rPr>
          <t xml:space="preserve">Apresentar novo memorial de cálculo caso altere a taxa de ausência por acidente de trabalho.</t>
        </r>
      </text>
    </comment>
  </commentList>
</comments>
</file>

<file path=xl/comments12.xml><?xml version="1.0" encoding="utf-8"?>
<comments xmlns="http://schemas.openxmlformats.org/spreadsheetml/2006/main" xmlns:xdr="http://schemas.openxmlformats.org/drawingml/2006/spreadsheetDrawing">
  <authors>
    <author/>
  </authors>
  <commentList>
    <comment ref="B34" authorId="0">
      <text>
        <r>
          <rPr>
            <sz val="9"/>
            <color rgb="FF000000"/>
            <rFont val="Times New Roman"/>
            <family val="0"/>
            <charset val="1"/>
          </rPr>
          <t xml:space="preserve">Apresentar nova referência caso altere o valor do salário base.</t>
        </r>
      </text>
    </comment>
    <comment ref="B42" authorId="0">
      <text>
        <r>
          <rPr>
            <sz val="9"/>
            <color rgb="FF000000"/>
            <rFont val="Times New Roman"/>
            <family val="0"/>
            <charset val="1"/>
          </rPr>
          <t xml:space="preserve">Apresentar nova referência caso altere o valor do transporte.</t>
        </r>
      </text>
    </comment>
    <comment ref="B43" authorId="0">
      <text>
        <r>
          <rPr>
            <sz val="9"/>
            <color rgb="FF000000"/>
            <rFont val="Times New Roman"/>
            <family val="0"/>
            <charset val="1"/>
          </rPr>
          <t xml:space="preserve">Apresentar nova referência caso altere o valor do transporte.</t>
        </r>
      </text>
    </comment>
    <comment ref="B44" authorId="0">
      <text>
        <r>
          <rPr>
            <sz val="9"/>
            <color rgb="FF000000"/>
            <rFont val="Times New Roman"/>
            <family val="0"/>
            <charset val="1"/>
          </rPr>
          <t xml:space="preserve">Apresentar novo memorial de cálculo caso altere o valor do transporte.</t>
        </r>
      </text>
    </comment>
    <comment ref="B111" authorId="0">
      <text>
        <r>
          <rPr>
            <sz val="9"/>
            <color rgb="FF000000"/>
            <rFont val="Times New Roman"/>
            <family val="0"/>
            <charset val="1"/>
          </rPr>
          <t xml:space="preserve">Apresentar nova referência caso altere a taxa de Risco Ambienlat do Trabalho.</t>
        </r>
      </text>
    </comment>
    <comment ref="B112" authorId="0">
      <text>
        <r>
          <rPr>
            <sz val="9"/>
            <color rgb="FF000000"/>
            <rFont val="Times New Roman"/>
            <family val="0"/>
            <charset val="1"/>
          </rPr>
          <t xml:space="preserve">Apresentar novo memorial de cálculo caso altere a taxa de Risco Ambiental do Trabalho.</t>
        </r>
      </text>
    </comment>
    <comment ref="B128" authorId="0">
      <text>
        <r>
          <rPr>
            <sz val="9"/>
            <color rgb="FF000000"/>
            <rFont val="Times New Roman"/>
            <family val="0"/>
            <charset val="1"/>
          </rPr>
          <t xml:space="preserve">Apresentar nova referência caso altere a taxa do afastamento maternidade.</t>
        </r>
      </text>
    </comment>
    <comment ref="B129" authorId="0">
      <text>
        <r>
          <rPr>
            <sz val="9"/>
            <color rgb="FF000000"/>
            <rFont val="Times New Roman"/>
            <family val="0"/>
            <charset val="1"/>
          </rPr>
          <t xml:space="preserve">Apresentar nova referência caso altere a taxa do afastamento maternidade.</t>
        </r>
      </text>
    </comment>
    <comment ref="B130" authorId="0">
      <text>
        <r>
          <rPr>
            <sz val="9"/>
            <color rgb="FF000000"/>
            <rFont val="Times New Roman"/>
            <family val="0"/>
            <charset val="1"/>
          </rPr>
          <t xml:space="preserve">Apresentar novo memorial de cálculo caso altere a taxa do afastamento maternidade.</t>
        </r>
      </text>
    </comment>
    <comment ref="B137" authorId="0">
      <text>
        <r>
          <rPr>
            <sz val="9"/>
            <color rgb="FF000000"/>
            <rFont val="Times New Roman"/>
            <family val="0"/>
            <charset val="1"/>
          </rPr>
          <t xml:space="preserve">Apresentar nova referência caso altere a taxa do aviso prévio indenizado.</t>
        </r>
      </text>
    </comment>
    <comment ref="B138" authorId="0">
      <text>
        <r>
          <rPr>
            <sz val="9"/>
            <color rgb="FF000000"/>
            <rFont val="Times New Roman"/>
            <family val="0"/>
            <charset val="1"/>
          </rPr>
          <t xml:space="preserve">Apresentar nova referência caso altere a taxa do aviso prévio indenizado.</t>
        </r>
      </text>
    </comment>
    <comment ref="B139" authorId="0">
      <text>
        <r>
          <rPr>
            <sz val="9"/>
            <color rgb="FF000000"/>
            <rFont val="Times New Roman"/>
            <family val="0"/>
            <charset val="1"/>
          </rPr>
          <t xml:space="preserve">Apresentar nova referência caso altere a taxa do aviso prévio indenizado.</t>
        </r>
      </text>
    </comment>
    <comment ref="B144" authorId="0">
      <text>
        <r>
          <rPr>
            <sz val="9"/>
            <color rgb="FF000000"/>
            <rFont val="Times New Roman"/>
            <family val="0"/>
            <charset val="1"/>
          </rPr>
          <t xml:space="preserve">Apresentar nova referência caso altere a taxa da multa do aviso prévio indenizado.</t>
        </r>
      </text>
    </comment>
    <comment ref="B145" authorId="0">
      <text>
        <r>
          <rPr>
            <sz val="9"/>
            <color rgb="FF000000"/>
            <rFont val="Times New Roman"/>
            <family val="0"/>
            <charset val="1"/>
          </rPr>
          <t xml:space="preserve">Apresentar novo memorial de cálculo caso altere a taxa da multa do aviso prévio indenizado.
</t>
        </r>
      </text>
    </comment>
    <comment ref="B147" authorId="0">
      <text>
        <r>
          <rPr>
            <sz val="9"/>
            <color rgb="FF000000"/>
            <rFont val="Times New Roman"/>
            <family val="0"/>
            <charset val="1"/>
          </rPr>
          <t xml:space="preserve">Apresentar nova referência caso altere a taxa do aviso prévio trabalhado.</t>
        </r>
      </text>
    </comment>
    <comment ref="B148" authorId="0">
      <text>
        <r>
          <rPr>
            <sz val="9"/>
            <color rgb="FF000000"/>
            <rFont val="Times New Roman"/>
            <family val="0"/>
            <charset val="1"/>
          </rPr>
          <t xml:space="preserve">Apresentar novo memorial de cálculo caso altere a taxa do aviso prévio trabalhado.</t>
        </r>
      </text>
    </comment>
    <comment ref="B150" authorId="0">
      <text>
        <r>
          <rPr>
            <sz val="9"/>
            <color rgb="FF000000"/>
            <rFont val="Times New Roman"/>
            <family val="0"/>
            <charset val="1"/>
          </rPr>
          <t xml:space="preserve">Apresentar novo memorial de cálculo caso altere a taxa de multa do FGTS aviso prévio trabalhado.</t>
        </r>
      </text>
    </comment>
    <comment ref="B163" authorId="0">
      <text>
        <r>
          <rPr>
            <sz val="9"/>
            <color rgb="FF000000"/>
            <rFont val="Times New Roman"/>
            <family val="0"/>
            <charset val="1"/>
          </rPr>
          <t xml:space="preserve">Apresentar nova referência caso altere a taxa do auxílio doença.</t>
        </r>
      </text>
    </comment>
    <comment ref="B164" authorId="0">
      <text>
        <r>
          <rPr>
            <sz val="9"/>
            <color rgb="FF000000"/>
            <rFont val="Times New Roman"/>
            <family val="0"/>
            <charset val="1"/>
          </rPr>
          <t xml:space="preserve">Apresentar novo memorial de cálculo caso altere a taxa do auxílio doença.</t>
        </r>
      </text>
    </comment>
    <comment ref="B166" authorId="0">
      <text>
        <r>
          <rPr>
            <sz val="9"/>
            <color rgb="FF000000"/>
            <rFont val="Times New Roman"/>
            <family val="0"/>
            <charset val="1"/>
          </rPr>
          <t xml:space="preserve">Apresentar nova referência caso altere a taxa de licença paternidade.</t>
        </r>
      </text>
    </comment>
    <comment ref="B167" authorId="0">
      <text>
        <r>
          <rPr>
            <sz val="9"/>
            <color rgb="FF000000"/>
            <rFont val="Times New Roman"/>
            <family val="0"/>
            <charset val="1"/>
          </rPr>
          <t xml:space="preserve">Apresentar memorial de cálculo caso altere a taxa de licença paternidade.</t>
        </r>
      </text>
    </comment>
    <comment ref="B169" authorId="0">
      <text>
        <r>
          <rPr>
            <sz val="9"/>
            <color rgb="FF000000"/>
            <rFont val="Times New Roman"/>
            <family val="0"/>
            <charset val="1"/>
          </rPr>
          <t xml:space="preserve">Apresentar nova referência caso altere a taxa de ausências legais.</t>
        </r>
      </text>
    </comment>
    <comment ref="B170" authorId="0">
      <text>
        <r>
          <rPr>
            <sz val="9"/>
            <color rgb="FF000000"/>
            <rFont val="Times New Roman"/>
            <family val="0"/>
            <charset val="1"/>
          </rPr>
          <t xml:space="preserve">Apresentar novo memorial de cálculo caso altere a taxa de ausências legais.</t>
        </r>
      </text>
    </comment>
    <comment ref="B172" authorId="0">
      <text>
        <r>
          <rPr>
            <sz val="9"/>
            <color rgb="FF000000"/>
            <rFont val="Times New Roman"/>
            <family val="0"/>
            <charset val="1"/>
          </rPr>
          <t xml:space="preserve">Apresentar nova referência caso altere a taxa de ausência por acidente de trabalho.</t>
        </r>
      </text>
    </comment>
    <comment ref="B173" authorId="0">
      <text>
        <r>
          <rPr>
            <sz val="9"/>
            <color rgb="FF000000"/>
            <rFont val="Times New Roman"/>
            <family val="0"/>
            <charset val="1"/>
          </rPr>
          <t xml:space="preserve">Apresentar novo memorial de cálculo caso altere a taxa de ausência por acidente de trabalho.</t>
        </r>
      </text>
    </comment>
  </commentList>
</comments>
</file>

<file path=xl/comments13.xml><?xml version="1.0" encoding="utf-8"?>
<comments xmlns="http://schemas.openxmlformats.org/spreadsheetml/2006/main" xmlns:xdr="http://schemas.openxmlformats.org/drawingml/2006/spreadsheetDrawing">
  <authors>
    <author/>
  </authors>
  <commentList>
    <comment ref="B34" authorId="0">
      <text>
        <r>
          <rPr>
            <sz val="9"/>
            <color rgb="FF000000"/>
            <rFont val="Times New Roman"/>
            <family val="0"/>
            <charset val="1"/>
          </rPr>
          <t xml:space="preserve">Apresentar nova referência caso altere o valor do salário base.</t>
        </r>
      </text>
    </comment>
    <comment ref="B44" authorId="0">
      <text>
        <r>
          <rPr>
            <sz val="9"/>
            <color rgb="FF000000"/>
            <rFont val="Times New Roman"/>
            <family val="0"/>
            <charset val="1"/>
          </rPr>
          <t xml:space="preserve">Apresentar nova referência caso altere o valor do transporte.</t>
        </r>
      </text>
    </comment>
    <comment ref="B45" authorId="0">
      <text>
        <r>
          <rPr>
            <sz val="9"/>
            <color rgb="FF000000"/>
            <rFont val="Times New Roman"/>
            <family val="0"/>
            <charset val="1"/>
          </rPr>
          <t xml:space="preserve">Apresentar nova referência caso altere o valor do transporte.</t>
        </r>
      </text>
    </comment>
    <comment ref="B46" authorId="0">
      <text>
        <r>
          <rPr>
            <sz val="9"/>
            <color rgb="FF000000"/>
            <rFont val="Times New Roman"/>
            <family val="0"/>
            <charset val="1"/>
          </rPr>
          <t xml:space="preserve">Apresentar novo memorial de cálculo caso altere o valor do transporte.</t>
        </r>
      </text>
    </comment>
    <comment ref="B113" authorId="0">
      <text>
        <r>
          <rPr>
            <sz val="9"/>
            <color rgb="FF000000"/>
            <rFont val="Times New Roman"/>
            <family val="0"/>
            <charset val="1"/>
          </rPr>
          <t xml:space="preserve">Apresentar nova referência caso altere a taxa de Risco Ambienlat do Trabalho.</t>
        </r>
      </text>
    </comment>
    <comment ref="B114" authorId="0">
      <text>
        <r>
          <rPr>
            <sz val="9"/>
            <color rgb="FF000000"/>
            <rFont val="Times New Roman"/>
            <family val="0"/>
            <charset val="1"/>
          </rPr>
          <t xml:space="preserve">Apresentar novo memorial de cálculo caso altere a taxa de Risco Ambiental do Trabalho.</t>
        </r>
      </text>
    </comment>
    <comment ref="B130" authorId="0">
      <text>
        <r>
          <rPr>
            <sz val="9"/>
            <color rgb="FF000000"/>
            <rFont val="Times New Roman"/>
            <family val="0"/>
            <charset val="1"/>
          </rPr>
          <t xml:space="preserve">Apresentar nova referência caso altere a taxa do afastamento maternidade.</t>
        </r>
      </text>
    </comment>
    <comment ref="B131" authorId="0">
      <text>
        <r>
          <rPr>
            <sz val="9"/>
            <color rgb="FF000000"/>
            <rFont val="Times New Roman"/>
            <family val="0"/>
            <charset val="1"/>
          </rPr>
          <t xml:space="preserve">Apresentar nova referência caso altere a taxa do afastamento maternidade.</t>
        </r>
      </text>
    </comment>
    <comment ref="B132" authorId="0">
      <text>
        <r>
          <rPr>
            <sz val="9"/>
            <color rgb="FF000000"/>
            <rFont val="Times New Roman"/>
            <family val="0"/>
            <charset val="1"/>
          </rPr>
          <t xml:space="preserve">Apresentar novo memorial de cálculo caso altere a taxa do afastamento maternidade.</t>
        </r>
      </text>
    </comment>
    <comment ref="B139" authorId="0">
      <text>
        <r>
          <rPr>
            <sz val="9"/>
            <color rgb="FF000000"/>
            <rFont val="Times New Roman"/>
            <family val="0"/>
            <charset val="1"/>
          </rPr>
          <t xml:space="preserve">Apresentar nova referência caso altere a taxa do aviso prévio indenizado.</t>
        </r>
      </text>
    </comment>
    <comment ref="B140" authorId="0">
      <text>
        <r>
          <rPr>
            <sz val="9"/>
            <color rgb="FF000000"/>
            <rFont val="Times New Roman"/>
            <family val="0"/>
            <charset val="1"/>
          </rPr>
          <t xml:space="preserve">Apresentar nova referência caso altere a taxa do aviso prévio indenizado.</t>
        </r>
      </text>
    </comment>
    <comment ref="B141" authorId="0">
      <text>
        <r>
          <rPr>
            <sz val="9"/>
            <color rgb="FF000000"/>
            <rFont val="Times New Roman"/>
            <family val="0"/>
            <charset val="1"/>
          </rPr>
          <t xml:space="preserve">Apresentar nova referência caso altere a taxa do aviso prévio indenizado.</t>
        </r>
      </text>
    </comment>
    <comment ref="B146" authorId="0">
      <text>
        <r>
          <rPr>
            <sz val="9"/>
            <color rgb="FF000000"/>
            <rFont val="Times New Roman"/>
            <family val="0"/>
            <charset val="1"/>
          </rPr>
          <t xml:space="preserve">Apresentar nova referência caso altere a taxa da multa do aviso prévio indenizado.</t>
        </r>
      </text>
    </comment>
    <comment ref="B147" authorId="0">
      <text>
        <r>
          <rPr>
            <sz val="9"/>
            <color rgb="FF000000"/>
            <rFont val="Times New Roman"/>
            <family val="0"/>
            <charset val="1"/>
          </rPr>
          <t xml:space="preserve">Apresentar novo memorial de cálculo caso altere a taxa da multa do aviso prévio indenizado.
</t>
        </r>
      </text>
    </comment>
    <comment ref="B149" authorId="0">
      <text>
        <r>
          <rPr>
            <sz val="9"/>
            <color rgb="FF000000"/>
            <rFont val="Times New Roman"/>
            <family val="0"/>
            <charset val="1"/>
          </rPr>
          <t xml:space="preserve">Apresentar nova referência caso altere a taxa do aviso prévio trabalhado.</t>
        </r>
      </text>
    </comment>
    <comment ref="B150" authorId="0">
      <text>
        <r>
          <rPr>
            <sz val="9"/>
            <color rgb="FF000000"/>
            <rFont val="Times New Roman"/>
            <family val="0"/>
            <charset val="1"/>
          </rPr>
          <t xml:space="preserve">Apresentar novo memorial de cálculo caso altere a taxa do aviso prévio trabalhado.</t>
        </r>
      </text>
    </comment>
    <comment ref="B152" authorId="0">
      <text>
        <r>
          <rPr>
            <sz val="9"/>
            <color rgb="FF000000"/>
            <rFont val="Times New Roman"/>
            <family val="0"/>
            <charset val="1"/>
          </rPr>
          <t xml:space="preserve">Apresentar novo memorial de cálculo caso altere a taxa de multa do FGTS aviso prévio trabalhado.</t>
        </r>
      </text>
    </comment>
    <comment ref="B165" authorId="0">
      <text>
        <r>
          <rPr>
            <sz val="9"/>
            <color rgb="FF000000"/>
            <rFont val="Times New Roman"/>
            <family val="0"/>
            <charset val="1"/>
          </rPr>
          <t xml:space="preserve">Apresentar nova referência caso altere a taxa do auxílio doença.</t>
        </r>
      </text>
    </comment>
    <comment ref="B166" authorId="0">
      <text>
        <r>
          <rPr>
            <sz val="9"/>
            <color rgb="FF000000"/>
            <rFont val="Times New Roman"/>
            <family val="0"/>
            <charset val="1"/>
          </rPr>
          <t xml:space="preserve">Apresentar novo memorial de cálculo caso altere a taxa do auxílio doença.</t>
        </r>
      </text>
    </comment>
    <comment ref="B168" authorId="0">
      <text>
        <r>
          <rPr>
            <sz val="9"/>
            <color rgb="FF000000"/>
            <rFont val="Times New Roman"/>
            <family val="0"/>
            <charset val="1"/>
          </rPr>
          <t xml:space="preserve">Apresentar nova referência caso altere a taxa de licença paternidade.</t>
        </r>
      </text>
    </comment>
    <comment ref="B169" authorId="0">
      <text>
        <r>
          <rPr>
            <sz val="9"/>
            <color rgb="FF000000"/>
            <rFont val="Times New Roman"/>
            <family val="0"/>
            <charset val="1"/>
          </rPr>
          <t xml:space="preserve">Apresentar memorial de cálculo caso altere a taxa de licença paternidade.</t>
        </r>
      </text>
    </comment>
    <comment ref="B171" authorId="0">
      <text>
        <r>
          <rPr>
            <sz val="9"/>
            <color rgb="FF000000"/>
            <rFont val="Times New Roman"/>
            <family val="0"/>
            <charset val="1"/>
          </rPr>
          <t xml:space="preserve">Apresentar nova referência caso altere a taxa de ausências legais.</t>
        </r>
      </text>
    </comment>
    <comment ref="B172" authorId="0">
      <text>
        <r>
          <rPr>
            <sz val="9"/>
            <color rgb="FF000000"/>
            <rFont val="Times New Roman"/>
            <family val="0"/>
            <charset val="1"/>
          </rPr>
          <t xml:space="preserve">Apresentar novo memorial de cálculo caso altere a taxa de ausências legais.</t>
        </r>
      </text>
    </comment>
    <comment ref="B174" authorId="0">
      <text>
        <r>
          <rPr>
            <sz val="9"/>
            <color rgb="FF000000"/>
            <rFont val="Times New Roman"/>
            <family val="0"/>
            <charset val="1"/>
          </rPr>
          <t xml:space="preserve">Apresentar nova referência caso altere a taxa de ausência por acidente de trabalho.</t>
        </r>
      </text>
    </comment>
    <comment ref="B175" authorId="0">
      <text>
        <r>
          <rPr>
            <sz val="9"/>
            <color rgb="FF000000"/>
            <rFont val="Times New Roman"/>
            <family val="0"/>
            <charset val="1"/>
          </rPr>
          <t xml:space="preserve">Apresentar novo memorial de cálculo caso altere a taxa de ausência por acidente de trabalho.</t>
        </r>
      </text>
    </comment>
  </commentList>
</comments>
</file>

<file path=xl/comments14.xml><?xml version="1.0" encoding="utf-8"?>
<comments xmlns="http://schemas.openxmlformats.org/spreadsheetml/2006/main" xmlns:xdr="http://schemas.openxmlformats.org/drawingml/2006/spreadsheetDrawing">
  <authors>
    <author/>
  </authors>
  <commentList>
    <comment ref="J13" authorId="0">
      <text>
        <r>
          <rPr>
            <sz val="9"/>
            <color rgb="FF000000"/>
            <rFont val="Times New Roman"/>
            <family val="0"/>
            <charset val="1"/>
          </rPr>
          <t xml:space="preserve">O modelo do automóvel apresentado é apenas em caráter orientativo. O licitante pode apresentar sua proposta considerando o uso de outro modelo. O modelo do automóvel apresentado foi usado para elaboração da planilha de referência desta licitação.</t>
        </r>
      </text>
    </comment>
  </commentList>
</comments>
</file>

<file path=xl/comments15.xml><?xml version="1.0" encoding="utf-8"?>
<comments xmlns="http://schemas.openxmlformats.org/spreadsheetml/2006/main" xmlns:xdr="http://schemas.openxmlformats.org/drawingml/2006/spreadsheetDrawing">
  <authors>
    <author/>
  </authors>
  <commentList>
    <comment ref="J13" authorId="0">
      <text>
        <r>
          <rPr>
            <sz val="9"/>
            <color rgb="FF000000"/>
            <rFont val="Times New Roman"/>
            <family val="0"/>
            <charset val="1"/>
          </rPr>
          <t xml:space="preserve">O modelo da moto apresentado é apenas em caráter orientativo. O licitante pode apresentar sua proposta considerando o uso de outro modelo. O modelo da moto apresentado foi usado para elaboração da planilha de referência desta licitação.</t>
        </r>
      </text>
    </comment>
  </commentList>
</comments>
</file>

<file path=xl/comments7.xml><?xml version="1.0" encoding="utf-8"?>
<comments xmlns="http://schemas.openxmlformats.org/spreadsheetml/2006/main" xmlns:xdr="http://schemas.openxmlformats.org/drawingml/2006/spreadsheetDrawing">
  <authors>
    <author/>
  </authors>
  <commentList>
    <comment ref="B79" authorId="0">
      <text>
        <r>
          <rPr>
            <sz val="9"/>
            <color rgb="FF000000"/>
            <rFont val="Times New Roman"/>
            <family val="0"/>
            <charset val="1"/>
          </rPr>
          <t xml:space="preserve">Apresentar nova referência caso altere o valor da Contribuição Assitencial Patronal.</t>
        </r>
      </text>
    </comment>
    <comment ref="B80" authorId="0">
      <text>
        <r>
          <rPr>
            <sz val="9"/>
            <color rgb="FF000000"/>
            <rFont val="Times New Roman"/>
            <family val="0"/>
            <charset val="1"/>
          </rPr>
          <t xml:space="preserve">Apresentar nova referência caso altere o valor da Contribuição Assitencial Patronal.</t>
        </r>
      </text>
    </comment>
    <comment ref="B81" authorId="0">
      <text>
        <r>
          <rPr>
            <sz val="9"/>
            <color rgb="FF000000"/>
            <rFont val="Times New Roman"/>
            <family val="0"/>
            <charset val="1"/>
          </rPr>
          <t xml:space="preserve">Apresentar nova referência caso altere o valor da Contribuição Assitencial Patronal.</t>
        </r>
      </text>
    </comment>
    <comment ref="B82" authorId="0">
      <text>
        <r>
          <rPr>
            <sz val="9"/>
            <color rgb="FF000000"/>
            <rFont val="Times New Roman"/>
            <family val="0"/>
            <charset val="1"/>
          </rPr>
          <t xml:space="preserve">Apresentar novo memorial de cálculo caso altere o valor da Contribuição Assitencial Patronal.</t>
        </r>
      </text>
    </comment>
  </commentList>
</comments>
</file>

<file path=xl/comments8.xml><?xml version="1.0" encoding="utf-8"?>
<comments xmlns="http://schemas.openxmlformats.org/spreadsheetml/2006/main" xmlns:xdr="http://schemas.openxmlformats.org/drawingml/2006/spreadsheetDrawing">
  <authors>
    <author/>
  </authors>
  <commentList>
    <comment ref="B34" authorId="0">
      <text>
        <r>
          <rPr>
            <sz val="9"/>
            <color rgb="FF000000"/>
            <rFont val="Times New Roman"/>
            <family val="0"/>
            <charset val="1"/>
          </rPr>
          <t xml:space="preserve">Apresentar nova referência caso altere o valor do salário base.</t>
        </r>
      </text>
    </comment>
    <comment ref="B44" authorId="0">
      <text>
        <r>
          <rPr>
            <sz val="9"/>
            <color rgb="FF000000"/>
            <rFont val="Times New Roman"/>
            <family val="0"/>
            <charset val="1"/>
          </rPr>
          <t xml:space="preserve">Apresentar nova referência caso altere o valor do transporte.</t>
        </r>
      </text>
    </comment>
    <comment ref="B45" authorId="0">
      <text>
        <r>
          <rPr>
            <sz val="9"/>
            <color rgb="FF000000"/>
            <rFont val="Times New Roman"/>
            <family val="0"/>
            <charset val="1"/>
          </rPr>
          <t xml:space="preserve">Apresentar nova referência caso altere o valor do transporte.</t>
        </r>
      </text>
    </comment>
    <comment ref="B46" authorId="0">
      <text>
        <r>
          <rPr>
            <sz val="9"/>
            <color rgb="FF000000"/>
            <rFont val="Times New Roman"/>
            <family val="0"/>
            <charset val="1"/>
          </rPr>
          <t xml:space="preserve">Apresentar novo memorial de cálculo caso altere o valor do transporte.</t>
        </r>
      </text>
    </comment>
    <comment ref="B98" authorId="0">
      <text>
        <r>
          <rPr>
            <sz val="9"/>
            <color rgb="FF000000"/>
            <rFont val="Times New Roman"/>
            <family val="0"/>
            <charset val="1"/>
          </rPr>
          <t xml:space="preserve">Apresentar nova referência caso altere a taxa de Risco Ambienlat do Trabalho.</t>
        </r>
      </text>
    </comment>
    <comment ref="B99" authorId="0">
      <text>
        <r>
          <rPr>
            <sz val="9"/>
            <color rgb="FF000000"/>
            <rFont val="Times New Roman"/>
            <family val="0"/>
            <charset val="1"/>
          </rPr>
          <t xml:space="preserve">Apresentar novo memorial de cálculo caso altere a taxa de Risco Ambiental do Trabalho.</t>
        </r>
      </text>
    </comment>
    <comment ref="B115" authorId="0">
      <text>
        <r>
          <rPr>
            <sz val="9"/>
            <color rgb="FF000000"/>
            <rFont val="Times New Roman"/>
            <family val="0"/>
            <charset val="1"/>
          </rPr>
          <t xml:space="preserve">Apresentar nova referência caso altere a taxa do afastamento maternidade.</t>
        </r>
      </text>
    </comment>
    <comment ref="B116" authorId="0">
      <text>
        <r>
          <rPr>
            <sz val="9"/>
            <color rgb="FF000000"/>
            <rFont val="Times New Roman"/>
            <family val="0"/>
            <charset val="1"/>
          </rPr>
          <t xml:space="preserve">Apresentar nova referência caso altere a taxa do afastamento maternidade.</t>
        </r>
      </text>
    </comment>
    <comment ref="B117" authorId="0">
      <text>
        <r>
          <rPr>
            <sz val="9"/>
            <color rgb="FF000000"/>
            <rFont val="Times New Roman"/>
            <family val="0"/>
            <charset val="1"/>
          </rPr>
          <t xml:space="preserve">Apresentar novo memorial de cálculo caso altere a taxa do afastamento maternidade.</t>
        </r>
      </text>
    </comment>
    <comment ref="B124" authorId="0">
      <text>
        <r>
          <rPr>
            <sz val="9"/>
            <color rgb="FF000000"/>
            <rFont val="Times New Roman"/>
            <family val="0"/>
            <charset val="1"/>
          </rPr>
          <t xml:space="preserve">Apresentar nova referência caso altere a taxa do aviso prévio indenizado.</t>
        </r>
      </text>
    </comment>
    <comment ref="B125" authorId="0">
      <text>
        <r>
          <rPr>
            <sz val="9"/>
            <color rgb="FF000000"/>
            <rFont val="Times New Roman"/>
            <family val="0"/>
            <charset val="1"/>
          </rPr>
          <t xml:space="preserve">Apresentar nova referência caso altere a taxa do aviso prévio indenizado.</t>
        </r>
      </text>
    </comment>
    <comment ref="B126" authorId="0">
      <text>
        <r>
          <rPr>
            <sz val="9"/>
            <color rgb="FF000000"/>
            <rFont val="Times New Roman"/>
            <family val="0"/>
            <charset val="1"/>
          </rPr>
          <t xml:space="preserve">Apresentar nova referência caso altere a taxa do aviso prévio indenizado.</t>
        </r>
      </text>
    </comment>
    <comment ref="B131" authorId="0">
      <text>
        <r>
          <rPr>
            <sz val="9"/>
            <color rgb="FF000000"/>
            <rFont val="Times New Roman"/>
            <family val="0"/>
            <charset val="1"/>
          </rPr>
          <t xml:space="preserve">Apresentar nova referência caso altere a taxa da multa do aviso prévio indenizado.</t>
        </r>
      </text>
    </comment>
    <comment ref="B132" authorId="0">
      <text>
        <r>
          <rPr>
            <sz val="9"/>
            <color rgb="FF000000"/>
            <rFont val="Times New Roman"/>
            <family val="0"/>
            <charset val="1"/>
          </rPr>
          <t xml:space="preserve">Apresentar novo memorial de cálculo caso altere a taxa da multa do aviso prévio indenizado.
</t>
        </r>
      </text>
    </comment>
    <comment ref="B134" authorId="0">
      <text>
        <r>
          <rPr>
            <sz val="9"/>
            <color rgb="FF000000"/>
            <rFont val="Times New Roman"/>
            <family val="0"/>
            <charset val="1"/>
          </rPr>
          <t xml:space="preserve">Apresentar nova referência caso altere a taxa do aviso prévio trabalhado.</t>
        </r>
      </text>
    </comment>
    <comment ref="B135" authorId="0">
      <text>
        <r>
          <rPr>
            <sz val="9"/>
            <color rgb="FF000000"/>
            <rFont val="Times New Roman"/>
            <family val="0"/>
            <charset val="1"/>
          </rPr>
          <t xml:space="preserve">Apresentar novo memorial de cálculo caso altere a taxa do aviso prévio trabalhado.</t>
        </r>
      </text>
    </comment>
    <comment ref="B137" authorId="0">
      <text>
        <r>
          <rPr>
            <sz val="9"/>
            <color rgb="FF000000"/>
            <rFont val="Times New Roman"/>
            <family val="0"/>
            <charset val="1"/>
          </rPr>
          <t xml:space="preserve">Apresentar novo memorial de cálculo caso altere a taxa de multa do FGTS aviso prévio trabalhado.</t>
        </r>
      </text>
    </comment>
    <comment ref="B150" authorId="0">
      <text>
        <r>
          <rPr>
            <sz val="9"/>
            <color rgb="FF000000"/>
            <rFont val="Times New Roman"/>
            <family val="0"/>
            <charset val="1"/>
          </rPr>
          <t xml:space="preserve">Apresentar nova referência caso altere a taxa do auxílio doença.</t>
        </r>
      </text>
    </comment>
    <comment ref="B151" authorId="0">
      <text>
        <r>
          <rPr>
            <sz val="9"/>
            <color rgb="FF000000"/>
            <rFont val="Times New Roman"/>
            <family val="0"/>
            <charset val="1"/>
          </rPr>
          <t xml:space="preserve">Apresentar novo memorial de cálculo caso altere a taxa do auxílio doença.</t>
        </r>
      </text>
    </comment>
    <comment ref="B153" authorId="0">
      <text>
        <r>
          <rPr>
            <sz val="9"/>
            <color rgb="FF000000"/>
            <rFont val="Times New Roman"/>
            <family val="0"/>
            <charset val="1"/>
          </rPr>
          <t xml:space="preserve">Apresentar nova referência caso altere a taxa de licença paternidade.</t>
        </r>
      </text>
    </comment>
    <comment ref="B154" authorId="0">
      <text>
        <r>
          <rPr>
            <sz val="9"/>
            <color rgb="FF000000"/>
            <rFont val="Times New Roman"/>
            <family val="0"/>
            <charset val="1"/>
          </rPr>
          <t xml:space="preserve">Apresentar memorial de cálculo caso altere a taxa de licença paternidade.</t>
        </r>
      </text>
    </comment>
    <comment ref="B156" authorId="0">
      <text>
        <r>
          <rPr>
            <sz val="9"/>
            <color rgb="FF000000"/>
            <rFont val="Times New Roman"/>
            <family val="0"/>
            <charset val="1"/>
          </rPr>
          <t xml:space="preserve">Apresentar nova referência caso altere a taxa de ausências legais.</t>
        </r>
      </text>
    </comment>
    <comment ref="B157" authorId="0">
      <text>
        <r>
          <rPr>
            <sz val="9"/>
            <color rgb="FF000000"/>
            <rFont val="Times New Roman"/>
            <family val="0"/>
            <charset val="1"/>
          </rPr>
          <t xml:space="preserve">Apresentar novo memorial de cálculo caso altere a taxa de ausências legais.</t>
        </r>
      </text>
    </comment>
    <comment ref="B159" authorId="0">
      <text>
        <r>
          <rPr>
            <sz val="9"/>
            <color rgb="FF000000"/>
            <rFont val="Times New Roman"/>
            <family val="0"/>
            <charset val="1"/>
          </rPr>
          <t xml:space="preserve">Apresentar nova referência caso altere a taxa de ausência por acidente de trabalho.</t>
        </r>
      </text>
    </comment>
    <comment ref="B160" authorId="0">
      <text>
        <r>
          <rPr>
            <sz val="9"/>
            <color rgb="FF000000"/>
            <rFont val="Times New Roman"/>
            <family val="0"/>
            <charset val="1"/>
          </rPr>
          <t xml:space="preserve">Apresentar novo memorial de cálculo caso altere a taxa de ausência por acidente de trabalho.</t>
        </r>
      </text>
    </comment>
  </commentList>
</comments>
</file>

<file path=xl/comments9.xml><?xml version="1.0" encoding="utf-8"?>
<comments xmlns="http://schemas.openxmlformats.org/spreadsheetml/2006/main" xmlns:xdr="http://schemas.openxmlformats.org/drawingml/2006/spreadsheetDrawing">
  <authors>
    <author/>
  </authors>
  <commentList>
    <comment ref="B34" authorId="0">
      <text>
        <r>
          <rPr>
            <sz val="9"/>
            <color rgb="FF000000"/>
            <rFont val="Times New Roman"/>
            <family val="0"/>
            <charset val="1"/>
          </rPr>
          <t xml:space="preserve">Apresentar nova referência caso altere o valor do salário base.</t>
        </r>
      </text>
    </comment>
    <comment ref="B42" authorId="0">
      <text>
        <r>
          <rPr>
            <sz val="9"/>
            <color rgb="FF000000"/>
            <rFont val="Times New Roman"/>
            <family val="0"/>
            <charset val="1"/>
          </rPr>
          <t xml:space="preserve">Apresentar nova referência caso altere o valor do transporte.</t>
        </r>
      </text>
    </comment>
    <comment ref="B43" authorId="0">
      <text>
        <r>
          <rPr>
            <sz val="9"/>
            <color rgb="FF000000"/>
            <rFont val="Times New Roman"/>
            <family val="0"/>
            <charset val="1"/>
          </rPr>
          <t xml:space="preserve">Apresentar nova referência caso altere o valor do transporte.</t>
        </r>
      </text>
    </comment>
    <comment ref="B44" authorId="0">
      <text>
        <r>
          <rPr>
            <sz val="9"/>
            <color rgb="FF000000"/>
            <rFont val="Times New Roman"/>
            <family val="0"/>
            <charset val="1"/>
          </rPr>
          <t xml:space="preserve">Apresentar novo memorial de cálculo caso altere o valor do transporte.</t>
        </r>
      </text>
    </comment>
    <comment ref="B102" authorId="0">
      <text>
        <r>
          <rPr>
            <sz val="9"/>
            <color rgb="FF000000"/>
            <rFont val="Times New Roman"/>
            <family val="0"/>
            <charset val="1"/>
          </rPr>
          <t xml:space="preserve">Apresentar nova referência caso altere a taxa de Risco Ambienlat do Trabalho.</t>
        </r>
      </text>
    </comment>
    <comment ref="B103" authorId="0">
      <text>
        <r>
          <rPr>
            <sz val="9"/>
            <color rgb="FF000000"/>
            <rFont val="Times New Roman"/>
            <family val="0"/>
            <charset val="1"/>
          </rPr>
          <t xml:space="preserve">Apresentar novo memorial de cálculo caso altere a taxa de Risco Ambiental do Trabalho.</t>
        </r>
      </text>
    </comment>
    <comment ref="B119" authorId="0">
      <text>
        <r>
          <rPr>
            <sz val="9"/>
            <color rgb="FF000000"/>
            <rFont val="Times New Roman"/>
            <family val="0"/>
            <charset val="1"/>
          </rPr>
          <t xml:space="preserve">Apresentar nova referência caso altere a taxa do afastamento maternidade.</t>
        </r>
      </text>
    </comment>
    <comment ref="B120" authorId="0">
      <text>
        <r>
          <rPr>
            <sz val="9"/>
            <color rgb="FF000000"/>
            <rFont val="Times New Roman"/>
            <family val="0"/>
            <charset val="1"/>
          </rPr>
          <t xml:space="preserve">Apresentar nova referência caso altere a taxa do afastamento maternidade.</t>
        </r>
      </text>
    </comment>
    <comment ref="B121" authorId="0">
      <text>
        <r>
          <rPr>
            <sz val="9"/>
            <color rgb="FF000000"/>
            <rFont val="Times New Roman"/>
            <family val="0"/>
            <charset val="1"/>
          </rPr>
          <t xml:space="preserve">Apresentar novo memorial de cálculo caso altere a taxa do afastamento maternidade.</t>
        </r>
      </text>
    </comment>
    <comment ref="B128" authorId="0">
      <text>
        <r>
          <rPr>
            <sz val="9"/>
            <color rgb="FF000000"/>
            <rFont val="Times New Roman"/>
            <family val="0"/>
            <charset val="1"/>
          </rPr>
          <t xml:space="preserve">Apresentar nova referência caso altere a taxa do aviso prévio indenizado.</t>
        </r>
      </text>
    </comment>
    <comment ref="B129" authorId="0">
      <text>
        <r>
          <rPr>
            <sz val="9"/>
            <color rgb="FF000000"/>
            <rFont val="Times New Roman"/>
            <family val="0"/>
            <charset val="1"/>
          </rPr>
          <t xml:space="preserve">Apresentar nova referência caso altere a taxa do aviso prévio indenizado.</t>
        </r>
      </text>
    </comment>
    <comment ref="B130" authorId="0">
      <text>
        <r>
          <rPr>
            <sz val="9"/>
            <color rgb="FF000000"/>
            <rFont val="Times New Roman"/>
            <family val="0"/>
            <charset val="1"/>
          </rPr>
          <t xml:space="preserve">Apresentar nova referência caso altere a taxa do aviso prévio indenizado.</t>
        </r>
      </text>
    </comment>
    <comment ref="B135" authorId="0">
      <text>
        <r>
          <rPr>
            <sz val="9"/>
            <color rgb="FF000000"/>
            <rFont val="Times New Roman"/>
            <family val="0"/>
            <charset val="1"/>
          </rPr>
          <t xml:space="preserve">Apresentar nova referência caso altere a taxa da multa do aviso prévio indenizado.</t>
        </r>
      </text>
    </comment>
    <comment ref="B136" authorId="0">
      <text>
        <r>
          <rPr>
            <sz val="9"/>
            <color rgb="FF000000"/>
            <rFont val="Times New Roman"/>
            <family val="0"/>
            <charset val="1"/>
          </rPr>
          <t xml:space="preserve">Apresentar novo memorial de cálculo caso altere a taxa da multa do aviso prévio indenizado.
</t>
        </r>
      </text>
    </comment>
    <comment ref="B138" authorId="0">
      <text>
        <r>
          <rPr>
            <sz val="9"/>
            <color rgb="FF000000"/>
            <rFont val="Times New Roman"/>
            <family val="0"/>
            <charset val="1"/>
          </rPr>
          <t xml:space="preserve">Apresentar nova referência caso altere a taxa do aviso prévio trabalhado.</t>
        </r>
      </text>
    </comment>
    <comment ref="B139" authorId="0">
      <text>
        <r>
          <rPr>
            <sz val="9"/>
            <color rgb="FF000000"/>
            <rFont val="Times New Roman"/>
            <family val="0"/>
            <charset val="1"/>
          </rPr>
          <t xml:space="preserve">Apresentar novo memorial de cálculo caso altere a taxa do aviso prévio trabalhado.</t>
        </r>
      </text>
    </comment>
    <comment ref="B141" authorId="0">
      <text>
        <r>
          <rPr>
            <sz val="9"/>
            <color rgb="FF000000"/>
            <rFont val="Times New Roman"/>
            <family val="0"/>
            <charset val="1"/>
          </rPr>
          <t xml:space="preserve">Apresentar novo memorial de cálculo caso altere a taxa de multa do FGTS aviso prévio trabalhado.</t>
        </r>
      </text>
    </comment>
    <comment ref="B154" authorId="0">
      <text>
        <r>
          <rPr>
            <sz val="9"/>
            <color rgb="FF000000"/>
            <rFont val="Times New Roman"/>
            <family val="0"/>
            <charset val="1"/>
          </rPr>
          <t xml:space="preserve">Apresentar nova referência caso altere a taxa do auxílio doença.</t>
        </r>
      </text>
    </comment>
    <comment ref="B155" authorId="0">
      <text>
        <r>
          <rPr>
            <sz val="9"/>
            <color rgb="FF000000"/>
            <rFont val="Times New Roman"/>
            <family val="0"/>
            <charset val="1"/>
          </rPr>
          <t xml:space="preserve">Apresentar novo memorial de cálculo caso altere a taxa do auxílio doença.</t>
        </r>
      </text>
    </comment>
    <comment ref="B157" authorId="0">
      <text>
        <r>
          <rPr>
            <sz val="9"/>
            <color rgb="FF000000"/>
            <rFont val="Times New Roman"/>
            <family val="0"/>
            <charset val="1"/>
          </rPr>
          <t xml:space="preserve">Apresentar nova referência caso altere a taxa de licença paternidade.</t>
        </r>
      </text>
    </comment>
    <comment ref="B158" authorId="0">
      <text>
        <r>
          <rPr>
            <sz val="9"/>
            <color rgb="FF000000"/>
            <rFont val="Times New Roman"/>
            <family val="0"/>
            <charset val="1"/>
          </rPr>
          <t xml:space="preserve">Apresentar memorial de cálculo caso altere a taxa de licença paternidade.</t>
        </r>
      </text>
    </comment>
    <comment ref="B160" authorId="0">
      <text>
        <r>
          <rPr>
            <sz val="9"/>
            <color rgb="FF000000"/>
            <rFont val="Times New Roman"/>
            <family val="0"/>
            <charset val="1"/>
          </rPr>
          <t xml:space="preserve">Apresentar nova referência caso altere a taxa de ausências legais.</t>
        </r>
      </text>
    </comment>
    <comment ref="B161" authorId="0">
      <text>
        <r>
          <rPr>
            <sz val="9"/>
            <color rgb="FF000000"/>
            <rFont val="Times New Roman"/>
            <family val="0"/>
            <charset val="1"/>
          </rPr>
          <t xml:space="preserve">Apresentar novo memorial de cálculo caso altere a taxa de ausências legais.</t>
        </r>
      </text>
    </comment>
    <comment ref="B163" authorId="0">
      <text>
        <r>
          <rPr>
            <sz val="9"/>
            <color rgb="FF000000"/>
            <rFont val="Times New Roman"/>
            <family val="0"/>
            <charset val="1"/>
          </rPr>
          <t xml:space="preserve">Apresentar nova referência caso altere a taxa de ausência por acidente de trabalho.</t>
        </r>
      </text>
    </comment>
    <comment ref="B164" authorId="0">
      <text>
        <r>
          <rPr>
            <sz val="9"/>
            <color rgb="FF000000"/>
            <rFont val="Times New Roman"/>
            <family val="0"/>
            <charset val="1"/>
          </rPr>
          <t xml:space="preserve">Apresentar novo memorial de cálculo caso altere a taxa de ausência por acidente de trabalho.</t>
        </r>
      </text>
    </comment>
  </commentList>
</comments>
</file>

<file path=xl/sharedStrings.xml><?xml version="1.0" encoding="utf-8"?>
<sst xmlns="http://schemas.openxmlformats.org/spreadsheetml/2006/main" count="2873" uniqueCount="655">
  <si>
    <t xml:space="preserve">RAZÃO SOCIAL DA EMPRESA:</t>
  </si>
  <si>
    <t xml:space="preserve">Endereço:</t>
  </si>
  <si>
    <t xml:space="preserve">CNPJ:</t>
  </si>
  <si>
    <t xml:space="preserve">Telefone</t>
  </si>
  <si>
    <t xml:space="preserve">E-mail:</t>
  </si>
  <si>
    <t xml:space="preserve">INÍCIO</t>
  </si>
  <si>
    <t xml:space="preserve">Avançar</t>
  </si>
  <si>
    <t xml:space="preserve">Sr. Licitante,</t>
  </si>
  <si>
    <t xml:space="preserve">V.Sa. está recebendo uma cópia da planilha destinada à Licitação do objeto acima descrito. Lembramos que estas planilhas deverão ser apresentadas impressas em papel timbrado da firma e em arquivo digital, e, as células restritas não deverão ser alteradas.</t>
  </si>
  <si>
    <t xml:space="preserve">CONTEÚDO DA PASTA DE TRABALHO XLS:</t>
  </si>
  <si>
    <t xml:space="preserve">PLANILHAS</t>
  </si>
  <si>
    <t xml:space="preserve">DESCRIÇÃO</t>
  </si>
  <si>
    <t xml:space="preserve">Início</t>
  </si>
  <si>
    <t xml:space="preserve">Premissas</t>
  </si>
  <si>
    <t xml:space="preserve">Planilha que apresenta as premissas consideradas para o cálculo da receita gerada pela cobrança do uso do estacionamento</t>
  </si>
  <si>
    <t xml:space="preserve">DI, Tri e Pagamento</t>
  </si>
  <si>
    <t xml:space="preserve">Planilha que discrimina as taxas referentes às Despesas Indiretas, Tributos e Valor pago à Concedente pelo uso dos estacionamentos, descrita em item 12 do Termo de Referência</t>
  </si>
  <si>
    <t xml:space="preserve">Inv. Inicial</t>
  </si>
  <si>
    <t xml:space="preserve">Planilha que discrimina a aquisição dos equipamentos e realização das adequações mínimas e serviços básicos de manutenção necessários para operação dos estacionamentos pela empresa vencedora da licitação</t>
  </si>
  <si>
    <t xml:space="preserve">VxTxR</t>
  </si>
  <si>
    <t xml:space="preserve">Planilha que apresenta a quantidade de vagas versus a tarifa cobrada versus receita mensal gerada</t>
  </si>
  <si>
    <t xml:space="preserve">Financeiro.</t>
  </si>
  <si>
    <t xml:space="preserve">Planilha que apresenta financeiro referente a concessão dos estacionamentos do CT</t>
  </si>
  <si>
    <t xml:space="preserve">CFM</t>
  </si>
  <si>
    <t xml:space="preserve">Planilha que discrimina os itens que compõe os custos mensais necessários para administração dos estacionamentos.</t>
  </si>
  <si>
    <t xml:space="preserve">C. F. P. Caixa-Operador</t>
  </si>
  <si>
    <t xml:space="preserve">Planilha que apresenta a composição da folha mensal de pagamento do caixa-operador</t>
  </si>
  <si>
    <t xml:space="preserve">C. F. P. Orient de Tráf</t>
  </si>
  <si>
    <t xml:space="preserve">Planilha que apresenta a composição da folha mensal de pagamento do operador de tráfego</t>
  </si>
  <si>
    <t xml:space="preserve">C. F. P. Supervisor</t>
  </si>
  <si>
    <t xml:space="preserve">Planilha que apresenta a composição da folha mensal de pagamento do supervidor</t>
  </si>
  <si>
    <t xml:space="preserve">C. F. P. Encarregado</t>
  </si>
  <si>
    <t xml:space="preserve">Planilha que apresenta a composição da folha mensal de pagamento do encarregado</t>
  </si>
  <si>
    <t xml:space="preserve">C. F. P. Vigia Diurno</t>
  </si>
  <si>
    <t xml:space="preserve">Planilha que apresenta a composição da folha mensal de pagamento do vigia diurno</t>
  </si>
  <si>
    <t xml:space="preserve">C. F. P. Vigia Noturno</t>
  </si>
  <si>
    <t xml:space="preserve">Planilha que apresenta a composição da folha mensal de pagamento do vigia noturno</t>
  </si>
  <si>
    <t xml:space="preserve">Custo Mensal do Automóvel</t>
  </si>
  <si>
    <t xml:space="preserve">Planilha que apresenta a composição do custo mensal de um automóvel.</t>
  </si>
  <si>
    <t xml:space="preserve">Custo Mensal da Moto</t>
  </si>
  <si>
    <t xml:space="preserve">Planilha que apresenta a composição do custo mensal de uma moto.</t>
  </si>
  <si>
    <t xml:space="preserve">Atenção:</t>
  </si>
  <si>
    <t xml:space="preserve">Estas planilhas contêm grande quantidade de dados, portanto ajuste as páginas antes de iniciar a impressão;</t>
  </si>
  <si>
    <t xml:space="preserve">Todas as folhas deverão conter no rodapé o nome da empresa, endereço completo, telefone e correio eletrônico;</t>
  </si>
  <si>
    <t xml:space="preserve">PREMISSAS </t>
  </si>
  <si>
    <t xml:space="preserve">Voltar</t>
  </si>
  <si>
    <t xml:space="preserve">Para cálculo de valor de referência foi considerado os quantitativos abaixos discriminados e as seguintes premissas adotadas:</t>
  </si>
  <si>
    <t xml:space="preserve">ESTACIONAMENTOS CT</t>
  </si>
  <si>
    <t xml:space="preserve">Item</t>
  </si>
  <si>
    <t xml:space="preserve">Código</t>
  </si>
  <si>
    <t xml:space="preserve">Localização</t>
  </si>
  <si>
    <t xml:space="preserve">Área (m²)</t>
  </si>
  <si>
    <t xml:space="preserve">Vagas</t>
  </si>
  <si>
    <t xml:space="preserve">Câmeras</t>
  </si>
  <si>
    <t xml:space="preserve">Cabines</t>
  </si>
  <si>
    <t xml:space="preserve">Terminal de autoatendimento</t>
  </si>
  <si>
    <t xml:space="preserve">F. Óptica (m)</t>
  </si>
  <si>
    <t xml:space="preserve">Cabo PP (m)</t>
  </si>
  <si>
    <t xml:space="preserve">E1</t>
  </si>
  <si>
    <t xml:space="preserve">A fundos</t>
  </si>
  <si>
    <t xml:space="preserve">E2</t>
  </si>
  <si>
    <t xml:space="preserve">A frente</t>
  </si>
  <si>
    <t xml:space="preserve">E3</t>
  </si>
  <si>
    <t xml:space="preserve">A - H frente</t>
  </si>
  <si>
    <t xml:space="preserve">E4</t>
  </si>
  <si>
    <t xml:space="preserve">H fundos</t>
  </si>
  <si>
    <t xml:space="preserve">E5</t>
  </si>
  <si>
    <t xml:space="preserve">M fundos</t>
  </si>
  <si>
    <t xml:space="preserve">TOTAL</t>
  </si>
  <si>
    <t xml:space="preserve">Notas:</t>
  </si>
  <si>
    <t xml:space="preserve">1 - As vagas do estacionamento E2 não são computadas como fonte de recurso, visto que tal estacionamento será gratuito, conforme descrito em Termo de Referência.</t>
  </si>
  <si>
    <t xml:space="preserve">2 - Foi considerado uma rotatividade diária de ocupação das vagas de 50%</t>
  </si>
  <si>
    <t xml:space="preserve">4 - Com base no calendário acadêmico foi considerado percentuais diferenciados de ocupação do estacionamento a saber:</t>
  </si>
  <si>
    <t xml:space="preserve">TAXA DE OCUPAÇÃO DO ESTACIONAMENTO</t>
  </si>
  <si>
    <t xml:space="preserve">MÊS</t>
  </si>
  <si>
    <t xml:space="preserve">%</t>
  </si>
  <si>
    <t xml:space="preserve">Jan</t>
  </si>
  <si>
    <t xml:space="preserve">Mai</t>
  </si>
  <si>
    <t xml:space="preserve">Set</t>
  </si>
  <si>
    <t xml:space="preserve">Fev</t>
  </si>
  <si>
    <t xml:space="preserve">Jun</t>
  </si>
  <si>
    <t xml:space="preserve">Out</t>
  </si>
  <si>
    <t xml:space="preserve">Mar</t>
  </si>
  <si>
    <t xml:space="preserve">Jul</t>
  </si>
  <si>
    <t xml:space="preserve">Nov</t>
  </si>
  <si>
    <t xml:space="preserve">Abr</t>
  </si>
  <si>
    <t xml:space="preserve">Ago</t>
  </si>
  <si>
    <t xml:space="preserve">Dez</t>
  </si>
  <si>
    <t xml:space="preserve">Nota:</t>
  </si>
  <si>
    <t xml:space="preserve">5 - Com base em laudo técnico de avaliação Nº 50.460/18-RJ-A emitido pela Bolsa de imóveis do Rio de Janeiro - BIRJ é apresentado abaixo tabela de preço para os estacionamentos :</t>
  </si>
  <si>
    <t xml:space="preserve">TABELA DE PREÇOS DOS ESTACIONAMENTOS</t>
  </si>
  <si>
    <t xml:space="preserve">Período de concessão</t>
  </si>
  <si>
    <t xml:space="preserve">Rotativo (R$)</t>
  </si>
  <si>
    <t xml:space="preserve">Mensalista (R$)</t>
  </si>
  <si>
    <t xml:space="preserve">01º ao 12º mês</t>
  </si>
  <si>
    <t xml:space="preserve">13º ao 24º mês</t>
  </si>
  <si>
    <t xml:space="preserve">25º ao 36º mês</t>
  </si>
  <si>
    <t xml:space="preserve">37º ao 48º mês</t>
  </si>
  <si>
    <t xml:space="preserve">49º ao 60º mês</t>
  </si>
  <si>
    <t xml:space="preserve">6 - Com base em resultado do estudo de uso dos estacionamentos do Centro de Tecnologia realizado pela Decania do CT é apresentado percentual de usuários rotativos e mensalista:</t>
  </si>
  <si>
    <t xml:space="preserve">PERCENTUAL DE USUÁRIOS ROTATIVOS X MENSALISTAS</t>
  </si>
  <si>
    <t xml:space="preserve">Rotativo</t>
  </si>
  <si>
    <t xml:space="preserve">Mensalista</t>
  </si>
  <si>
    <t xml:space="preserve">DESPESAS INDIRETAS, TRIBUTOS E BENFEITORIAS</t>
  </si>
  <si>
    <t xml:space="preserve">Obs.: As células com preenchimento na cor verde são células desprotegidas.</t>
  </si>
  <si>
    <t xml:space="preserve">Regime de apuração para o PIS/COFINS</t>
  </si>
  <si>
    <t xml:space="preserve">Cumulativo</t>
  </si>
  <si>
    <t xml:space="preserve">Não cumulativo</t>
  </si>
  <si>
    <t xml:space="preserve">Ref.</t>
  </si>
  <si>
    <t xml:space="preserve">Lei Federal 10.637/02 e Lei Federal 10.833/03 estabelecem as normas de contribuição ao PIS/PASEP e da COFINS, respectivamente.</t>
  </si>
  <si>
    <t xml:space="preserve">Optante pelo Simples Nacional ?</t>
  </si>
  <si>
    <t xml:space="preserve">Não</t>
  </si>
  <si>
    <t xml:space="preserve">Sim</t>
  </si>
  <si>
    <t xml:space="preserve">Lei complementar nº 123, de 14 de Dezembro de 2006</t>
  </si>
  <si>
    <t xml:space="preserve">ITEM</t>
  </si>
  <si>
    <t xml:space="preserve">SIGLA</t>
  </si>
  <si>
    <t xml:space="preserve">TAXA</t>
  </si>
  <si>
    <t xml:space="preserve">1.0</t>
  </si>
  <si>
    <t xml:space="preserve">DESPESAS INDIRETAS</t>
  </si>
  <si>
    <t xml:space="preserve">DI%</t>
  </si>
  <si>
    <t xml:space="preserve">1.1</t>
  </si>
  <si>
    <t xml:space="preserve">Rateio da Administração Central</t>
  </si>
  <si>
    <t xml:space="preserve">AC%</t>
  </si>
  <si>
    <t xml:space="preserve">1.2</t>
  </si>
  <si>
    <t xml:space="preserve">Risco</t>
  </si>
  <si>
    <t xml:space="preserve">R%</t>
  </si>
  <si>
    <t xml:space="preserve">1.3</t>
  </si>
  <si>
    <t xml:space="preserve">Despesas Financeiras</t>
  </si>
  <si>
    <t xml:space="preserve">DF%</t>
  </si>
  <si>
    <t xml:space="preserve">2.0</t>
  </si>
  <si>
    <t xml:space="preserve">TRIBUTOS</t>
  </si>
  <si>
    <t xml:space="preserve">TRI%</t>
  </si>
  <si>
    <t xml:space="preserve">2.1</t>
  </si>
  <si>
    <t xml:space="preserve">COFINS</t>
  </si>
  <si>
    <t xml:space="preserve">C%</t>
  </si>
  <si>
    <t xml:space="preserve">2.2</t>
  </si>
  <si>
    <t xml:space="preserve">PIS</t>
  </si>
  <si>
    <t xml:space="preserve">PIS%</t>
  </si>
  <si>
    <t xml:space="preserve">2.3</t>
  </si>
  <si>
    <t xml:space="preserve">ISS</t>
  </si>
  <si>
    <t xml:space="preserve">ISS%</t>
  </si>
  <si>
    <t xml:space="preserve">3.0</t>
  </si>
  <si>
    <t xml:space="preserve">TAXA DE PAGAMENTO PELA CONCESSÃO</t>
  </si>
  <si>
    <t xml:space="preserve">B%</t>
  </si>
  <si>
    <t xml:space="preserve">1 - Taxa de pagamento pela Concessão corresponde ao percentual a ser aplicado sobre o lucro líquído como pagamento pelo uso dos estacionamentos do Centro de Tecnologia, conforme previsto no item 12 do Termo de referência.</t>
  </si>
  <si>
    <t xml:space="preserve">2 - A menor taxa de pagamento pela Concessão aceito pela Admnistração Pública é de 20% a ser aplicado sobre o lucro líquido gerado pelo estacionamentos do CT. (Ver item 12 do Termo de Referência.)</t>
  </si>
  <si>
    <t xml:space="preserve">INVESTIMENTO INICIAL</t>
  </si>
  <si>
    <t xml:space="preserve">FONTE</t>
  </si>
  <si>
    <t xml:space="preserve">CÓD.</t>
  </si>
  <si>
    <t xml:space="preserve">UNID</t>
  </si>
  <si>
    <t xml:space="preserve">QUANT</t>
  </si>
  <si>
    <t xml:space="preserve">VALOR (R$)</t>
  </si>
  <si>
    <t xml:space="preserve">UNIT</t>
  </si>
  <si>
    <t xml:space="preserve">EQUIPAMENTOS E INFRAESTRTURA</t>
  </si>
  <si>
    <t xml:space="preserve">PP</t>
  </si>
  <si>
    <t xml:space="preserve">Fibra Óptica</t>
  </si>
  <si>
    <t xml:space="preserve">m</t>
  </si>
  <si>
    <t xml:space="preserve">Cabo PP</t>
  </si>
  <si>
    <t xml:space="preserve">Cabines de cobrança</t>
  </si>
  <si>
    <t xml:space="preserve">un</t>
  </si>
  <si>
    <t xml:space="preserve">1.4</t>
  </si>
  <si>
    <t xml:space="preserve">1.5</t>
  </si>
  <si>
    <t xml:space="preserve">Mão de obra</t>
  </si>
  <si>
    <t xml:space="preserve">1.6</t>
  </si>
  <si>
    <t xml:space="preserve">Ar Condicionado</t>
  </si>
  <si>
    <t xml:space="preserve">1.7</t>
  </si>
  <si>
    <t xml:space="preserve">Máquina fotográfica</t>
  </si>
  <si>
    <t xml:space="preserve">1.8</t>
  </si>
  <si>
    <t xml:space="preserve">Equip. de Aut / estc.</t>
  </si>
  <si>
    <t xml:space="preserve">estac.</t>
  </si>
  <si>
    <t xml:space="preserve">1.9</t>
  </si>
  <si>
    <t xml:space="preserve">Cavalete de controle de trânsito</t>
  </si>
  <si>
    <t xml:space="preserve">1.10</t>
  </si>
  <si>
    <t xml:space="preserve">Cone de trânsito</t>
  </si>
  <si>
    <t xml:space="preserve">1.11</t>
  </si>
  <si>
    <t xml:space="preserve">Corrente zebrada</t>
  </si>
  <si>
    <t xml:space="preserve">1.12</t>
  </si>
  <si>
    <t xml:space="preserve">SCO</t>
  </si>
  <si>
    <t xml:space="preserve">IT 24.24.0050</t>
  </si>
  <si>
    <t xml:space="preserve">Ponto de telefone</t>
  </si>
  <si>
    <t xml:space="preserve">1.13</t>
  </si>
  <si>
    <t xml:space="preserve">SC 98.99.0030</t>
  </si>
  <si>
    <t xml:space="preserve">Recuperação/ construção/ Instalação de Guaritas</t>
  </si>
  <si>
    <t xml:space="preserve">RECUPERAÇÃO INICIAL DOS ESTACIONAMENTOS</t>
  </si>
  <si>
    <t xml:space="preserve">SICRO</t>
  </si>
  <si>
    <t xml:space="preserve">Tapa buraco</t>
  </si>
  <si>
    <t xml:space="preserve">m³</t>
  </si>
  <si>
    <t xml:space="preserve">Recuperação de demarcação de vagas</t>
  </si>
  <si>
    <t xml:space="preserve">m²</t>
  </si>
  <si>
    <t xml:space="preserve">Recuperação da sinalização vertical</t>
  </si>
  <si>
    <t xml:space="preserve">2.4</t>
  </si>
  <si>
    <t xml:space="preserve">BP 09.05.0653 (B)</t>
  </si>
  <si>
    <t xml:space="preserve">Recapeamento do pavimento asfáltico do Estacionamento E2.</t>
  </si>
  <si>
    <t xml:space="preserve">TOTAL GLOBAL</t>
  </si>
  <si>
    <t xml:space="preserve">2 - A unidade estac. significa estacionamento.</t>
  </si>
  <si>
    <t xml:space="preserve">3 - Os estacionamentos E1, E3 e E4 são os únicos asfaltados.</t>
  </si>
  <si>
    <t xml:space="preserve">4 - Para o cálculo do quantitativo do serviço de tapa buraco foi considerado que 10% do somatório da área dos estacionamentos E1, E3 e E4 tem buracos para serem tapados com uma espessura de 5 cm de asfalto.</t>
  </si>
  <si>
    <t xml:space="preserve">5 - Para o cálculo do quantitativo do serviço de recuperação de demarcação de vagas foi considerado o número total de vagas dos estacionamentos E1, E3, e E4</t>
  </si>
  <si>
    <t xml:space="preserve">6 - Para o cálculo do quantitativo do serviço de recuperação de sinalização vertical foi considerada a recuperação de 35 placas de dimensões 0,40x0,70</t>
  </si>
  <si>
    <t xml:space="preserve">PESQUISA DE MERCADO</t>
  </si>
  <si>
    <t xml:space="preserve">Empresa 1: Embractecc</t>
  </si>
  <si>
    <t xml:space="preserve">Empresa 2: Park Plus Estacionamentos</t>
  </si>
  <si>
    <t xml:space="preserve">Empresa 3: JMM Estacionamentos</t>
  </si>
  <si>
    <t xml:space="preserve">INFRAESTRTUTRA</t>
  </si>
  <si>
    <t xml:space="preserve">Empresa 1</t>
  </si>
  <si>
    <t xml:space="preserve">Empresa 2</t>
  </si>
  <si>
    <t xml:space="preserve">Empresa 3</t>
  </si>
  <si>
    <t xml:space="preserve">Média</t>
  </si>
  <si>
    <t xml:space="preserve">RELATÓRIO X VAGAS X TARIFA X RECEITA</t>
  </si>
  <si>
    <t xml:space="preserve">Mês</t>
  </si>
  <si>
    <t xml:space="preserve">Dias uteis</t>
  </si>
  <si>
    <t xml:space="preserve">Vaga Tot</t>
  </si>
  <si>
    <t xml:space="preserve">% Ocup</t>
  </si>
  <si>
    <t xml:space="preserve">Qtde Pagantes</t>
  </si>
  <si>
    <t xml:space="preserve">Tab. de Preços (R$)</t>
  </si>
  <si>
    <t xml:space="preserve">Valor Mensal (R$)</t>
  </si>
  <si>
    <t xml:space="preserve">jan/ano01</t>
  </si>
  <si>
    <t xml:space="preserve">fev/ano01</t>
  </si>
  <si>
    <t xml:space="preserve">mar/ano01</t>
  </si>
  <si>
    <t xml:space="preserve">abr/ano01</t>
  </si>
  <si>
    <t xml:space="preserve">mai/ano01</t>
  </si>
  <si>
    <t xml:space="preserve">jun/ano01</t>
  </si>
  <si>
    <t xml:space="preserve">jul/ano01</t>
  </si>
  <si>
    <t xml:space="preserve">ago/ano01</t>
  </si>
  <si>
    <t xml:space="preserve">set/ano01</t>
  </si>
  <si>
    <t xml:space="preserve">out/ano01</t>
  </si>
  <si>
    <t xml:space="preserve">nov/ano01</t>
  </si>
  <si>
    <t xml:space="preserve">dez/ano01</t>
  </si>
  <si>
    <t xml:space="preserve">jan/ano02</t>
  </si>
  <si>
    <t xml:space="preserve">fev/ano02</t>
  </si>
  <si>
    <t xml:space="preserve">mar/ano02</t>
  </si>
  <si>
    <t xml:space="preserve">abr/ano02</t>
  </si>
  <si>
    <t xml:space="preserve">mai/ano02</t>
  </si>
  <si>
    <t xml:space="preserve">jun/ano02</t>
  </si>
  <si>
    <t xml:space="preserve">jul/ano02</t>
  </si>
  <si>
    <t xml:space="preserve">ago/ano02</t>
  </si>
  <si>
    <t xml:space="preserve">set/ano02</t>
  </si>
  <si>
    <t xml:space="preserve">out/ano02</t>
  </si>
  <si>
    <t xml:space="preserve">nov/ano02</t>
  </si>
  <si>
    <t xml:space="preserve">dez/ano02</t>
  </si>
  <si>
    <t xml:space="preserve">jan/ano03</t>
  </si>
  <si>
    <t xml:space="preserve">fev/ano03</t>
  </si>
  <si>
    <t xml:space="preserve">mar/ano03</t>
  </si>
  <si>
    <t xml:space="preserve">abr/ano03</t>
  </si>
  <si>
    <t xml:space="preserve">mai/ano03</t>
  </si>
  <si>
    <t xml:space="preserve">jun/ano03</t>
  </si>
  <si>
    <t xml:space="preserve">jul/ano03</t>
  </si>
  <si>
    <t xml:space="preserve">ago/ano03</t>
  </si>
  <si>
    <t xml:space="preserve">set/ano03</t>
  </si>
  <si>
    <t xml:space="preserve">out/ano03</t>
  </si>
  <si>
    <t xml:space="preserve">nov/ano03</t>
  </si>
  <si>
    <t xml:space="preserve">dez/ano03</t>
  </si>
  <si>
    <t xml:space="preserve">jan/ano04</t>
  </si>
  <si>
    <t xml:space="preserve">fev/ano04</t>
  </si>
  <si>
    <t xml:space="preserve">mar/ano04</t>
  </si>
  <si>
    <t xml:space="preserve">abr/ano04</t>
  </si>
  <si>
    <t xml:space="preserve">mai/ano04</t>
  </si>
  <si>
    <t xml:space="preserve">jun/ano04</t>
  </si>
  <si>
    <t xml:space="preserve">jul/ano04</t>
  </si>
  <si>
    <t xml:space="preserve">ago/ano04</t>
  </si>
  <si>
    <t xml:space="preserve">set/ano04</t>
  </si>
  <si>
    <t xml:space="preserve">out/ano04</t>
  </si>
  <si>
    <t xml:space="preserve">nov/ano04</t>
  </si>
  <si>
    <t xml:space="preserve">dez/ano04</t>
  </si>
  <si>
    <t xml:space="preserve">jan/ano05</t>
  </si>
  <si>
    <t xml:space="preserve">fev/ano05</t>
  </si>
  <si>
    <t xml:space="preserve">mar/ano05</t>
  </si>
  <si>
    <t xml:space="preserve">abr/ano05</t>
  </si>
  <si>
    <t xml:space="preserve">mai/ano05</t>
  </si>
  <si>
    <t xml:space="preserve">jun/ano05</t>
  </si>
  <si>
    <t xml:space="preserve">jul/ano05</t>
  </si>
  <si>
    <t xml:space="preserve">ago/ano05</t>
  </si>
  <si>
    <t xml:space="preserve">set/ano05</t>
  </si>
  <si>
    <t xml:space="preserve">out/ano05</t>
  </si>
  <si>
    <t xml:space="preserve">nov/ano05</t>
  </si>
  <si>
    <t xml:space="preserve">dez/ano05</t>
  </si>
  <si>
    <t xml:space="preserve">RESUMO</t>
  </si>
  <si>
    <t xml:space="preserve">Ano</t>
  </si>
  <si>
    <t xml:space="preserve">Nº de meses</t>
  </si>
  <si>
    <t xml:space="preserve">ano01</t>
  </si>
  <si>
    <t xml:space="preserve">ano02</t>
  </si>
  <si>
    <t xml:space="preserve">ano03</t>
  </si>
  <si>
    <t xml:space="preserve">ano04</t>
  </si>
  <si>
    <t xml:space="preserve">ano05</t>
  </si>
  <si>
    <t xml:space="preserve">1 - O preço referente ao mês Jan/ano01 é R$ 0,00, visto que 30 dias corresponde ao prazo limite máximo estabelecido no Termo de Referência para adequações mínimas a serem realizadas no estacionamento antes do início da cobrança aos seus usuários.</t>
  </si>
  <si>
    <t xml:space="preserve">2 -O primeiro mês de operação é janeiro apenas para fins de estimativa. O início do operação será conforme previsto em Termo de Referência</t>
  </si>
  <si>
    <t xml:space="preserve">3 - Para efeito de estimativa é contabilizado apenas os dias úteis do mês, visto que em estudo de uso dos estacionamentos do Centro de Tecnologia realizado pela Decania do CT a quantidade de usuários em fins de semanas é significativamente reduzida.</t>
  </si>
  <si>
    <t xml:space="preserve">Memorial de cálculo:</t>
  </si>
  <si>
    <t xml:space="preserve">Rotativo = (Vaga Tot)x(%Ocup)x(%Rotativo)</t>
  </si>
  <si>
    <t xml:space="preserve">Mensalista = (Vaga Tot)x(%Ocup)x(%Mensalista)</t>
  </si>
  <si>
    <t xml:space="preserve">Valor mensal = (Dias úteis)x(Quant. de pagantes rotativo)x(Tab. De preços - rotativo)+(Quant. De pagantes mensalista)x(Tab. De preços mensalista)</t>
  </si>
  <si>
    <t xml:space="preserve">FINANCEIRO</t>
  </si>
  <si>
    <t xml:space="preserve">Valor</t>
  </si>
  <si>
    <t xml:space="preserve">Rec. Bruta</t>
  </si>
  <si>
    <t xml:space="preserve">Custo Fixo</t>
  </si>
  <si>
    <t xml:space="preserve">Desp. Ind</t>
  </si>
  <si>
    <t xml:space="preserve">Tri%</t>
  </si>
  <si>
    <t xml:space="preserve">Tributos</t>
  </si>
  <si>
    <t xml:space="preserve">LL</t>
  </si>
  <si>
    <t xml:space="preserve">P%</t>
  </si>
  <si>
    <t xml:space="preserve">Pag.*</t>
  </si>
  <si>
    <t xml:space="preserve">L. Real</t>
  </si>
  <si>
    <t xml:space="preserve">L. R. Acum.</t>
  </si>
  <si>
    <t xml:space="preserve">Rec. Bruta - Receita Total gerada pela estacionamento</t>
  </si>
  <si>
    <t xml:space="preserve">Inv. Inicial - Investimento Inicial</t>
  </si>
  <si>
    <t xml:space="preserve">DI% - Taxa de Despesas indiretas</t>
  </si>
  <si>
    <t xml:space="preserve">Desp. Ind - Despesas Indiretas</t>
  </si>
  <si>
    <t xml:space="preserve">Tri% - Taxa de Tributos</t>
  </si>
  <si>
    <t xml:space="preserve">P% - Taxa de Pagamento pela Concessão dos Estacionamentos.</t>
  </si>
  <si>
    <t xml:space="preserve">LL - Lucro Total</t>
  </si>
  <si>
    <t xml:space="preserve">Pag. - Valor pago pelo direito à concessão de uso dos estacionamentos</t>
  </si>
  <si>
    <t xml:space="preserve">L. Real - Lucro Real do Licitante após pagamento realizado à Administração pública</t>
  </si>
  <si>
    <t xml:space="preserve">L. R. Acum. - Lucro Real Acumulado</t>
  </si>
  <si>
    <t xml:space="preserve">* O valor global a ser pago pelo uso dos estacionamentos será utilizado como critério para avaliação das propostas. (Ver item 12 do Termo de Referência)</t>
  </si>
  <si>
    <t xml:space="preserve">Memorial de Cálculo</t>
  </si>
  <si>
    <t xml:space="preserve">1 - </t>
  </si>
  <si>
    <t xml:space="preserve">Desp. Ind = (Custo Fixo)*(DI%)</t>
  </si>
  <si>
    <t xml:space="preserve">2 - </t>
  </si>
  <si>
    <t xml:space="preserve">Tributos = (Rec. Bruta)*(Tri%)</t>
  </si>
  <si>
    <t xml:space="preserve">3 - </t>
  </si>
  <si>
    <t xml:space="preserve">LL = (Rec. Bruta) - (Inv. Inicial) - (Custo Fixo) - (Desp. Ind) - (Tributos)</t>
  </si>
  <si>
    <t xml:space="preserve">4 - </t>
  </si>
  <si>
    <t xml:space="preserve">Pag. = LL*P%</t>
  </si>
  <si>
    <t xml:space="preserve">5 - </t>
  </si>
  <si>
    <t xml:space="preserve">L. Real = LL - Pag.</t>
  </si>
  <si>
    <t xml:space="preserve">CUSTO FIXO MENSAL</t>
  </si>
  <si>
    <t xml:space="preserve">SAL+ENC.</t>
  </si>
  <si>
    <t xml:space="preserve">HEADCOUNT - Jan/ano01 a Mar/ano01</t>
  </si>
  <si>
    <t xml:space="preserve">Caixa/Operador</t>
  </si>
  <si>
    <t xml:space="preserve">Orientador de tráfego</t>
  </si>
  <si>
    <t xml:space="preserve">Supervisor</t>
  </si>
  <si>
    <t xml:space="preserve">Encarregado</t>
  </si>
  <si>
    <t xml:space="preserve">Vigia Diurno</t>
  </si>
  <si>
    <t xml:space="preserve">Vigia Noturno</t>
  </si>
  <si>
    <t xml:space="preserve">HEADCOUNT - Abr/ano01 a Mar/ano02</t>
  </si>
  <si>
    <t xml:space="preserve">HEADCOUNT - Abr/ano02 a Mar/ano03</t>
  </si>
  <si>
    <t xml:space="preserve">HEADCOUNT - Abr/ano03 a Mar/ano04</t>
  </si>
  <si>
    <t xml:space="preserve">HEADCOUNT - Abr/ano04 a Mar/ano05</t>
  </si>
  <si>
    <t xml:space="preserve">HEADCOUNT - Abr/ano05 a Dez/ano05</t>
  </si>
  <si>
    <t xml:space="preserve">CUSTOS COMPLEMENTARES</t>
  </si>
  <si>
    <t xml:space="preserve">Telefonia (2G a 4G e ligações ilimitadas)</t>
  </si>
  <si>
    <t xml:space="preserve">un/mês</t>
  </si>
  <si>
    <t xml:space="preserve">Veículo </t>
  </si>
  <si>
    <t xml:space="preserve">Moto</t>
  </si>
  <si>
    <t xml:space="preserve">Seguro Estacionamento</t>
  </si>
  <si>
    <t xml:space="preserve">2.5</t>
  </si>
  <si>
    <t xml:space="preserve">Aluguel Container</t>
  </si>
  <si>
    <t xml:space="preserve">CONTRIBUIÇÃO  ASSISTENCIAL PATRONAL</t>
  </si>
  <si>
    <t xml:space="preserve">3.1</t>
  </si>
  <si>
    <t xml:space="preserve">Contribuição Assitencial Patronal</t>
  </si>
  <si>
    <t xml:space="preserve">mês</t>
  </si>
  <si>
    <t xml:space="preserve">CUSTO FIXO MENSAL - Jan/ano01 a Mar/ano01</t>
  </si>
  <si>
    <t xml:space="preserve">CUSTO FIXO MENSAL - Abr/ano01 a Mar/ano02</t>
  </si>
  <si>
    <t xml:space="preserve">CUSTO FIXO MENSAL - Abr/ano02 a Mar/ano03</t>
  </si>
  <si>
    <t xml:space="preserve">CUSTO FIXO MENSAL - Abr/ano03 a Mar/ano04</t>
  </si>
  <si>
    <t xml:space="preserve">CUSTO FIXO MENSAL - Abr/ano04 a Mar/ano05</t>
  </si>
  <si>
    <t xml:space="preserve">CUSTO FIXO MENSAL - Abr/ano05 a Dez/ano05</t>
  </si>
  <si>
    <t xml:space="preserve">1 - Para o cálculo da contribuição assistencial patronal foi considerado:</t>
  </si>
  <si>
    <t xml:space="preserve">Ref. 1:</t>
  </si>
  <si>
    <r>
      <rPr>
        <sz val="10"/>
        <color rgb="FF000000"/>
        <rFont val="Times New Roman"/>
        <family val="0"/>
        <charset val="1"/>
      </rPr>
      <t xml:space="preserve">Fundamentação: </t>
    </r>
    <r>
      <rPr>
        <sz val="10"/>
        <color rgb="FF000000"/>
        <rFont val="Times New Roman"/>
        <family val="1"/>
        <charset val="1"/>
      </rPr>
      <t xml:space="preserve">§§ 3º, 4º, 5º do art. 580 da CLT</t>
    </r>
  </si>
  <si>
    <t xml:space="preserve">Ref. 2:</t>
  </si>
  <si>
    <t xml:space="preserve">Valor base estipulado pelo sindicado: R$ 358,39. Documento referência disponível em: http://www.sindeparkrio.org.br/</t>
  </si>
  <si>
    <t xml:space="preserve">Ref. 3:</t>
  </si>
  <si>
    <t xml:space="preserve">Capital social estimado é de R$ 41800,00. O estimado é com base no documento "Como montar uma empresa de estacionamento rotativo" do SEBRAE, disponível em: https://www.sebrae.com.br/sites/PortalSebrae/ideias/como-montar-uma-empresa-de-estacionamento-rotativo,fa587a51b9105410VgnVCM1000003b74010aRCRD</t>
  </si>
  <si>
    <t xml:space="preserve">Mem. Cal.</t>
  </si>
  <si>
    <t xml:space="preserve">(R$41.800,00*0,8%)/(12 meses)</t>
  </si>
  <si>
    <t xml:space="preserve">PESQUISA DE PREÇO</t>
  </si>
  <si>
    <t xml:space="preserve">TELEFONIA</t>
  </si>
  <si>
    <t xml:space="preserve">Claro </t>
  </si>
  <si>
    <t xml:space="preserve">Nextel</t>
  </si>
  <si>
    <t xml:space="preserve">Tim</t>
  </si>
  <si>
    <t xml:space="preserve">Vivo</t>
  </si>
  <si>
    <t xml:space="preserve">Custo (R$)</t>
  </si>
  <si>
    <t xml:space="preserve">COMPOSIÇÃO DA FOLHA DE PAGAMENTO - CAIXA/OPERADOR</t>
  </si>
  <si>
    <t xml:space="preserve">Documentos usados como referência:</t>
  </si>
  <si>
    <t xml:space="preserve">Convenção Coletiva de Trabalho - CCT - 2017/2018</t>
  </si>
  <si>
    <t xml:space="preserve">Sindicato das Atividades de Garagem, Estacionamentos e Serviços do Estado do Rio de Janeiro, CNPJ n. 33.643.933/0001-56</t>
  </si>
  <si>
    <t xml:space="preserve">Número do registro no MTE: RJ000769/2017</t>
  </si>
  <si>
    <t xml:space="preserve">Data de Registro no MTE: 11/05/2017</t>
  </si>
  <si>
    <t xml:space="preserve">Número da Solicitação: MR020686/2017</t>
  </si>
  <si>
    <t xml:space="preserve">Número do processo: 46215.005757/2017-21</t>
  </si>
  <si>
    <t xml:space="preserve">Data do Protocolo: 06/04/2017</t>
  </si>
  <si>
    <t xml:space="preserve">Dados complementares para composição dos custos referente a mão de obra</t>
  </si>
  <si>
    <t xml:space="preserve">Tipo de serviço</t>
  </si>
  <si>
    <t xml:space="preserve">Caixa ou operador - 44 horas semanais</t>
  </si>
  <si>
    <t xml:space="preserve">Salário piso/ normativo da categoria profissional</t>
  </si>
  <si>
    <t xml:space="preserve">Clásula Terceira e Vigésima do CCT- Salário e Jornada de Trabalho, respectivamente.</t>
  </si>
  <si>
    <t xml:space="preserve">Data base da categoria (dia/mês)</t>
  </si>
  <si>
    <t xml:space="preserve">01º de Abril</t>
  </si>
  <si>
    <t xml:space="preserve">Clásula Primeira do CCT - Vigência e Data-Base</t>
  </si>
  <si>
    <t xml:space="preserve">Classificação Brasileira de Ocupação - CBO</t>
  </si>
  <si>
    <t xml:space="preserve">4211-25</t>
  </si>
  <si>
    <t xml:space="preserve">Classificação Brasileira de Ocupação - MT - http://www.mtecbo.gov.br/cbosite/pages/pesquisas/BuscaPorTituloResultado.jsf</t>
  </si>
  <si>
    <t xml:space="preserve">Classificação Nacional da Atividade Econômicas- CNAE. Versão 2.0</t>
  </si>
  <si>
    <t xml:space="preserve">5223-1/00</t>
  </si>
  <si>
    <t xml:space="preserve">Classificação Nacional da Atividade Econômicas- CNAE - https://cnae.ibge.gov.br/</t>
  </si>
  <si>
    <t xml:space="preserve">Módulo1</t>
  </si>
  <si>
    <t xml:space="preserve"> Remuneração</t>
  </si>
  <si>
    <t xml:space="preserve">Composição da Remuneração</t>
  </si>
  <si>
    <t xml:space="preserve">Valor (R$)</t>
  </si>
  <si>
    <t xml:space="preserve">A</t>
  </si>
  <si>
    <t xml:space="preserve">Salário Base</t>
  </si>
  <si>
    <t xml:space="preserve">Clásula Quinta do CCT - Piso Salariais</t>
  </si>
  <si>
    <t xml:space="preserve">B</t>
  </si>
  <si>
    <t xml:space="preserve">Quebra de Caixa</t>
  </si>
  <si>
    <t xml:space="preserve">Clásula Quinta do CCT- Piso Salariais  e Clásula Sexta do CCT - Quebra de Caixa</t>
  </si>
  <si>
    <t xml:space="preserve">C</t>
  </si>
  <si>
    <t xml:space="preserve">Outros (Especificar)</t>
  </si>
  <si>
    <t xml:space="preserve">&lt;Apresentar referência)&gt;</t>
  </si>
  <si>
    <t xml:space="preserve">Módulo2 </t>
  </si>
  <si>
    <t xml:space="preserve">Benefícios mensais e diários</t>
  </si>
  <si>
    <t xml:space="preserve">Transporte</t>
  </si>
  <si>
    <t xml:space="preserve">Ref. 1</t>
  </si>
  <si>
    <t xml:space="preserve">Cláusula Décima Oitava do CCT - Vale Transporte </t>
  </si>
  <si>
    <t xml:space="preserve">Ref. 2</t>
  </si>
  <si>
    <t xml:space="preserve">Art 1º  do Decreto Rio Nº 41190 - Estabelece a tarifa do serviço público de transporte de passageiros por ônibus - SPPO, integrada ao Bilhete Único carioca - BUC, e dá outras providências.</t>
  </si>
  <si>
    <t xml:space="preserve">R$ 3,80 (Tarifa)*2(ida e volta)*22(dias úteis do mês) - 6% do salário</t>
  </si>
  <si>
    <t xml:space="preserve">A1</t>
  </si>
  <si>
    <t xml:space="preserve">Crédito PIS/CONFINS</t>
  </si>
  <si>
    <t xml:space="preserve">Ref. </t>
  </si>
  <si>
    <t xml:space="preserve">Calculado apenas quando o regime de incidência da contribuição para o PIS/COFINS for não cumulativo. Neste regime é permitido o desconto de créditos apurados com base em custos, despesas e encargos sociais. Fundamentação: Lei 10637/2002 e Lei 10.833/2003</t>
  </si>
  <si>
    <t xml:space="preserve">Modulo 3</t>
  </si>
  <si>
    <t xml:space="preserve"> Uniformes E EPI's</t>
  </si>
  <si>
    <t xml:space="preserve">Insumos Diversos</t>
  </si>
  <si>
    <t xml:space="preserve">Qdt/ano</t>
  </si>
  <si>
    <t xml:space="preserve">C. Unit</t>
  </si>
  <si>
    <t xml:space="preserve">C. Mês</t>
  </si>
  <si>
    <t xml:space="preserve">Calça comprida</t>
  </si>
  <si>
    <t xml:space="preserve">Camisa social</t>
  </si>
  <si>
    <t xml:space="preserve">Sapato</t>
  </si>
  <si>
    <t xml:space="preserve">D</t>
  </si>
  <si>
    <t xml:space="preserve">Cinto</t>
  </si>
  <si>
    <t xml:space="preserve">E</t>
  </si>
  <si>
    <t xml:space="preserve">Crachá em PVC laminado para identificação, com alta resistência e flexibilidade. Frente: nome completo, foto digitalizada. Identificação da CONTRATADA e inscrição "A serviço da UFRJ". Verso: unidade em que desempenha suas atividades e informações adicionais que a CONTRATADA considerar pertinentes.</t>
  </si>
  <si>
    <t xml:space="preserve">F</t>
  </si>
  <si>
    <t xml:space="preserve">Cláusula Décima Quarta do CCT - Fornecimento de vestiário e EPI</t>
  </si>
  <si>
    <t xml:space="preserve">Fonte referência para os custo unitário: painel de preços - http://paineldeprecos.planejamento.gov.br/</t>
  </si>
  <si>
    <t xml:space="preserve">Qtd de unif anuais)*(Custo unitário)/(12 meses)</t>
  </si>
  <si>
    <t xml:space="preserve">G</t>
  </si>
  <si>
    <t xml:space="preserve">3.2</t>
  </si>
  <si>
    <t xml:space="preserve">Equipamentos</t>
  </si>
  <si>
    <t xml:space="preserve">Tax. Util</t>
  </si>
  <si>
    <t xml:space="preserve">Vida útil (mês)</t>
  </si>
  <si>
    <r>
      <rPr>
        <sz val="10"/>
        <color rgb="FF000000"/>
        <rFont val="Times New Roman"/>
        <family val="0"/>
        <charset val="1"/>
      </rPr>
      <t xml:space="preserve">Rádio comunicador</t>
    </r>
    <r>
      <rPr>
        <vertAlign val="superscript"/>
        <sz val="10"/>
        <color rgb="FF000000"/>
        <rFont val="Times New Roman"/>
        <family val="0"/>
        <charset val="1"/>
      </rPr>
      <t xml:space="preserve">(1)</t>
    </r>
  </si>
  <si>
    <t xml:space="preserve">Outro (Especificar)</t>
  </si>
  <si>
    <t xml:space="preserve">Nota (1)</t>
  </si>
  <si>
    <t xml:space="preserve">(Custo unitário)*(taxa de utilização)/(Vida útil)</t>
  </si>
  <si>
    <t xml:space="preserve">Modulo 4</t>
  </si>
  <si>
    <t xml:space="preserve">Encargos Sociais e Trabalhistas</t>
  </si>
  <si>
    <t xml:space="preserve">4.1</t>
  </si>
  <si>
    <t xml:space="preserve">Encargos previdenciários e FGTS</t>
  </si>
  <si>
    <t xml:space="preserve">INSS</t>
  </si>
  <si>
    <t xml:space="preserve">Lei nº 8212 de 24 de Julho de 1991 (Art.22, inciso I)</t>
  </si>
  <si>
    <t xml:space="preserve">SESI ou SESC</t>
  </si>
  <si>
    <t xml:space="preserve">Decreto-Lei 9.853/1946 (Art. 3º) e lei 8.036/1990 (Art. 30)</t>
  </si>
  <si>
    <t xml:space="preserve">Não se aplica , caso o licitante seja optante pelo Simples Nacional.</t>
  </si>
  <si>
    <t xml:space="preserve">SENAI ou SENAC</t>
  </si>
  <si>
    <t xml:space="preserve">Decreto-Lei nº 2.318/86</t>
  </si>
  <si>
    <t xml:space="preserve">INCRA</t>
  </si>
  <si>
    <t xml:space="preserve">Decreto-Lei nº 1.146, de 31 de dezembro de 1970 (Aqrt. 1º, inciso I)</t>
  </si>
  <si>
    <t xml:space="preserve">Salário Educação</t>
  </si>
  <si>
    <r>
      <rPr>
        <i val="true"/>
        <sz val="10"/>
        <color rgb="FF000000"/>
        <rFont val="Times New Roman"/>
        <family val="0"/>
        <charset val="1"/>
      </rPr>
      <t xml:space="preserve">Decreto-Lei nº 87.043, de 22 de Março de 1982 (Art. 3º, inciso I), Lei nº 9.424, de 24 Dezembro de 1996 (Art. 15), Decreto nº 3.142/99 (Art. 2º) e Constituição Fedderal de 1988 (Art. 212 </t>
    </r>
    <r>
      <rPr>
        <sz val="10"/>
        <color rgb="FF000000"/>
        <rFont val="Times New Roman"/>
        <family val="1"/>
        <charset val="1"/>
      </rPr>
      <t xml:space="preserve">§</t>
    </r>
    <r>
      <rPr>
        <i val="true"/>
        <sz val="10"/>
        <color rgb="FF000000"/>
        <rFont val="Times New Roman"/>
        <family val="0"/>
        <charset val="1"/>
      </rPr>
      <t xml:space="preserve"> 5º) </t>
    </r>
  </si>
  <si>
    <t xml:space="preserve">FGTS</t>
  </si>
  <si>
    <t xml:space="preserve">Lei nº 8.036 de 11 de maio de 1990 (Art. 15), Constituição Federal de 1988 (Art. 7º, inciso III) e Ministério do Trabalho - Instrução Normativa nº 84, de Fundo de garantia do Tempo de Serviço - FGTS e das Contribuições Sociais instituídas pela Lei Complementar nº 110, de 29 de Junho de 2001 (Art. 6º, inciso IV) </t>
  </si>
  <si>
    <t xml:space="preserve">Risco Ambiental do Trabalho - RAT</t>
  </si>
  <si>
    <t xml:space="preserve">Fundamentação: art. 22, inciso II, alíneas ‘b’ e ‘c’, da Lei nº 8.212/91 e Decreto No 3.048 de 6 de Maio de 1999.</t>
  </si>
  <si>
    <t xml:space="preserve">RAT do CNAE 5223-1/00 - Atividade Auxiliares ao Transporte Terrestres = 3%; </t>
  </si>
  <si>
    <t xml:space="preserve">H</t>
  </si>
  <si>
    <t xml:space="preserve">SEBRAE</t>
  </si>
  <si>
    <t xml:space="preserve">Lei nº 8.029, de 12 de Abril de 1990. (Art. 8º)</t>
  </si>
  <si>
    <t xml:space="preserve">4.2</t>
  </si>
  <si>
    <t xml:space="preserve">13º Salário</t>
  </si>
  <si>
    <t xml:space="preserve">Constituição Federal de 1988 (Art. 7º, inciso VIII), Lei nº 4.090, de 13 de Julho de 1989 (Art 1º, parágrafo único) </t>
  </si>
  <si>
    <t xml:space="preserve">13º Salário = Remuneração mensal/ (12 meses)</t>
  </si>
  <si>
    <t xml:space="preserve">4.3</t>
  </si>
  <si>
    <t xml:space="preserve">Afastamento Maternidade</t>
  </si>
  <si>
    <t xml:space="preserve">Ref.1</t>
  </si>
  <si>
    <t xml:space="preserve">O custo final do afastamento maternidade é calculado a partir do custo efetivo de afastamento maternidade, do número de meses de licença maternidade, do percentual de mulheres no tipo de serviço e do número de ocorrências de maternidade. Nesse caso o INSS reembolsa o salário da beneficiária, entretanto, continuam sendo contatdos os demais encargos, como férias, adicional de férias, 13º salário, encargos previdenciários, FGTS, bem como benefícios como assistencia médica (se prevista em CCT, acordos, convenções ou sentenças coletivas em dissídios coletivos). Fundamentação: Art. 6º e 201º da Constituição Federal e Art. 392 da CLT.</t>
  </si>
  <si>
    <t xml:space="preserve">Ref.2</t>
  </si>
  <si>
    <t xml:space="preserve">Para o cálculo foi considerado uma taxa de fecundidade média  de 7,31% (fonte: Acervo SIDRA, IBGE). A taxa  de fecundidade corresponde a mulheres de 15 a 49 anos no Estado do Rio de Janeiro. Também foi considerado que o setor de serviço tem uma participação feminina de 44,45%. A taxa corresponde a participação média das mulheres no setor de serviços referente aos anos de 2014, 2015 e 2016 na região Metropolitana do Rio de janeiro(Fonte: CAGED Anuário Rais).</t>
  </si>
  <si>
    <t xml:space="preserve">(((1 +1/3)*(meses de afastamento por licença maternidade)/ (12 meses))/(12 meses))*(percentual de mulheres no setor)*(percentual de taxa de fecundidade)</t>
  </si>
  <si>
    <t xml:space="preserve">4.4</t>
  </si>
  <si>
    <t xml:space="preserve">Provisão para recisão</t>
  </si>
  <si>
    <t xml:space="preserve">Aviso prévio indenizado</t>
  </si>
  <si>
    <t xml:space="preserve">Os dados de rotatividade da mão de obra para este estudo foram obtidos no CAGED –
Cadastro Geral de Empregados e Desempregados, e podem ser consultados em: http://bi.mte.gov.br/cagedestabelecimento/pages/consulta.xhtml</t>
  </si>
  <si>
    <t xml:space="preserve">Existem duas modalidades de Aviso Prévio: o indenizado e o trabalhado. Pela não
existência de dados oficiais acerca da proporção entre elas, adotou-se a razão de 90% dos
casos como indenizados para a situação</t>
  </si>
  <si>
    <t xml:space="preserve">Ref. 3</t>
  </si>
  <si>
    <t xml:space="preserve">Fundamentação: art. 7º, inciso XXI, da Constituição Federal e art. 487 da CLT.</t>
  </si>
  <si>
    <t xml:space="preserve">(1/ (12 meses))*(55% - porcentagem dos empregados dispensados sem justa causa)*(90% de dispensa com aviso prévio indenizado)</t>
  </si>
  <si>
    <t xml:space="preserve">Multa do FGTS do aviso prévio indenizado</t>
  </si>
  <si>
    <r>
      <rPr>
        <i val="true"/>
        <sz val="10"/>
        <color rgb="FF000000"/>
        <rFont val="Times New Roman"/>
        <family val="0"/>
        <charset val="1"/>
      </rPr>
      <t xml:space="preserve">Lei nº 8.036 de 11 de maio de 1990 (Art. 18 </t>
    </r>
    <r>
      <rPr>
        <sz val="10"/>
        <color rgb="FF000000"/>
        <rFont val="Times New Roman"/>
        <family val="1"/>
        <charset val="1"/>
      </rPr>
      <t xml:space="preserve">§</t>
    </r>
    <r>
      <rPr>
        <i val="true"/>
        <sz val="10"/>
        <color rgb="FF000000"/>
        <rFont val="Times New Roman"/>
        <family val="0"/>
        <charset val="1"/>
      </rPr>
      <t xml:space="preserve"> 1º) com redação dada pela lei nº 9.491, de 9 de setembro de 1997 e Lei Complementar nº 110, de 29 de julho de 2001 (Art. 1º)</t>
    </r>
  </si>
  <si>
    <t xml:space="preserve">40% (Multa sobre o FGTS)*8%(Porcentagem do recolhimento mensal do FGTS)*(55% - porcentagem dos empregados dispensados sem justa causa)*(90% de dispensa com aviso prévio indenizado)+10%(Multa sobre a contribuição social)*8%(Porcentagem do recolhimento mensal do FGTS)*(55% - porcentagem dos empregados dispensados sem justa causa)*(90% de dispensa com aviso prévio indenizado)</t>
  </si>
  <si>
    <t xml:space="preserve">Aviso prévio trabalhado</t>
  </si>
  <si>
    <t xml:space="preserve">Quando o empregado é comunicado (aviso prévio) da futura rescisão, período de aviso prévio, salários são pagos normalmente e incidem as contribuições previdenciárias. Refere-se à indenização de sete dias corridos devido ao empregado no caso de o empregador rescindir o contrato sem justo motivo e conceder aviso prévio, conforme disposto no art. 488 da CLT.</t>
  </si>
  <si>
    <t xml:space="preserve">(7 dias)*(55% - porcentagem dos empregados dispensados sem justa causa)*(10% de dispensa com aviso prévio trabalhado)/(360dias)</t>
  </si>
  <si>
    <t xml:space="preserve">Multa do FGTS do aviso prévio trabalhado</t>
  </si>
  <si>
    <t xml:space="preserve">40% (Multa sobre o FGTS)*8%(Porcentagem do recolhimento mensal do FGTS)*(55% - porcentagem dos empregados dispensados sem justa causa)*(10% de dispensa com aviso prévio trabalhado)+10%(Multa sobre a contribuição social)*8%(Porcentagem do recolhimento mensal do FGTS)*(55% - porcentagem dos empregados dispensados sem justa causa)*(10% de dispensa com aviso prévio trabalhado)</t>
  </si>
  <si>
    <t xml:space="preserve">4.5</t>
  </si>
  <si>
    <t xml:space="preserve">Composição do Custo de Reposição do Profissional Ausente</t>
  </si>
  <si>
    <t xml:space="preserve">Férias</t>
  </si>
  <si>
    <t xml:space="preserve">Afastamento por 30 dias sem prejuízo de remuneração após cada período de 12 meses de vigência do contrato garantido pela Constituição Federal. Fundamentação: inciso XVII do art. 7º da Constituição Federal e art. 142 da CLT. </t>
  </si>
  <si>
    <t xml:space="preserve">1/(12 meses)</t>
  </si>
  <si>
    <t xml:space="preserve">Adicional de Férias</t>
  </si>
  <si>
    <t xml:space="preserve">Acréscimo legal equivalente a 1/3 do salário normal, devido no execrcício do direito de férias. Fundamentação: inciso XVII do art. 7º da Constituição Federal e art. 142 da CLT. </t>
  </si>
  <si>
    <t xml:space="preserve">(1/3)*(1/(12 meses))</t>
  </si>
  <si>
    <t xml:space="preserve">Auxílio doença</t>
  </si>
  <si>
    <t xml:space="preserve">Esta parcela refere-se aos dias em que o empregado fica doente e a contratada deve providenciar sua substituição. Para o cálculo foi considerado 5,96 dias o período médio anual em que o empregado fica afastado devido a doença. A mesma quantidade considerada em  Acórdão 1753/2008-Plenária TCU.
Fundamentação: art. 18 da Lei nº 8.212/91 e art. 476 da CLT. 
</t>
  </si>
  <si>
    <t xml:space="preserve">(5,96 dias)/((30 dias)*(12 meses))</t>
  </si>
  <si>
    <t xml:space="preserve">Licença paternidade</t>
  </si>
  <si>
    <t xml:space="preserve">Essa licença é de 5 dias corridos iniciados no dia do nascimento do filho. Para o cálculo foi considerado uma taxa de fecundidade média  de 7,31% (fonte: Acervo SIDRA, IBGE). A taxa  de fecundidade corresponde a mulheres de 15 a 49 anos no Estado do Rio de Janeiro. Também foi considerado que o setor de serviço tem uma participação masculina de 55,55%. A taxa corresponde a participação média dos homens no setor de serviços referente aos anos de 2014, 2015 e 2016 na região Metropolitana do Rio de janeiro(Fonte: CAGED Anuário Rais).
Fundamentação: art. 7º, inciso XIX, da Constituição Federal
</t>
  </si>
  <si>
    <t xml:space="preserve">(5 dias)*(taxa de fecundidade)*(Taxa de participação masculina no setor)/((30 dias)* (12 mesnes))</t>
  </si>
  <si>
    <t xml:space="preserve">Ausências legais</t>
  </si>
  <si>
    <t xml:space="preserve">É composto por um conjunto de casos em que o funcionário pode faltar por determinadas razões, com amparo legal, e a contratada deve repor essa mão-de-obra. Pela lei, cada funcionário tem direito a faltar: 2 dias em caso de morte do cônjuge, ascendente ou descendente; 1 dia para registro de nascimento de filho; 3 dias para casamento; 1 dia para doação de sangue; 2 dias para alistamento eleitoral; e 1 dia para exigências do serviço militar; entre outros. Foi considerado 2,96 dias como quantidade média de falta do período de um ano. A mesma considerada em Acórdão 1753/2008 - Plenária TCU.
Fundamentação: arts. 473 e 83 da CLT. 
</t>
  </si>
  <si>
    <t xml:space="preserve">(Quantidade média de dias de faltas justificadas)/((30 dias)*(12 meses))</t>
  </si>
  <si>
    <t xml:space="preserve">Ausência por acidente de trabalho</t>
  </si>
  <si>
    <t xml:space="preserve">É referente aos 15 primeiros dias em que o empregado não pode exercer suas atividades devido a algum acidente no trabalho e a Contratada deve remunerá-lo. Após esse período, a Previdência Social assume esse ônus. Para o cálculo foi considerado que o empregado falta 0,91 dias por ano em decorrência do fato. A mesma quantidade de dias considerada em Acórdão 1753/2008 - Plenária TCU. 
Fundamentação: Lei nº 6.367/76 e art. 473 da CLT
</t>
  </si>
  <si>
    <t xml:space="preserve">(quantidade de dias de faltas correspondente a acidente de trabalho)/((30 dias)*(12meses))</t>
  </si>
  <si>
    <t xml:space="preserve">&lt;Apresentar referência&gt;</t>
  </si>
  <si>
    <t xml:space="preserve">&lt;Apresentar memorial de cálculo&gt;</t>
  </si>
  <si>
    <t xml:space="preserve">Resumo - Jan/ano1 a Mar/ano1</t>
  </si>
  <si>
    <t xml:space="preserve">Módulo:</t>
  </si>
  <si>
    <t xml:space="preserve">Descrição</t>
  </si>
  <si>
    <t xml:space="preserve">Valor (R$/mês)</t>
  </si>
  <si>
    <t xml:space="preserve">Nota: Com base na Convenção Coletiva de Trabalho da Categoria dos 3 últimos anos tem-se que o reajuste salarial médio é de 6,2%</t>
  </si>
  <si>
    <t xml:space="preserve">Resumo - Abr/ano1 a Mar/ano2 - Reajuste Salarial de 6,2%</t>
  </si>
  <si>
    <t xml:space="preserve">Resumo - Abr/ano2 a Mar/ano3 - Reajuste Salarial de 6,2%</t>
  </si>
  <si>
    <t xml:space="preserve">Resumo - Abr/ano3 a Mar/ano4 - Reajuste Salarial de 6,2%</t>
  </si>
  <si>
    <t xml:space="preserve">Resumo - Abr/ano4 a Mar/ano5 - Reajuste Salarial de 6,2%</t>
  </si>
  <si>
    <t xml:space="preserve">Resumo - Abr/ano5 a Dez/ano5 - Reajuste Salarial de 6,2%</t>
  </si>
  <si>
    <t xml:space="preserve">COMPOSIÇÃO DA FOLHA DE PAGAMENTO - ORIENTADOR DE TRÁFEGO</t>
  </si>
  <si>
    <t xml:space="preserve">Orientador de tráfego - 44 horas semanais</t>
  </si>
  <si>
    <t xml:space="preserve">5199-25</t>
  </si>
  <si>
    <t xml:space="preserve">Uniformes</t>
  </si>
  <si>
    <t xml:space="preserve">Jaqueta de frio ou japona</t>
  </si>
  <si>
    <t xml:space="preserve">Capa de nylon</t>
  </si>
  <si>
    <t xml:space="preserve">Quepe boné</t>
  </si>
  <si>
    <t xml:space="preserve">I</t>
  </si>
  <si>
    <r>
      <rPr>
        <sz val="10"/>
        <color rgb="FF000000"/>
        <rFont val="Times New Roman"/>
        <family val="0"/>
        <charset val="1"/>
      </rPr>
      <t xml:space="preserve">Apito com cordão</t>
    </r>
    <r>
      <rPr>
        <vertAlign val="superscript"/>
        <sz val="10"/>
        <color rgb="FF000000"/>
        <rFont val="Times New Roman"/>
        <family val="0"/>
        <charset val="1"/>
      </rPr>
      <t xml:space="preserve">(2)</t>
    </r>
  </si>
  <si>
    <t xml:space="preserve">Nota (2)</t>
  </si>
  <si>
    <t xml:space="preserve">COMPOSIÇÃO DA FOLHA DE PAGAMENTO - SUPERVISOR</t>
  </si>
  <si>
    <t xml:space="preserve">Supervisor - 44 horas semanais</t>
  </si>
  <si>
    <t xml:space="preserve">4101-05</t>
  </si>
  <si>
    <t xml:space="preserve">COMPOSIÇÃO DA FOLHA DE PAGAMENTO - ENCARREGADO</t>
  </si>
  <si>
    <t xml:space="preserve">Encarregado - 44 horas semanais</t>
  </si>
  <si>
    <t xml:space="preserve">COMPOSIÇÃO DA FOLHA DE PAGAMENTO - VIGIA DIURNO</t>
  </si>
  <si>
    <t xml:space="preserve">Vigia Diurno - 12 horas de trabalho por 36 horas de descanso</t>
  </si>
  <si>
    <t xml:space="preserve">5174-20</t>
  </si>
  <si>
    <t xml:space="preserve"> Uniformes E Equipamentos</t>
  </si>
  <si>
    <t xml:space="preserve">Calça</t>
  </si>
  <si>
    <t xml:space="preserve">Camisa manga comprida</t>
  </si>
  <si>
    <t xml:space="preserve">Camisa de manga</t>
  </si>
  <si>
    <t xml:space="preserve">J</t>
  </si>
  <si>
    <r>
      <rPr>
        <sz val="10"/>
        <color rgb="FF000000"/>
        <rFont val="Times New Roman"/>
        <family val="0"/>
        <charset val="1"/>
      </rPr>
      <t xml:space="preserve">Cassetete</t>
    </r>
    <r>
      <rPr>
        <vertAlign val="superscript"/>
        <sz val="10"/>
        <color rgb="FF000000"/>
        <rFont val="Times New Roman"/>
        <family val="0"/>
        <charset val="1"/>
      </rPr>
      <t xml:space="preserve">(1)</t>
    </r>
    <r>
      <rPr>
        <sz val="10"/>
        <color rgb="FF000000"/>
        <rFont val="Times New Roman"/>
        <family val="0"/>
        <charset val="1"/>
      </rPr>
      <t xml:space="preserve"> </t>
    </r>
  </si>
  <si>
    <r>
      <rPr>
        <sz val="10"/>
        <color rgb="FF000000"/>
        <rFont val="Times New Roman"/>
        <family val="0"/>
        <charset val="1"/>
      </rPr>
      <t xml:space="preserve">Porta cassetete</t>
    </r>
    <r>
      <rPr>
        <vertAlign val="superscript"/>
        <sz val="10"/>
        <color rgb="FF000000"/>
        <rFont val="Times New Roman"/>
        <family val="0"/>
        <charset val="1"/>
      </rPr>
      <t xml:space="preserve">(1)</t>
    </r>
  </si>
  <si>
    <r>
      <rPr>
        <sz val="10"/>
        <color rgb="FF000000"/>
        <rFont val="Times New Roman"/>
        <family val="0"/>
        <charset val="1"/>
      </rPr>
      <t xml:space="preserve">Colete a prova de balas</t>
    </r>
    <r>
      <rPr>
        <vertAlign val="superscript"/>
        <sz val="10"/>
        <color rgb="FF000000"/>
        <rFont val="Times New Roman"/>
        <family val="0"/>
        <charset val="1"/>
      </rPr>
      <t xml:space="preserve">(1)</t>
    </r>
  </si>
  <si>
    <r>
      <rPr>
        <sz val="10"/>
        <color rgb="FF000000"/>
        <rFont val="Times New Roman"/>
        <family val="0"/>
        <charset val="1"/>
      </rPr>
      <t xml:space="preserve">Revolver calibre 38</t>
    </r>
    <r>
      <rPr>
        <vertAlign val="superscript"/>
        <sz val="10"/>
        <color rgb="FF000000"/>
        <rFont val="Times New Roman"/>
        <family val="0"/>
        <charset val="1"/>
      </rPr>
      <t xml:space="preserve">(2)</t>
    </r>
  </si>
  <si>
    <r>
      <rPr>
        <sz val="10"/>
        <color rgb="FF000000"/>
        <rFont val="Times New Roman"/>
        <family val="0"/>
        <charset val="1"/>
      </rPr>
      <t xml:space="preserve">Cinturão para revólver</t>
    </r>
    <r>
      <rPr>
        <vertAlign val="superscript"/>
        <sz val="10"/>
        <color rgb="FF000000"/>
        <rFont val="Times New Roman"/>
        <family val="0"/>
        <charset val="1"/>
      </rPr>
      <t xml:space="preserve">(2)</t>
    </r>
  </si>
  <si>
    <r>
      <rPr>
        <sz val="10"/>
        <color rgb="FF000000"/>
        <rFont val="Times New Roman"/>
        <family val="0"/>
        <charset val="1"/>
      </rPr>
      <t xml:space="preserve">Coldre</t>
    </r>
    <r>
      <rPr>
        <vertAlign val="superscript"/>
        <sz val="10"/>
        <color rgb="FF000000"/>
        <rFont val="Times New Roman"/>
        <family val="0"/>
        <charset val="1"/>
      </rPr>
      <t xml:space="preserve">(2)</t>
    </r>
  </si>
  <si>
    <r>
      <rPr>
        <sz val="10"/>
        <color rgb="FF000000"/>
        <rFont val="Times New Roman"/>
        <family val="0"/>
        <charset val="1"/>
      </rPr>
      <t xml:space="preserve">Munição calibre 38</t>
    </r>
    <r>
      <rPr>
        <vertAlign val="superscript"/>
        <sz val="10"/>
        <color rgb="FF000000"/>
        <rFont val="Times New Roman"/>
        <family val="0"/>
        <charset val="1"/>
      </rPr>
      <t xml:space="preserve">(2)</t>
    </r>
  </si>
  <si>
    <r>
      <rPr>
        <sz val="10"/>
        <color rgb="FF000000"/>
        <rFont val="Times New Roman"/>
        <family val="0"/>
        <charset val="1"/>
      </rPr>
      <t xml:space="preserve">Capa para colete balístico</t>
    </r>
    <r>
      <rPr>
        <vertAlign val="superscript"/>
        <sz val="10"/>
        <color rgb="FF000000"/>
        <rFont val="Times New Roman"/>
        <family val="0"/>
        <charset val="1"/>
      </rPr>
      <t xml:space="preserve">(3)</t>
    </r>
  </si>
  <si>
    <r>
      <rPr>
        <sz val="10"/>
        <color rgb="FF000000"/>
        <rFont val="Times New Roman"/>
        <family val="0"/>
        <charset val="1"/>
      </rPr>
      <t xml:space="preserve">Apito com cordão</t>
    </r>
    <r>
      <rPr>
        <vertAlign val="superscript"/>
        <sz val="10"/>
        <color rgb="FF000000"/>
        <rFont val="Times New Roman"/>
        <family val="0"/>
        <charset val="1"/>
      </rPr>
      <t xml:space="preserve">(3)</t>
    </r>
  </si>
  <si>
    <t xml:space="preserve">L</t>
  </si>
  <si>
    <t xml:space="preserve">Nota (3)</t>
  </si>
  <si>
    <t xml:space="preserve">COMPOSIÇÃO DA FOLHA DE PAGAMENTO - VIGIA NOTURNO</t>
  </si>
  <si>
    <t xml:space="preserve">Vigia Noturno - 12 horas de trabalho por 36 horas de descanso</t>
  </si>
  <si>
    <t xml:space="preserve">Adicional Noturno</t>
  </si>
  <si>
    <t xml:space="preserve">Clásula Quinta do CCT- Piso Salariais </t>
  </si>
  <si>
    <t xml:space="preserve">COMPOSIÇÃO DO CUSTO MENSAL DO AUTOMÓVEL</t>
  </si>
  <si>
    <t xml:space="preserve">Informações preliminares</t>
  </si>
  <si>
    <t xml:space="preserve">Período de vigência da concessão</t>
  </si>
  <si>
    <t xml:space="preserve">meses</t>
  </si>
  <si>
    <t xml:space="preserve">Modelo de carro usado para cotação:</t>
  </si>
  <si>
    <t xml:space="preserve">UNO ATTRACTIVE 1.0 Flex 6V 5p</t>
  </si>
  <si>
    <t xml:space="preserve">Distância pecorrida por mês</t>
  </si>
  <si>
    <t xml:space="preserve">Km</t>
  </si>
  <si>
    <t xml:space="preserve">Quilometragem total na vigência da Concessão:</t>
  </si>
  <si>
    <t xml:space="preserve">Custos Variáveis</t>
  </si>
  <si>
    <t xml:space="preserve">Periodic.</t>
  </si>
  <si>
    <t xml:space="preserve">Unid</t>
  </si>
  <si>
    <t xml:space="preserve">Preço (R$)</t>
  </si>
  <si>
    <t xml:space="preserve">Total Mensal (R$)</t>
  </si>
  <si>
    <t xml:space="preserve">Consumo de combustível</t>
  </si>
  <si>
    <t xml:space="preserve">km/l</t>
  </si>
  <si>
    <t xml:space="preserve">Lavagem </t>
  </si>
  <si>
    <t xml:space="preserve">unid</t>
  </si>
  <si>
    <t xml:space="preserve">Alinhamento</t>
  </si>
  <si>
    <t xml:space="preserve">km</t>
  </si>
  <si>
    <t xml:space="preserve">Balanceamento</t>
  </si>
  <si>
    <t xml:space="preserve">Troca de Pneus </t>
  </si>
  <si>
    <t xml:space="preserve">Módulo 2</t>
  </si>
  <si>
    <t xml:space="preserve">Revisão Programada durante a vigência da concessão</t>
  </si>
  <si>
    <t xml:space="preserve">Revisões</t>
  </si>
  <si>
    <t xml:space="preserve">Quilometragem</t>
  </si>
  <si>
    <t xml:space="preserve">Revisões Necessárias</t>
  </si>
  <si>
    <t xml:space="preserve">Total (R$)</t>
  </si>
  <si>
    <t xml:space="preserve">1ª Revisão</t>
  </si>
  <si>
    <t xml:space="preserve">2ª Revisão </t>
  </si>
  <si>
    <t xml:space="preserve">3ª Revisão</t>
  </si>
  <si>
    <t xml:space="preserve">4ª Revisão</t>
  </si>
  <si>
    <t xml:space="preserve">5ª Revisão</t>
  </si>
  <si>
    <t xml:space="preserve">2.6</t>
  </si>
  <si>
    <t xml:space="preserve">6ª Revisão</t>
  </si>
  <si>
    <t xml:space="preserve">Módulo 3</t>
  </si>
  <si>
    <t xml:space="preserve">Custos Fixos</t>
  </si>
  <si>
    <t xml:space="preserve">Anual (R$)</t>
  </si>
  <si>
    <t xml:space="preserve">IPVA</t>
  </si>
  <si>
    <t xml:space="preserve">Lei 6194 - DPVAT</t>
  </si>
  <si>
    <t xml:space="preserve">Seguro Obrigatório</t>
  </si>
  <si>
    <t xml:space="preserve">Fonte: http://www.susep.gov.br/setores-susep/cgpro/dpvat/?searchterm=dpvat</t>
  </si>
  <si>
    <t xml:space="preserve">3.3</t>
  </si>
  <si>
    <t xml:space="preserve">Licenciamento</t>
  </si>
  <si>
    <t xml:space="preserve">http://www.detran.rj.gov.br/_documento.asp?cod=1231#taxa</t>
  </si>
  <si>
    <t xml:space="preserve">3.4</t>
  </si>
  <si>
    <t xml:space="preserve">Seguro</t>
  </si>
  <si>
    <t xml:space="preserve">3.5</t>
  </si>
  <si>
    <t xml:space="preserve">Módulo 4</t>
  </si>
  <si>
    <t xml:space="preserve">Depreciação</t>
  </si>
  <si>
    <t xml:space="preserve">Preço do carro (R$)</t>
  </si>
  <si>
    <t xml:space="preserve">Vida útil do carro (meses)</t>
  </si>
  <si>
    <t xml:space="preserve">Depreciação (R$/mês)</t>
  </si>
  <si>
    <t xml:space="preserve">Módulos</t>
  </si>
  <si>
    <t xml:space="preserve">Resultados</t>
  </si>
  <si>
    <t xml:space="preserve">Total da Despesa mensal</t>
  </si>
  <si>
    <t xml:space="preserve">Referências Notas e memória de cálculo</t>
  </si>
  <si>
    <t xml:space="preserve">Ref</t>
  </si>
  <si>
    <t xml:space="preserve">Tabela de Consulo/Eficiencia Energética Veículos Automotores Leves do INMETRO, disponível em: http://www.inmetro.gov.br/consumidor/pbe/veiculos_leves_2017.pdf</t>
  </si>
  <si>
    <t xml:space="preserve">(Distância pecorrida por mês)*(Preço do combustível)/(Quilometragem por litro)</t>
  </si>
  <si>
    <t xml:space="preserve">Nota</t>
  </si>
  <si>
    <t xml:space="preserve">Foi considerado 1 lavagem por semana </t>
  </si>
  <si>
    <t xml:space="preserve">(Número de lavegem no mês)*(preço da lavagem)</t>
  </si>
  <si>
    <t xml:space="preserve">(Preço do serviço de alinhamento)*(Distância pecorrida por mês)/(Quilimetragem de periodicidade do serviço)</t>
  </si>
  <si>
    <t xml:space="preserve">(Preço do serviço de balanceamento)*(Distância pecorrida por mês)/(Quilimetragem de periodicidade do serviço)</t>
  </si>
  <si>
    <t xml:space="preserve">(Preço do serviço de troca de pneus)*(Distância pecorrida por mês)/(Quilimetragem de periodicidade do serviço)</t>
  </si>
  <si>
    <t xml:space="preserve">Para o cálculo foi considerado seis revisões programadas conforme proposto pelo fabricante do automóvel</t>
  </si>
  <si>
    <t xml:space="preserve">Mem. Cal. </t>
  </si>
  <si>
    <t xml:space="preserve">(Preço da revisão)/(Período de vigência da concessão)</t>
  </si>
  <si>
    <t xml:space="preserve">Artigo 10 da Lei nº 2.877 de 22 de dezembro de 1997.</t>
  </si>
  <si>
    <t xml:space="preserve">0,5%*(Preço do carro)/(12 meses)</t>
  </si>
  <si>
    <t xml:space="preserve">Lei nº 6.194, de 19 de Dezembro de 1974</t>
  </si>
  <si>
    <t xml:space="preserve">Fonte</t>
  </si>
  <si>
    <t xml:space="preserve">http://www.susep.gov.br/setores-susep/cgpro/dpvat/?searchterm=dpvat</t>
  </si>
  <si>
    <t xml:space="preserve">[(Premio Tarifário)x(1+alíquota do IOF) + R$ 4,15 (custo da emissão do bilhete do seguro DPVAT)]/(12 meses)</t>
  </si>
  <si>
    <t xml:space="preserve">(Valor de licenciamento Anual)/(12 meses)</t>
  </si>
  <si>
    <t xml:space="preserve">(Valor anual de Seguro)/(12 meses)</t>
  </si>
  <si>
    <t xml:space="preserve">Tabela Fipe, disponível em: http://veiculos.fipe.org.br/</t>
  </si>
  <si>
    <t xml:space="preserve">(Preço do Carro)/(Vida útil do carro)</t>
  </si>
  <si>
    <t xml:space="preserve">COMPOSIÇÃO DO CUSTO MENSAL DA MOTO</t>
  </si>
  <si>
    <t xml:space="preserve">Modelo de moto usado para cotação:</t>
  </si>
  <si>
    <t xml:space="preserve">HONDA CG 160 START</t>
  </si>
  <si>
    <t xml:space="preserve">Troca de pneu dianteiro</t>
  </si>
  <si>
    <t xml:space="preserve">Troca de pneu traseiro</t>
  </si>
  <si>
    <t xml:space="preserve">Preço da moto (R$)</t>
  </si>
  <si>
    <t xml:space="preserve">http://motosnovas.com.br/nova-cg-160-start-2017/</t>
  </si>
  <si>
    <t xml:space="preserve">Para o cálculo foi considerado seis revisões programadas conforme proposto pelo fabricante da moto</t>
  </si>
  <si>
    <t xml:space="preserve">2%*(Preço do carro)/(12 meses)</t>
  </si>
</sst>
</file>

<file path=xl/styles.xml><?xml version="1.0" encoding="utf-8"?>
<styleSheet xmlns="http://schemas.openxmlformats.org/spreadsheetml/2006/main">
  <numFmts count="10">
    <numFmt numFmtId="164" formatCode="General"/>
    <numFmt numFmtId="165" formatCode="0%"/>
    <numFmt numFmtId="166" formatCode="0.00"/>
    <numFmt numFmtId="167" formatCode="&quot;R$ &quot;#,##0.00"/>
    <numFmt numFmtId="168" formatCode="0.00%"/>
    <numFmt numFmtId="169" formatCode="#,##0.00"/>
    <numFmt numFmtId="170" formatCode="000"/>
    <numFmt numFmtId="171" formatCode="_-&quot;R$ &quot;* #,##0.00_-;&quot;-R$ &quot;* #,##0.00_-;_-&quot;R$ &quot;* \-??_-;_-@_-"/>
    <numFmt numFmtId="172" formatCode="0.0"/>
    <numFmt numFmtId="173" formatCode="#,##0"/>
  </numFmts>
  <fonts count="20">
    <font>
      <sz val="11"/>
      <color rgb="FF000000"/>
      <name val="Calibri"/>
      <family val="2"/>
      <charset val="1"/>
    </font>
    <font>
      <sz val="10"/>
      <name val="Arial"/>
      <family val="0"/>
    </font>
    <font>
      <sz val="10"/>
      <name val="Arial"/>
      <family val="0"/>
    </font>
    <font>
      <sz val="10"/>
      <name val="Arial"/>
      <family val="0"/>
    </font>
    <font>
      <sz val="10"/>
      <color rgb="FF000000"/>
      <name val="Times New Roman"/>
      <family val="0"/>
      <charset val="1"/>
    </font>
    <font>
      <b val="true"/>
      <sz val="10"/>
      <color rgb="FF000000"/>
      <name val="Times New Roman"/>
      <family val="0"/>
      <charset val="1"/>
    </font>
    <font>
      <sz val="10"/>
      <color rgb="FF0000FF"/>
      <name val="Times New Roman"/>
      <family val="0"/>
      <charset val="1"/>
    </font>
    <font>
      <sz val="10"/>
      <name val="Times New Roman"/>
      <family val="0"/>
      <charset val="1"/>
    </font>
    <font>
      <u val="single"/>
      <sz val="10"/>
      <color rgb="FF002060"/>
      <name val="Times New Roman"/>
      <family val="0"/>
      <charset val="1"/>
    </font>
    <font>
      <b val="true"/>
      <sz val="9"/>
      <color rgb="FF000000"/>
      <name val="Times New Roman"/>
      <family val="0"/>
      <charset val="1"/>
    </font>
    <font>
      <b val="true"/>
      <sz val="10"/>
      <color rgb="FFFF0000"/>
      <name val="Times New Roman"/>
      <family val="0"/>
      <charset val="1"/>
    </font>
    <font>
      <i val="true"/>
      <sz val="10"/>
      <color rgb="FF000000"/>
      <name val="Times New Roman"/>
      <family val="0"/>
      <charset val="1"/>
    </font>
    <font>
      <sz val="7"/>
      <color rgb="FF000000"/>
      <name val="Times New Roman"/>
      <family val="0"/>
      <charset val="1"/>
    </font>
    <font>
      <sz val="9"/>
      <color rgb="FF000000"/>
      <name val="Times New Roman"/>
      <family val="0"/>
      <charset val="1"/>
    </font>
    <font>
      <sz val="10"/>
      <color rgb="FFFFFFFF"/>
      <name val="Times New Roman"/>
      <family val="0"/>
      <charset val="1"/>
    </font>
    <font>
      <b val="true"/>
      <sz val="8"/>
      <color rgb="FF000000"/>
      <name val="Times New Roman"/>
      <family val="0"/>
      <charset val="1"/>
    </font>
    <font>
      <sz val="8"/>
      <color rgb="FF000000"/>
      <name val="Times New Roman"/>
      <family val="0"/>
      <charset val="1"/>
    </font>
    <font>
      <b val="true"/>
      <sz val="10"/>
      <color rgb="FFFFFFFF"/>
      <name val="Times New Roman"/>
      <family val="0"/>
      <charset val="1"/>
    </font>
    <font>
      <sz val="10"/>
      <color rgb="FF000000"/>
      <name val="Times New Roman"/>
      <family val="1"/>
      <charset val="1"/>
    </font>
    <font>
      <vertAlign val="superscript"/>
      <sz val="10"/>
      <color rgb="FF000000"/>
      <name val="Times New Roman"/>
      <family val="0"/>
      <charset val="1"/>
    </font>
  </fonts>
  <fills count="7">
    <fill>
      <patternFill patternType="none"/>
    </fill>
    <fill>
      <patternFill patternType="gray125"/>
    </fill>
    <fill>
      <patternFill patternType="solid">
        <fgColor rgb="FFD7E4BD"/>
        <bgColor rgb="FFD9D9D9"/>
      </patternFill>
    </fill>
    <fill>
      <patternFill patternType="solid">
        <fgColor rgb="FFD9D9D9"/>
        <bgColor rgb="FFD7E4BD"/>
      </patternFill>
    </fill>
    <fill>
      <patternFill patternType="solid">
        <fgColor rgb="FFC6EFCE"/>
        <bgColor rgb="FFD7E4BD"/>
      </patternFill>
    </fill>
    <fill>
      <patternFill patternType="solid">
        <fgColor rgb="FFFFC7CE"/>
        <bgColor rgb="FFD9D9D9"/>
      </patternFill>
    </fill>
    <fill>
      <patternFill patternType="solid">
        <fgColor rgb="FFF2F2F2"/>
        <bgColor rgb="FFFFFFFF"/>
      </patternFill>
    </fill>
  </fills>
  <borders count="8">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style="thin"/>
      <right/>
      <top style="thin"/>
      <bottom/>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71"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7" fillId="0" borderId="0" applyFont="true" applyBorder="false" applyAlignment="true" applyProtection="false">
      <alignment horizontal="general" vertical="bottom" textRotation="0" wrapText="false" indent="0" shrinkToFit="false"/>
    </xf>
  </cellStyleXfs>
  <cellXfs count="17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2" borderId="0" xfId="0" applyFont="true" applyBorder="false" applyAlignment="true" applyProtection="false">
      <alignment horizontal="general" vertical="center" textRotation="0" wrapText="false" indent="0" shrinkToFit="false"/>
      <protection locked="true" hidden="false"/>
    </xf>
    <xf numFmtId="164" fontId="5" fillId="3" borderId="0" xfId="0" applyFont="true" applyBorder="true" applyAlignment="true" applyProtection="false">
      <alignment horizontal="center" vertical="center" textRotation="0" wrapText="false" indent="0" shrinkToFit="false"/>
      <protection locked="true" hidden="false"/>
    </xf>
    <xf numFmtId="164" fontId="5" fillId="3" borderId="0" xfId="0" applyFont="true" applyBorder="false" applyAlignment="true" applyProtection="false">
      <alignment horizontal="general" vertical="center" textRotation="0" wrapText="false" indent="0" shrinkToFit="false"/>
      <protection locked="true" hidden="false"/>
    </xf>
    <xf numFmtId="164" fontId="6" fillId="4" borderId="1" xfId="20" applyFont="true" applyBorder="tru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true" indent="0" shrinkToFit="false"/>
      <protection locked="true" hidden="false"/>
    </xf>
    <xf numFmtId="164" fontId="5" fillId="3" borderId="1" xfId="0" applyFont="true" applyBorder="true" applyAlignment="true" applyProtection="false">
      <alignment horizontal="center" vertical="center" textRotation="0" wrapText="false" indent="0" shrinkToFit="false"/>
      <protection locked="true" hidden="false"/>
    </xf>
    <xf numFmtId="164" fontId="8" fillId="0" borderId="1" xfId="2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false">
      <alignment horizontal="left" vertical="center" textRotation="0" wrapText="fals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6" fillId="5" borderId="1" xfId="20" applyFont="true" applyBorder="true" applyAlignment="true" applyProtection="true">
      <alignment horizontal="center" vertical="center" textRotation="0" wrapText="false" indent="0" shrinkToFit="false"/>
      <protection locked="true" hidden="false"/>
    </xf>
    <xf numFmtId="164" fontId="7" fillId="0" borderId="0" xfId="20" applyFont="false" applyBorder="true" applyAlignment="true" applyProtection="true">
      <alignment horizontal="general" vertical="center" textRotation="0" wrapText="false" indent="0" shrinkToFit="false"/>
      <protection locked="true" hidden="false"/>
    </xf>
    <xf numFmtId="164" fontId="5" fillId="0" borderId="0" xfId="0" applyFont="true" applyBorder="true" applyAlignment="true" applyProtection="false">
      <alignment horizontal="general"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4" fillId="0" borderId="1" xfId="0" applyFont="true" applyBorder="true" applyAlignment="true" applyProtection="false">
      <alignment horizontal="general"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false" indent="0" shrinkToFit="false"/>
      <protection locked="true" hidden="false"/>
    </xf>
    <xf numFmtId="164" fontId="4" fillId="0" borderId="1" xfId="0" applyFont="true" applyBorder="true" applyAlignment="true" applyProtection="false">
      <alignment horizontal="general" vertical="center" textRotation="0" wrapText="false" indent="0" shrinkToFit="false"/>
      <protection locked="true" hidden="false"/>
    </xf>
    <xf numFmtId="165" fontId="4" fillId="0" borderId="1" xfId="19" applyFont="true" applyBorder="true" applyAlignment="true" applyProtection="true">
      <alignment horizontal="center" vertical="center" textRotation="0" wrapText="false" indent="0" shrinkToFit="false"/>
      <protection locked="true" hidden="false"/>
    </xf>
    <xf numFmtId="166" fontId="4" fillId="0" borderId="1" xfId="0" applyFont="true" applyBorder="true" applyAlignment="true" applyProtection="false">
      <alignment horizontal="center" vertical="center" textRotation="0" wrapText="false" indent="0" shrinkToFit="false"/>
      <protection locked="true" hidden="false"/>
    </xf>
    <xf numFmtId="164" fontId="6" fillId="0" borderId="1" xfId="20" applyFont="true" applyBorder="true" applyAlignment="true" applyProtection="true">
      <alignment horizontal="center" vertical="center" textRotation="0" wrapText="false" indent="0" shrinkToFit="false"/>
      <protection locked="true" hidden="false"/>
    </xf>
    <xf numFmtId="164" fontId="10" fillId="0" borderId="0" xfId="0" applyFont="true" applyBorder="true" applyAlignment="true" applyProtection="false">
      <alignment horizontal="center"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false" indent="0" shrinkToFit="false"/>
      <protection locked="true" hidden="false"/>
    </xf>
    <xf numFmtId="167" fontId="4" fillId="2" borderId="1" xfId="0" applyFont="true" applyBorder="true" applyAlignment="true" applyProtection="true">
      <alignment horizontal="center" vertical="center" textRotation="0" wrapText="true" indent="0" shrinkToFit="false"/>
      <protection locked="false" hidden="false"/>
    </xf>
    <xf numFmtId="164" fontId="11" fillId="0" borderId="1" xfId="0" applyFont="true" applyBorder="true" applyAlignment="true" applyProtection="false">
      <alignment horizontal="center" vertical="center" textRotation="0" wrapText="fals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8" fontId="5" fillId="0" borderId="1" xfId="19"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8" fontId="4" fillId="2" borderId="1" xfId="19" applyFont="true" applyBorder="true" applyAlignment="true" applyProtection="true">
      <alignment horizontal="center" vertical="center" textRotation="0" wrapText="false" indent="0" shrinkToFit="false"/>
      <protection locked="false" hidden="false"/>
    </xf>
    <xf numFmtId="168" fontId="4" fillId="0" borderId="1" xfId="19" applyFont="true" applyBorder="true" applyAlignment="true" applyProtection="true">
      <alignment horizontal="center" vertical="center" textRotation="0" wrapText="false" indent="0" shrinkToFit="false"/>
      <protection locked="true" hidden="false"/>
    </xf>
    <xf numFmtId="164" fontId="5" fillId="0" borderId="1" xfId="0" applyFont="true" applyBorder="true" applyAlignment="true" applyProtection="false">
      <alignment horizontal="general" vertical="center" textRotation="0" wrapText="false" indent="0" shrinkToFit="false"/>
      <protection locked="true" hidden="false"/>
    </xf>
    <xf numFmtId="165" fontId="5" fillId="2" borderId="1" xfId="19" applyFont="true" applyBorder="true" applyAlignment="true" applyProtection="true">
      <alignment horizontal="center" vertical="center" textRotation="0" wrapText="false" indent="0" shrinkToFit="false"/>
      <protection locked="false" hidden="false"/>
    </xf>
    <xf numFmtId="164" fontId="4" fillId="0" borderId="0" xfId="0" applyFont="true" applyBorder="false" applyAlignment="true" applyProtection="true">
      <alignment horizontal="general" vertical="center" textRotation="0" wrapText="false" indent="0" shrinkToFit="false"/>
      <protection locked="false" hidden="false"/>
    </xf>
    <xf numFmtId="169" fontId="9" fillId="0" borderId="1" xfId="0" applyFont="true" applyBorder="true" applyAlignment="true" applyProtection="false">
      <alignment horizontal="center" vertical="center" textRotation="0" wrapText="false" indent="0" shrinkToFit="false"/>
      <protection locked="true" hidden="false"/>
    </xf>
    <xf numFmtId="170" fontId="4" fillId="0" borderId="1" xfId="0" applyFont="true" applyBorder="true" applyAlignment="true" applyProtection="false">
      <alignment horizontal="center" vertical="center" textRotation="0" wrapText="false" indent="0" shrinkToFit="false"/>
      <protection locked="true" hidden="false"/>
    </xf>
    <xf numFmtId="169" fontId="4" fillId="0" borderId="1" xfId="0" applyFont="true" applyBorder="true" applyAlignment="true" applyProtection="false">
      <alignment horizontal="center" vertical="center" textRotation="0" wrapText="false" indent="0" shrinkToFit="false"/>
      <protection locked="true" hidden="false"/>
    </xf>
    <xf numFmtId="169" fontId="4" fillId="2" borderId="1" xfId="0" applyFont="true" applyBorder="true" applyAlignment="true" applyProtection="true">
      <alignment horizontal="center" vertical="center" textRotation="0" wrapText="false" indent="0" shrinkToFit="false"/>
      <protection locked="false" hidden="false"/>
    </xf>
    <xf numFmtId="169" fontId="4" fillId="0" borderId="0" xfId="0" applyFont="true" applyBorder="false" applyAlignment="true" applyProtection="false">
      <alignment horizontal="general" vertical="center" textRotation="0" wrapText="false" indent="0" shrinkToFit="false"/>
      <protection locked="true" hidden="false"/>
    </xf>
    <xf numFmtId="170" fontId="12" fillId="0" borderId="1" xfId="0" applyFont="true" applyBorder="true" applyAlignment="true" applyProtection="false">
      <alignment horizontal="center" vertical="center" textRotation="0" wrapText="false" indent="0" shrinkToFit="false"/>
      <protection locked="true" hidden="false"/>
    </xf>
    <xf numFmtId="164" fontId="12" fillId="0" borderId="1"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6" fontId="4" fillId="0" borderId="0" xfId="0" applyFont="true" applyBorder="fals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4" fillId="0" borderId="2" xfId="0" applyFont="true" applyBorder="true" applyAlignment="true" applyProtection="false">
      <alignment horizontal="general" vertical="center" textRotation="0" wrapText="false" indent="0" shrinkToFit="false"/>
      <protection locked="true" hidden="false"/>
    </xf>
    <xf numFmtId="164" fontId="4" fillId="0" borderId="3" xfId="0" applyFont="true" applyBorder="true" applyAlignment="true" applyProtection="false">
      <alignment horizontal="general" vertical="center" textRotation="0" wrapText="false" indent="0" shrinkToFit="false"/>
      <protection locked="true" hidden="false"/>
    </xf>
    <xf numFmtId="164" fontId="4" fillId="0" borderId="4" xfId="0" applyFont="true" applyBorder="true" applyAlignment="true" applyProtection="false">
      <alignment horizontal="general" vertical="center" textRotation="0" wrapText="false" indent="0" shrinkToFit="false"/>
      <protection locked="true" hidden="false"/>
    </xf>
    <xf numFmtId="164" fontId="4" fillId="0" borderId="0" xfId="0" applyFont="true" applyBorder="true" applyAlignment="true" applyProtection="false">
      <alignment horizontal="general" vertical="center" textRotation="0" wrapText="false" indent="0" shrinkToFit="false"/>
      <protection locked="true" hidden="false"/>
    </xf>
    <xf numFmtId="169" fontId="4" fillId="0" borderId="1" xfId="17" applyFont="true" applyBorder="true" applyAlignment="true" applyProtection="true">
      <alignment horizontal="center" vertical="center" textRotation="0" wrapText="false" indent="0" shrinkToFit="false"/>
      <protection locked="true" hidden="false"/>
    </xf>
    <xf numFmtId="169" fontId="5" fillId="0" borderId="1" xfId="17" applyFont="true" applyBorder="true" applyAlignment="true" applyProtection="true">
      <alignment horizontal="center" vertical="center" textRotation="0" wrapText="false" indent="0" shrinkToFit="false"/>
      <protection locked="true" hidden="false"/>
    </xf>
    <xf numFmtId="169" fontId="5" fillId="0" borderId="1" xfId="0" applyFont="true" applyBorder="true" applyAlignment="true" applyProtection="false">
      <alignment horizontal="center" vertical="center" textRotation="0" wrapText="fals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5" fontId="0" fillId="0" borderId="1" xfId="19" applyFont="true" applyBorder="true" applyAlignment="true" applyProtection="true">
      <alignment horizontal="center" vertical="bottom" textRotation="0" wrapText="false" indent="0" shrinkToFit="false"/>
      <protection locked="true" hidden="false"/>
    </xf>
    <xf numFmtId="166" fontId="0" fillId="0" borderId="1" xfId="0" applyFont="false" applyBorder="true" applyAlignment="true" applyProtection="false">
      <alignment horizontal="center" vertical="bottom" textRotation="0" wrapText="false" indent="0" shrinkToFit="false"/>
      <protection locked="true" hidden="false"/>
    </xf>
    <xf numFmtId="169" fontId="0" fillId="0" borderId="1" xfId="0" applyFont="false" applyBorder="true" applyAlignment="true" applyProtection="false">
      <alignment horizontal="center"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9" fillId="3" borderId="1" xfId="0" applyFont="true" applyBorder="true" applyAlignment="true" applyProtection="false">
      <alignment horizontal="center" vertical="center" textRotation="0" wrapText="false" indent="0" shrinkToFit="false"/>
      <protection locked="true" hidden="false"/>
    </xf>
    <xf numFmtId="166" fontId="4" fillId="0" borderId="1" xfId="0" applyFont="true" applyBorder="true" applyAlignment="true" applyProtection="false">
      <alignment horizontal="center" vertical="bottom" textRotation="0" wrapText="false" indent="0" shrinkToFit="false"/>
      <protection locked="true" hidden="false"/>
    </xf>
    <xf numFmtId="169" fontId="4" fillId="0" borderId="1" xfId="0" applyFont="true" applyBorder="true" applyAlignment="true" applyProtection="false">
      <alignment horizontal="center" vertical="bottom" textRotation="0" wrapText="false" indent="0" shrinkToFit="false"/>
      <protection locked="true" hidden="false"/>
    </xf>
    <xf numFmtId="168" fontId="4" fillId="0" borderId="1" xfId="0" applyFont="true" applyBorder="true" applyAlignment="true" applyProtection="false">
      <alignment horizontal="center" vertical="bottom" textRotation="0" wrapText="false" indent="0" shrinkToFit="false"/>
      <protection locked="true" hidden="false"/>
    </xf>
    <xf numFmtId="165" fontId="4" fillId="0" borderId="1" xfId="0" applyFont="true" applyBorder="true" applyAlignment="true" applyProtection="false">
      <alignment horizontal="center" vertical="bottom" textRotation="0" wrapText="false" indent="0" shrinkToFit="false"/>
      <protection locked="true" hidden="false"/>
    </xf>
    <xf numFmtId="169" fontId="13" fillId="0" borderId="1" xfId="0" applyFont="true" applyBorder="true" applyAlignment="true" applyProtection="false">
      <alignment horizontal="center" vertical="center" textRotation="0" wrapText="false" indent="0" shrinkToFit="false"/>
      <protection locked="true" hidden="false"/>
    </xf>
    <xf numFmtId="164" fontId="14" fillId="0" borderId="0" xfId="0" applyFont="true" applyBorder="false" applyAlignment="true" applyProtection="false">
      <alignment horizontal="center" vertical="center" textRotation="0" wrapText="false" indent="0" shrinkToFit="false"/>
      <protection locked="true" hidden="false"/>
    </xf>
    <xf numFmtId="169" fontId="4" fillId="0" borderId="0" xfId="0" applyFont="true" applyBorder="true" applyAlignment="true" applyProtection="false">
      <alignment horizontal="center" vertical="bottom" textRotation="0" wrapText="false" indent="0" shrinkToFit="false"/>
      <protection locked="true" hidden="false"/>
    </xf>
    <xf numFmtId="164" fontId="4" fillId="6" borderId="1" xfId="0" applyFont="true" applyBorder="true" applyAlignment="true" applyProtection="false">
      <alignment horizontal="center" vertical="center" textRotation="0" wrapText="false" indent="0" shrinkToFit="false"/>
      <protection locked="true" hidden="false"/>
    </xf>
    <xf numFmtId="166" fontId="4" fillId="6" borderId="1" xfId="0" applyFont="true" applyBorder="true" applyAlignment="true" applyProtection="false">
      <alignment horizontal="center" vertical="bottom" textRotation="0" wrapText="false" indent="0" shrinkToFit="false"/>
      <protection locked="true" hidden="false"/>
    </xf>
    <xf numFmtId="169" fontId="4" fillId="6" borderId="1" xfId="0" applyFont="true" applyBorder="true" applyAlignment="true" applyProtection="false">
      <alignment horizontal="center" vertical="bottom" textRotation="0" wrapText="false" indent="0" shrinkToFit="false"/>
      <protection locked="true" hidden="false"/>
    </xf>
    <xf numFmtId="169" fontId="4" fillId="6" borderId="0" xfId="0" applyFont="true" applyBorder="true" applyAlignment="true" applyProtection="false">
      <alignment horizontal="center" vertical="bottom" textRotation="0" wrapText="false" indent="0" shrinkToFit="false"/>
      <protection locked="true" hidden="false"/>
    </xf>
    <xf numFmtId="168" fontId="4" fillId="6" borderId="1" xfId="0" applyFont="true" applyBorder="true" applyAlignment="true" applyProtection="false">
      <alignment horizontal="center" vertical="bottom" textRotation="0" wrapText="false" indent="0" shrinkToFit="false"/>
      <protection locked="true" hidden="false"/>
    </xf>
    <xf numFmtId="165" fontId="4" fillId="6" borderId="1" xfId="0" applyFont="true" applyBorder="true" applyAlignment="true" applyProtection="false">
      <alignment horizontal="center" vertical="bottom" textRotation="0" wrapText="false" indent="0" shrinkToFit="false"/>
      <protection locked="true" hidden="false"/>
    </xf>
    <xf numFmtId="169" fontId="13" fillId="6"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center" vertical="bottom" textRotation="0" wrapText="false" indent="0" shrinkToFit="false"/>
      <protection locked="true" hidden="false"/>
    </xf>
    <xf numFmtId="169" fontId="15" fillId="3" borderId="1" xfId="0" applyFont="true" applyBorder="true" applyAlignment="true" applyProtection="false">
      <alignment horizontal="center" vertical="bottom" textRotation="0" wrapText="fals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4" fontId="4" fillId="0" borderId="3" xfId="0" applyFont="true" applyBorder="true" applyAlignment="false" applyProtection="false">
      <alignment horizontal="general" vertical="bottom" textRotation="0" wrapText="false" indent="0" shrinkToFit="false"/>
      <protection locked="true" hidden="false"/>
    </xf>
    <xf numFmtId="164" fontId="4" fillId="0" borderId="4" xfId="0" applyFont="true" applyBorder="true" applyAlignment="false" applyProtection="false">
      <alignment horizontal="general" vertical="bottom" textRotation="0" wrapText="fals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16" fillId="0" borderId="1" xfId="0" applyFont="true" applyBorder="true" applyAlignment="true" applyProtection="false">
      <alignment horizontal="center" vertical="center" textRotation="0" wrapText="fals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false" hidden="false"/>
    </xf>
    <xf numFmtId="169" fontId="7" fillId="0" borderId="1" xfId="20" applyFont="false" applyBorder="true" applyAlignment="true" applyProtection="true">
      <alignment horizontal="center" vertical="center" textRotation="0" wrapText="false" indent="0" shrinkToFit="false"/>
      <protection locked="true" hidden="false"/>
    </xf>
    <xf numFmtId="164" fontId="4" fillId="0" borderId="0"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false" applyAlignment="true" applyProtection="false">
      <alignment horizontal="left" vertical="center" textRotation="0" wrapText="false" indent="0" shrinkToFit="false"/>
      <protection locked="true" hidden="false"/>
    </xf>
    <xf numFmtId="169" fontId="4" fillId="2" borderId="1" xfId="17" applyFont="true" applyBorder="true" applyAlignment="true" applyProtection="true">
      <alignment horizontal="center" vertical="center" textRotation="0" wrapText="false" indent="0" shrinkToFit="false"/>
      <protection locked="false" hidden="false"/>
    </xf>
    <xf numFmtId="164" fontId="5" fillId="0" borderId="2" xfId="0" applyFont="true" applyBorder="true" applyAlignment="true" applyProtection="false">
      <alignment horizontal="general" vertical="center" textRotation="0" wrapText="false" indent="0" shrinkToFit="false"/>
      <protection locked="true" hidden="false"/>
    </xf>
    <xf numFmtId="164" fontId="5" fillId="0" borderId="3" xfId="0" applyFont="true" applyBorder="true" applyAlignment="true" applyProtection="false">
      <alignment horizontal="general" vertical="center" textRotation="0" wrapText="false" indent="0" shrinkToFit="false"/>
      <protection locked="true" hidden="false"/>
    </xf>
    <xf numFmtId="164" fontId="17" fillId="0" borderId="4" xfId="0" applyFont="true" applyBorder="true" applyAlignment="true" applyProtection="false">
      <alignment horizontal="general" vertical="center" textRotation="0" wrapText="false" indent="0" shrinkToFit="false"/>
      <protection locked="tru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4" fillId="2" borderId="1" xfId="0" applyFont="true" applyBorder="true" applyAlignment="true" applyProtection="true">
      <alignment horizontal="left" vertical="center" textRotation="0" wrapText="true" indent="0" shrinkToFit="false"/>
      <protection locked="false" hidden="false"/>
    </xf>
    <xf numFmtId="164" fontId="5" fillId="0" borderId="2" xfId="0" applyFont="true" applyBorder="true" applyAlignment="true" applyProtection="false">
      <alignment horizontal="left" vertical="center" textRotation="0" wrapText="false" indent="0" shrinkToFit="false"/>
      <protection locked="true" hidden="false"/>
    </xf>
    <xf numFmtId="164" fontId="4" fillId="0" borderId="4" xfId="0" applyFont="true" applyBorder="true" applyAlignment="true" applyProtection="false">
      <alignment horizontal="center" vertical="center" textRotation="0" wrapText="false" indent="0" shrinkToFit="false"/>
      <protection locked="true" hidden="false"/>
    </xf>
    <xf numFmtId="164" fontId="4" fillId="0" borderId="2"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general" vertical="center" textRotation="0" wrapText="true" indent="0" shrinkToFit="false"/>
      <protection locked="true" hidden="false"/>
    </xf>
    <xf numFmtId="164" fontId="4" fillId="0" borderId="1" xfId="0" applyFont="true" applyBorder="true" applyAlignment="true" applyProtection="false">
      <alignment horizontal="right" vertical="center" textRotation="0" wrapText="true" indent="0" shrinkToFit="false"/>
      <protection locked="true" hidden="false"/>
    </xf>
    <xf numFmtId="167" fontId="4" fillId="0" borderId="1" xfId="0" applyFont="true" applyBorder="true" applyAlignment="true" applyProtection="false">
      <alignment horizontal="general" vertical="center" textRotation="0" wrapText="true" indent="0" shrinkToFit="false"/>
      <protection locked="true" hidden="false"/>
    </xf>
    <xf numFmtId="167" fontId="4" fillId="0" borderId="1" xfId="0" applyFont="true" applyBorder="true" applyAlignment="true" applyProtection="false">
      <alignment horizontal="right" vertical="center" textRotation="0" wrapText="true" indent="0" shrinkToFit="false"/>
      <protection locked="true" hidden="false"/>
    </xf>
    <xf numFmtId="164" fontId="5" fillId="6" borderId="2" xfId="0" applyFont="true" applyBorder="true" applyAlignment="true" applyProtection="false">
      <alignment horizontal="center" vertical="center" textRotation="0" wrapText="false" indent="0" shrinkToFit="false"/>
      <protection locked="true" hidden="false"/>
    </xf>
    <xf numFmtId="164" fontId="5" fillId="6"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general" vertical="center" textRotation="0" wrapText="true" indent="0" shrinkToFit="false"/>
      <protection locked="true" hidden="false"/>
    </xf>
    <xf numFmtId="171" fontId="5" fillId="0" borderId="1" xfId="17" applyFont="true" applyBorder="true" applyAlignment="true" applyProtection="true">
      <alignment horizontal="center" vertical="center" textRotation="0" wrapText="true" indent="0" shrinkToFit="false"/>
      <protection locked="true" hidden="false"/>
    </xf>
    <xf numFmtId="171" fontId="4" fillId="2" borderId="1" xfId="17" applyFont="true" applyBorder="true" applyAlignment="true" applyProtection="true">
      <alignment horizontal="right" vertical="center" textRotation="0" wrapText="true" indent="0" shrinkToFit="false"/>
      <protection locked="false" hidden="false"/>
    </xf>
    <xf numFmtId="164" fontId="11" fillId="2" borderId="1" xfId="0" applyFont="true" applyBorder="true" applyAlignment="true" applyProtection="true">
      <alignment horizontal="center" vertical="center" textRotation="0" wrapText="false" indent="0" shrinkToFit="false"/>
      <protection locked="false" hidden="false"/>
    </xf>
    <xf numFmtId="164" fontId="11" fillId="2" borderId="1" xfId="0" applyFont="true" applyBorder="true" applyAlignment="true" applyProtection="true">
      <alignment horizontal="center" vertical="center" textRotation="0" wrapText="true" indent="0" shrinkToFit="false"/>
      <protection locked="false" hidden="false"/>
    </xf>
    <xf numFmtId="171" fontId="4" fillId="0" borderId="1" xfId="17" applyFont="true" applyBorder="true" applyAlignment="true" applyProtection="true">
      <alignment horizontal="right" vertical="center" textRotation="0" wrapText="true" indent="0" shrinkToFit="false"/>
      <protection locked="true" hidden="false"/>
    </xf>
    <xf numFmtId="164" fontId="4" fillId="2" borderId="1" xfId="0" applyFont="true" applyBorder="true" applyAlignment="true" applyProtection="true">
      <alignment horizontal="general" vertical="center" textRotation="0" wrapText="true" indent="0" shrinkToFit="false"/>
      <protection locked="false" hidden="false"/>
    </xf>
    <xf numFmtId="171" fontId="5" fillId="0" borderId="1" xfId="0" applyFont="true" applyBorder="true" applyAlignment="true" applyProtection="false">
      <alignment horizontal="right" vertical="center" textRotation="0" wrapText="false" indent="0" shrinkToFit="false"/>
      <protection locked="true" hidden="false"/>
    </xf>
    <xf numFmtId="166" fontId="4" fillId="0" borderId="0" xfId="0" applyFont="true" applyBorder="false" applyAlignment="true" applyProtection="false">
      <alignment horizontal="general" vertical="center" textRotation="0" wrapText="false" indent="0" shrinkToFit="false"/>
      <protection locked="true" hidden="false"/>
    </xf>
    <xf numFmtId="171" fontId="5" fillId="0" borderId="1" xfId="17" applyFont="true" applyBorder="true" applyAlignment="true" applyProtection="true">
      <alignment horizontal="center" vertical="center" textRotation="0" wrapText="false" indent="0" shrinkToFit="false"/>
      <protection locked="true" hidden="false"/>
    </xf>
    <xf numFmtId="164" fontId="4" fillId="0" borderId="1" xfId="17" applyFont="true" applyBorder="true" applyAlignment="true" applyProtection="true">
      <alignment horizontal="center" vertical="center" textRotation="0" wrapText="true" indent="0" shrinkToFit="false"/>
      <protection locked="true" hidden="false"/>
    </xf>
    <xf numFmtId="171" fontId="4" fillId="2" borderId="1" xfId="17" applyFont="true" applyBorder="true" applyAlignment="true" applyProtection="true">
      <alignment horizontal="general" vertical="center" textRotation="0" wrapText="true" indent="0" shrinkToFit="false"/>
      <protection locked="false" hidden="false"/>
    </xf>
    <xf numFmtId="171" fontId="4" fillId="0" borderId="1" xfId="17" applyFont="true" applyBorder="true" applyAlignment="true" applyProtection="true">
      <alignment horizontal="general" vertical="center" textRotation="0" wrapText="true" indent="0" shrinkToFit="false"/>
      <protection locked="true" hidden="false"/>
    </xf>
    <xf numFmtId="165" fontId="4" fillId="0" borderId="1" xfId="19"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5" fontId="4" fillId="2" borderId="1" xfId="19" applyFont="true" applyBorder="true" applyAlignment="true" applyProtection="true">
      <alignment horizontal="center" vertical="center" textRotation="0" wrapText="true" indent="0" shrinkToFit="false"/>
      <protection locked="false" hidden="false"/>
    </xf>
    <xf numFmtId="164" fontId="4" fillId="2" borderId="1" xfId="0" applyFont="true" applyBorder="true" applyAlignment="true" applyProtection="true">
      <alignment horizontal="center" vertical="center" textRotation="0" wrapText="true" indent="0" shrinkToFit="false"/>
      <protection locked="false" hidden="false"/>
    </xf>
    <xf numFmtId="171" fontId="5" fillId="0" borderId="2" xfId="17" applyFont="true" applyBorder="true" applyAlignment="true" applyProtection="true">
      <alignment horizontal="center" vertical="center" textRotation="0" wrapText="true" indent="0" shrinkToFit="false"/>
      <protection locked="true" hidden="false"/>
    </xf>
    <xf numFmtId="168" fontId="4" fillId="0" borderId="1" xfId="19" applyFont="true" applyBorder="true" applyAlignment="true" applyProtection="true">
      <alignment horizontal="center" vertical="center" textRotation="0" wrapText="true" indent="0" shrinkToFit="false"/>
      <protection locked="true" hidden="false"/>
    </xf>
    <xf numFmtId="171" fontId="4" fillId="0" borderId="1" xfId="17"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8" fontId="4" fillId="2" borderId="1" xfId="19" applyFont="true" applyBorder="true" applyAlignment="true" applyProtection="true">
      <alignment horizontal="center" vertical="center" textRotation="0" wrapText="true" indent="0" shrinkToFit="false"/>
      <protection locked="false" hidden="false"/>
    </xf>
    <xf numFmtId="168" fontId="5" fillId="0" borderId="1" xfId="0" applyFont="true" applyBorder="true" applyAlignment="true" applyProtection="false">
      <alignment horizontal="center" vertical="center" textRotation="0" wrapText="false" indent="0" shrinkToFit="false"/>
      <protection locked="true" hidden="false"/>
    </xf>
    <xf numFmtId="171" fontId="5" fillId="0" borderId="1" xfId="0" applyFont="true" applyBorder="true" applyAlignment="true" applyProtection="false">
      <alignment horizontal="center" vertical="center" textRotation="0" wrapText="false" indent="0" shrinkToFit="false"/>
      <protection locked="true" hidden="false"/>
    </xf>
    <xf numFmtId="171" fontId="4" fillId="0" borderId="0" xfId="0" applyFont="true" applyBorder="false" applyAlignment="true" applyProtection="false">
      <alignment horizontal="general" vertical="center" textRotation="0" wrapText="false" indent="0" shrinkToFit="false"/>
      <protection locked="true" hidden="false"/>
    </xf>
    <xf numFmtId="171" fontId="4" fillId="0" borderId="4" xfId="17" applyFont="true" applyBorder="true" applyAlignment="true" applyProtection="true">
      <alignment horizontal="center" vertical="center" textRotation="0" wrapText="true" indent="0" shrinkToFit="false"/>
      <protection locked="true" hidden="false"/>
    </xf>
    <xf numFmtId="168" fontId="4" fillId="0" borderId="0" xfId="19" applyFont="true" applyBorder="true" applyAlignment="true" applyProtection="true">
      <alignment horizontal="general" vertical="center" textRotation="0" wrapText="false" indent="0" shrinkToFit="false"/>
      <protection locked="true" hidden="false"/>
    </xf>
    <xf numFmtId="164" fontId="11" fillId="0" borderId="1" xfId="0" applyFont="true" applyBorder="true" applyAlignment="true" applyProtection="false">
      <alignment horizontal="center" vertical="top" textRotation="0" wrapText="true" indent="0" shrinkToFit="false"/>
      <protection locked="true" hidden="false"/>
    </xf>
    <xf numFmtId="164" fontId="11" fillId="2" borderId="1" xfId="0" applyFont="true" applyBorder="true" applyAlignment="true" applyProtection="true">
      <alignment horizontal="center" vertical="top" textRotation="0" wrapText="true" indent="0" shrinkToFit="false"/>
      <protection locked="false" hidden="false"/>
    </xf>
    <xf numFmtId="171" fontId="5" fillId="6" borderId="2" xfId="17" applyFont="true" applyBorder="true" applyAlignment="true" applyProtection="true">
      <alignment horizontal="center" vertical="center" textRotation="0" wrapText="true" indent="0" shrinkToFit="false"/>
      <protection locked="true" hidden="false"/>
    </xf>
    <xf numFmtId="171" fontId="5" fillId="6" borderId="1" xfId="17" applyFont="true" applyBorder="true" applyAlignment="true" applyProtection="true">
      <alignment horizontal="center" vertical="center" textRotation="0" wrapText="true" indent="0" shrinkToFit="false"/>
      <protection locked="true" hidden="false"/>
    </xf>
    <xf numFmtId="171" fontId="4" fillId="0" borderId="1" xfId="0" applyFont="true" applyBorder="true" applyAlignment="true" applyProtection="false">
      <alignment horizontal="center" vertical="center" textRotation="0" wrapText="false" indent="0" shrinkToFit="false"/>
      <protection locked="true" hidden="false"/>
    </xf>
    <xf numFmtId="172" fontId="4" fillId="0" borderId="0" xfId="0" applyFont="true" applyBorder="false" applyAlignment="true" applyProtection="false">
      <alignment horizontal="general" vertical="center" textRotation="0" wrapText="false" indent="0" shrinkToFit="false"/>
      <protection locked="true" hidden="false"/>
    </xf>
    <xf numFmtId="168" fontId="4" fillId="0" borderId="1" xfId="0" applyFont="true" applyBorder="true" applyAlignment="true" applyProtection="false">
      <alignment horizontal="center" vertical="center" textRotation="0" wrapText="false" indent="0" shrinkToFit="false"/>
      <protection locked="true" hidden="false"/>
    </xf>
    <xf numFmtId="168" fontId="4" fillId="0" borderId="0" xfId="0" applyFont="true" applyBorder="false" applyAlignment="true" applyProtection="false">
      <alignment horizontal="general"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false" hidden="false"/>
    </xf>
    <xf numFmtId="164" fontId="5" fillId="0" borderId="3"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false" indent="0" shrinkToFit="false"/>
      <protection locked="true" hidden="false"/>
    </xf>
    <xf numFmtId="171" fontId="5" fillId="0" borderId="3" xfId="0" applyFont="true" applyBorder="true" applyAlignment="true" applyProtection="false">
      <alignment horizontal="right" vertical="center" textRotation="0" wrapText="false" indent="0" shrinkToFit="false"/>
      <protection locked="true" hidden="false"/>
    </xf>
    <xf numFmtId="164" fontId="5" fillId="0" borderId="3" xfId="0" applyFont="true" applyBorder="true" applyAlignment="true" applyProtection="false">
      <alignment horizontal="right" vertical="center"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5" fontId="4" fillId="0" borderId="0" xfId="19" applyFont="true" applyBorder="true" applyAlignment="true" applyProtection="true">
      <alignment horizontal="center" vertical="center" textRotation="0" wrapText="false" indent="0" shrinkToFit="false"/>
      <protection locked="true" hidden="false"/>
    </xf>
    <xf numFmtId="164" fontId="5" fillId="6" borderId="3" xfId="0" applyFont="true" applyBorder="true" applyAlignment="true" applyProtection="false">
      <alignment horizontal="general" vertical="center" textRotation="0" wrapText="false" indent="0" shrinkToFit="false"/>
      <protection locked="true" hidden="false"/>
    </xf>
    <xf numFmtId="164" fontId="5" fillId="6" borderId="4" xfId="0" applyFont="true" applyBorder="true" applyAlignment="true" applyProtection="false">
      <alignment horizontal="general" vertical="center" textRotation="0" wrapText="false" indent="0" shrinkToFit="false"/>
      <protection locked="true" hidden="false"/>
    </xf>
    <xf numFmtId="164" fontId="4" fillId="2" borderId="0" xfId="0" applyFont="true" applyBorder="false" applyAlignment="true" applyProtection="true">
      <alignment horizontal="left" vertical="center" textRotation="0" wrapText="false" indent="0" shrinkToFit="false"/>
      <protection locked="false" hidden="false"/>
    </xf>
    <xf numFmtId="164" fontId="4" fillId="2" borderId="0" xfId="0" applyFont="true" applyBorder="false" applyAlignment="true" applyProtection="true">
      <alignment horizontal="general" vertical="center" textRotation="0" wrapText="false" indent="0" shrinkToFit="false"/>
      <protection locked="false" hidden="false"/>
    </xf>
    <xf numFmtId="164" fontId="15" fillId="6" borderId="1" xfId="0" applyFont="true" applyBorder="true" applyAlignment="true" applyProtection="false">
      <alignment horizontal="center" vertical="center" textRotation="0" wrapText="false" indent="0" shrinkToFit="false"/>
      <protection locked="true" hidden="false"/>
    </xf>
    <xf numFmtId="166" fontId="4" fillId="2" borderId="1" xfId="0" applyFont="true" applyBorder="true" applyAlignment="true" applyProtection="true">
      <alignment horizontal="center" vertical="center" textRotation="0" wrapText="false" indent="0" shrinkToFit="false"/>
      <protection locked="false" hidden="false"/>
    </xf>
    <xf numFmtId="164" fontId="4" fillId="0" borderId="5" xfId="0" applyFont="true" applyBorder="true" applyAlignment="true" applyProtection="false">
      <alignment horizontal="center" vertical="center" textRotation="0" wrapText="false" indent="0" shrinkToFit="false"/>
      <protection locked="true" hidden="false"/>
    </xf>
    <xf numFmtId="166" fontId="5" fillId="0" borderId="1" xfId="0" applyFont="true" applyBorder="true" applyAlignment="true" applyProtection="false">
      <alignment horizontal="center" vertical="center" textRotation="0" wrapText="false" indent="0" shrinkToFit="false"/>
      <protection locked="true" hidden="false"/>
    </xf>
    <xf numFmtId="164" fontId="5" fillId="6" borderId="3" xfId="0" applyFont="true" applyBorder="true" applyAlignment="true" applyProtection="false">
      <alignment horizontal="center" vertical="center" textRotation="0" wrapText="false" indent="0" shrinkToFit="false"/>
      <protection locked="true" hidden="false"/>
    </xf>
    <xf numFmtId="173" fontId="5" fillId="0" borderId="1" xfId="0" applyFont="true" applyBorder="true" applyAlignment="true" applyProtection="false">
      <alignment horizontal="center" vertical="center" textRotation="0" wrapText="false" indent="0" shrinkToFit="false"/>
      <protection locked="true" hidden="false"/>
    </xf>
    <xf numFmtId="173" fontId="4" fillId="0" borderId="1" xfId="0" applyFont="true" applyBorder="true" applyAlignment="true" applyProtection="false">
      <alignment horizontal="center" vertical="center" textRotation="0" wrapText="false" indent="0" shrinkToFit="false"/>
      <protection locked="true" hidden="false"/>
    </xf>
    <xf numFmtId="166" fontId="4" fillId="2" borderId="5" xfId="0" applyFont="true" applyBorder="true" applyAlignment="true" applyProtection="true">
      <alignment horizontal="center" vertical="center" textRotation="0" wrapText="false" indent="0" shrinkToFit="false"/>
      <protection locked="false" hidden="false"/>
    </xf>
    <xf numFmtId="166" fontId="4" fillId="0" borderId="5" xfId="0" applyFont="true" applyBorder="true" applyAlignment="true" applyProtection="false">
      <alignment horizontal="center" vertical="center" textRotation="0" wrapText="false" indent="0" shrinkToFit="false"/>
      <protection locked="true" hidden="false"/>
    </xf>
    <xf numFmtId="164" fontId="5" fillId="0" borderId="4" xfId="0" applyFont="true" applyBorder="true" applyAlignment="true" applyProtection="false">
      <alignment horizontal="center" vertical="center" textRotation="0" wrapText="false" indent="0" shrinkToFit="false"/>
      <protection locked="true" hidden="false"/>
    </xf>
    <xf numFmtId="164" fontId="5" fillId="6" borderId="5" xfId="0" applyFont="true" applyBorder="true" applyAlignment="true" applyProtection="false">
      <alignment horizontal="center" vertical="center" textRotation="0" wrapText="false" indent="0" shrinkToFit="false"/>
      <protection locked="true" hidden="false"/>
    </xf>
    <xf numFmtId="164" fontId="4" fillId="2" borderId="6" xfId="0" applyFont="true" applyBorder="true" applyAlignment="true" applyProtection="true">
      <alignment horizontal="general" vertical="center" textRotation="0" wrapText="false" indent="0" shrinkToFit="false"/>
      <protection locked="false" hidden="false"/>
    </xf>
    <xf numFmtId="164" fontId="4" fillId="2" borderId="7" xfId="0" applyFont="true" applyBorder="true" applyAlignment="true" applyProtection="true">
      <alignment horizontal="general" vertical="center" textRotation="0" wrapText="false" indent="0" shrinkToFit="false"/>
      <protection locked="false" hidden="false"/>
    </xf>
    <xf numFmtId="164" fontId="5" fillId="0" borderId="4" xfId="0" applyFont="true" applyBorder="true" applyAlignment="true" applyProtection="false">
      <alignment horizontal="general" vertical="center" textRotation="0" wrapText="false" indent="0" shrinkToFit="false"/>
      <protection locked="true" hidden="false"/>
    </xf>
    <xf numFmtId="164" fontId="5" fillId="6" borderId="2" xfId="0" applyFont="true" applyBorder="true" applyAlignment="true" applyProtection="false">
      <alignment horizontal="general" vertical="center" textRotation="0" wrapText="false" indent="0" shrinkToFit="false"/>
      <protection locked="true" hidden="false"/>
    </xf>
    <xf numFmtId="164" fontId="5" fillId="6" borderId="4" xfId="0" applyFont="true" applyBorder="true" applyAlignment="true" applyProtection="false">
      <alignment horizontal="center" vertical="center" textRotation="0" wrapText="false" indent="0" shrinkToFit="false"/>
      <protection locked="true" hidden="false"/>
    </xf>
    <xf numFmtId="168" fontId="4" fillId="0" borderId="1" xfId="0" applyFont="true" applyBorder="true" applyAlignment="true" applyProtection="false">
      <alignment horizontal="left" vertical="center" textRotation="0" wrapText="false" indent="0" shrinkToFit="false"/>
      <protection locked="true" hidden="false"/>
    </xf>
    <xf numFmtId="164" fontId="13" fillId="0" borderId="1" xfId="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true">
      <alignment horizontal="general" vertical="center" textRotation="0" wrapText="false" indent="0" shrinkToFit="false"/>
      <protection locked="true" hidden="false"/>
    </xf>
    <xf numFmtId="164" fontId="4" fillId="0" borderId="6" xfId="0" applyFont="true" applyBorder="true" applyAlignment="true" applyProtection="false">
      <alignment horizontal="general" vertical="center" textRotation="0" wrapText="false" indent="0" shrinkToFit="false"/>
      <protection locked="true" hidden="false"/>
    </xf>
    <xf numFmtId="164" fontId="4" fillId="0" borderId="7" xfId="0" applyFont="true" applyBorder="true" applyAlignment="true" applyProtection="false">
      <alignment horizontal="general" vertical="center"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dxfs count="2">
    <dxf>
      <font>
        <color rgb="FFFF0000"/>
      </font>
    </dxf>
    <dxf>
      <fill>
        <patternFill>
          <bgColor rgb="FFD7E4BD"/>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7E4BD"/>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comments" Target="../comments10.xml"/><Relationship Id="rId2" Type="http://schemas.openxmlformats.org/officeDocument/2006/relationships/hyperlink" Target="http://bi.mte.gov.br/cagedestabelecimento/pages/consulta.xhtml" TargetMode="External"/><Relationship Id="rId3" Type="http://schemas.openxmlformats.org/officeDocument/2006/relationships/vmlDrawing" Target="../drawings/vmlDrawing4.vml"/>
</Relationships>
</file>

<file path=xl/worksheets/_rels/sheet11.xml.rels><?xml version="1.0" encoding="UTF-8"?>
<Relationships xmlns="http://schemas.openxmlformats.org/package/2006/relationships"><Relationship Id="rId1" Type="http://schemas.openxmlformats.org/officeDocument/2006/relationships/comments" Target="../comments11.xml"/><Relationship Id="rId2" Type="http://schemas.openxmlformats.org/officeDocument/2006/relationships/hyperlink" Target="http://bi.mte.gov.br/cagedestabelecimento/pages/consulta.xhtml" TargetMode="External"/><Relationship Id="rId3" Type="http://schemas.openxmlformats.org/officeDocument/2006/relationships/vmlDrawing" Target="../drawings/vmlDrawing5.vml"/>
</Relationships>
</file>

<file path=xl/worksheets/_rels/sheet12.xml.rels><?xml version="1.0" encoding="UTF-8"?>
<Relationships xmlns="http://schemas.openxmlformats.org/package/2006/relationships"><Relationship Id="rId1" Type="http://schemas.openxmlformats.org/officeDocument/2006/relationships/comments" Target="../comments12.xml"/><Relationship Id="rId2" Type="http://schemas.openxmlformats.org/officeDocument/2006/relationships/hyperlink" Target="http://bi.mte.gov.br/cagedestabelecimento/pages/consulta.xhtml" TargetMode="External"/><Relationship Id="rId3" Type="http://schemas.openxmlformats.org/officeDocument/2006/relationships/vmlDrawing" Target="../drawings/vmlDrawing6.vm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hyperlink" Target="http://bi.mte.gov.br/cagedestabelecimento/pages/consulta.xhtml" TargetMode="External"/><Relationship Id="rId3" Type="http://schemas.openxmlformats.org/officeDocument/2006/relationships/vmlDrawing" Target="../drawings/vmlDrawing7.vml"/>
</Relationships>
</file>

<file path=xl/worksheets/_rels/sheet14.xml.rels><?xml version="1.0" encoding="UTF-8"?>
<Relationships xmlns="http://schemas.openxmlformats.org/package/2006/relationships"><Relationship Id="rId1" Type="http://schemas.openxmlformats.org/officeDocument/2006/relationships/comments" Target="../comments14.xml"/><Relationship Id="rId2" Type="http://schemas.openxmlformats.org/officeDocument/2006/relationships/vmlDrawing" Target="../drawings/vmlDrawing8.vm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hyperlink" Target="http://www.detran.rj.gov.br/_documento.asp?cod=1231" TargetMode="External"/><Relationship Id="rId3" Type="http://schemas.openxmlformats.org/officeDocument/2006/relationships/vmlDrawing" Target="../drawings/vmlDrawing9.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1.vml"/>
</Relationships>
</file>

<file path=xl/worksheets/_rels/sheet8.xml.rels><?xml version="1.0" encoding="UTF-8"?>
<Relationships xmlns="http://schemas.openxmlformats.org/package/2006/relationships"><Relationship Id="rId1" Type="http://schemas.openxmlformats.org/officeDocument/2006/relationships/comments" Target="../comments8.xml"/><Relationship Id="rId2" Type="http://schemas.openxmlformats.org/officeDocument/2006/relationships/hyperlink" Target="http://bi.mte.gov.br/cagedestabelecimento/pages/consulta.xhtml" TargetMode="External"/><Relationship Id="rId3" Type="http://schemas.openxmlformats.org/officeDocument/2006/relationships/vmlDrawing" Target="../drawings/vmlDrawing2.vm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hyperlink" Target="http://bi.mte.gov.br/cagedestabelecimento/pages/consulta.xhtml" TargetMode="External"/><Relationship Id="rId3" Type="http://schemas.openxmlformats.org/officeDocument/2006/relationships/vmlDrawing" Target="../drawings/vmlDrawing3.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33"/>
  <sheetViews>
    <sheetView windowProtection="true" showFormulas="false" showGridLines="false" showRowColHeaders="false" showZeros="true" rightToLeft="false" tabSelected="tru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A7" activeCellId="0" sqref="A7"/>
    </sheetView>
  </sheetViews>
  <sheetFormatPr defaultRowHeight="12.75"/>
  <cols>
    <col collapsed="false" hidden="false" max="1025" min="1" style="1" width="9.04591836734694"/>
  </cols>
  <sheetData>
    <row r="1" customFormat="false" ht="12.75" hidden="false" customHeight="false" outlineLevel="0" collapsed="false">
      <c r="A1" s="2" t="s">
        <v>0</v>
      </c>
      <c r="B1" s="2"/>
      <c r="C1" s="2"/>
      <c r="D1" s="2"/>
      <c r="E1" s="2"/>
      <c r="F1" s="2"/>
      <c r="G1" s="2"/>
      <c r="H1" s="2"/>
      <c r="I1" s="2"/>
      <c r="J1" s="2"/>
    </row>
    <row r="2" customFormat="false" ht="12.75" hidden="false" customHeight="false" outlineLevel="0" collapsed="false">
      <c r="A2" s="2" t="s">
        <v>1</v>
      </c>
      <c r="B2" s="2"/>
      <c r="C2" s="2"/>
      <c r="D2" s="2"/>
      <c r="E2" s="2"/>
      <c r="F2" s="2"/>
      <c r="G2" s="2"/>
      <c r="H2" s="2"/>
      <c r="I2" s="2"/>
      <c r="J2" s="2"/>
    </row>
    <row r="3" customFormat="false" ht="12.75" hidden="false" customHeight="false" outlineLevel="0" collapsed="false">
      <c r="A3" s="2" t="s">
        <v>2</v>
      </c>
      <c r="B3" s="2"/>
      <c r="C3" s="2"/>
      <c r="D3" s="2"/>
      <c r="E3" s="2"/>
      <c r="F3" s="2"/>
      <c r="G3" s="2"/>
      <c r="H3" s="2"/>
      <c r="I3" s="2"/>
      <c r="J3" s="2"/>
    </row>
    <row r="4" customFormat="false" ht="12.75" hidden="false" customHeight="false" outlineLevel="0" collapsed="false">
      <c r="A4" s="2" t="s">
        <v>3</v>
      </c>
      <c r="B4" s="2"/>
      <c r="C4" s="2"/>
      <c r="D4" s="2"/>
      <c r="E4" s="2"/>
      <c r="F4" s="2"/>
      <c r="G4" s="2"/>
      <c r="H4" s="2"/>
      <c r="I4" s="2"/>
      <c r="J4" s="2"/>
    </row>
    <row r="5" customFormat="false" ht="12.75" hidden="false" customHeight="false" outlineLevel="0" collapsed="false">
      <c r="A5" s="2" t="s">
        <v>4</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5</v>
      </c>
      <c r="B7" s="3"/>
      <c r="C7" s="3"/>
      <c r="D7" s="3"/>
      <c r="E7" s="3"/>
      <c r="F7" s="3"/>
      <c r="G7" s="3"/>
      <c r="H7" s="3"/>
      <c r="I7" s="3"/>
      <c r="J7" s="4"/>
      <c r="K7" s="5" t="s">
        <v>6</v>
      </c>
    </row>
    <row r="8" customFormat="false" ht="12.75" hidden="false" customHeight="false" outlineLevel="0" collapsed="false">
      <c r="A8" s="6"/>
      <c r="B8" s="6"/>
      <c r="C8" s="6"/>
      <c r="D8" s="6"/>
      <c r="E8" s="6"/>
      <c r="F8" s="6"/>
      <c r="G8" s="6"/>
      <c r="H8" s="6"/>
      <c r="I8" s="6"/>
      <c r="J8" s="6"/>
    </row>
    <row r="9" customFormat="false" ht="12.75" hidden="false" customHeight="false" outlineLevel="0" collapsed="false">
      <c r="A9" s="1" t="s">
        <v>7</v>
      </c>
    </row>
    <row r="10" customFormat="false" ht="40.5" hidden="false" customHeight="true" outlineLevel="0" collapsed="false">
      <c r="A10" s="7" t="s">
        <v>8</v>
      </c>
      <c r="B10" s="7"/>
      <c r="C10" s="7"/>
      <c r="D10" s="7"/>
      <c r="E10" s="7"/>
      <c r="F10" s="7"/>
      <c r="G10" s="7"/>
      <c r="H10" s="7"/>
      <c r="I10" s="7"/>
      <c r="J10" s="7"/>
    </row>
    <row r="12" customFormat="false" ht="12.75" hidden="false" customHeight="false" outlineLevel="0" collapsed="false">
      <c r="A12" s="1" t="s">
        <v>9</v>
      </c>
    </row>
    <row r="14" customFormat="false" ht="12.75" hidden="false" customHeight="false" outlineLevel="0" collapsed="false">
      <c r="A14" s="8" t="s">
        <v>10</v>
      </c>
      <c r="B14" s="8"/>
      <c r="C14" s="8"/>
      <c r="D14" s="8" t="s">
        <v>11</v>
      </c>
      <c r="E14" s="8"/>
      <c r="F14" s="8"/>
      <c r="G14" s="8"/>
      <c r="H14" s="8"/>
      <c r="I14" s="8"/>
      <c r="J14" s="8"/>
    </row>
    <row r="15" customFormat="false" ht="12.75" hidden="false" customHeight="false" outlineLevel="0" collapsed="false">
      <c r="A15" s="9" t="s">
        <v>12</v>
      </c>
      <c r="B15" s="9"/>
      <c r="C15" s="9"/>
      <c r="D15" s="10"/>
      <c r="E15" s="10"/>
      <c r="F15" s="10"/>
      <c r="G15" s="10"/>
      <c r="H15" s="10"/>
      <c r="I15" s="10"/>
      <c r="J15" s="10"/>
    </row>
    <row r="16" customFormat="false" ht="28.5" hidden="false" customHeight="true" outlineLevel="0" collapsed="false">
      <c r="A16" s="9" t="s">
        <v>13</v>
      </c>
      <c r="B16" s="9"/>
      <c r="C16" s="9"/>
      <c r="D16" s="11" t="s">
        <v>14</v>
      </c>
      <c r="E16" s="11"/>
      <c r="F16" s="11"/>
      <c r="G16" s="11"/>
      <c r="H16" s="11"/>
      <c r="I16" s="11"/>
      <c r="J16" s="11"/>
    </row>
    <row r="17" customFormat="false" ht="40.5" hidden="false" customHeight="true" outlineLevel="0" collapsed="false">
      <c r="A17" s="9" t="s">
        <v>15</v>
      </c>
      <c r="B17" s="9"/>
      <c r="C17" s="9"/>
      <c r="D17" s="11" t="s">
        <v>16</v>
      </c>
      <c r="E17" s="11"/>
      <c r="F17" s="11"/>
      <c r="G17" s="11"/>
      <c r="H17" s="11"/>
      <c r="I17" s="11"/>
      <c r="J17" s="11"/>
    </row>
    <row r="18" customFormat="false" ht="42.75" hidden="false" customHeight="true" outlineLevel="0" collapsed="false">
      <c r="A18" s="9" t="s">
        <v>17</v>
      </c>
      <c r="B18" s="9"/>
      <c r="C18" s="9"/>
      <c r="D18" s="11" t="s">
        <v>18</v>
      </c>
      <c r="E18" s="11"/>
      <c r="F18" s="11"/>
      <c r="G18" s="11"/>
      <c r="H18" s="11"/>
      <c r="I18" s="11"/>
      <c r="J18" s="11"/>
    </row>
    <row r="19" customFormat="false" ht="26.25" hidden="false" customHeight="true" outlineLevel="0" collapsed="false">
      <c r="A19" s="9" t="s">
        <v>19</v>
      </c>
      <c r="B19" s="9"/>
      <c r="C19" s="9"/>
      <c r="D19" s="11" t="s">
        <v>20</v>
      </c>
      <c r="E19" s="11"/>
      <c r="F19" s="11"/>
      <c r="G19" s="11"/>
      <c r="H19" s="11"/>
      <c r="I19" s="11"/>
      <c r="J19" s="11"/>
    </row>
    <row r="20" customFormat="false" ht="31.5" hidden="false" customHeight="true" outlineLevel="0" collapsed="false">
      <c r="A20" s="9" t="s">
        <v>21</v>
      </c>
      <c r="B20" s="9"/>
      <c r="C20" s="9"/>
      <c r="D20" s="11" t="s">
        <v>22</v>
      </c>
      <c r="E20" s="11"/>
      <c r="F20" s="11"/>
      <c r="G20" s="11"/>
      <c r="H20" s="11"/>
      <c r="I20" s="11"/>
      <c r="J20" s="11"/>
    </row>
    <row r="21" customFormat="false" ht="28.5" hidden="false" customHeight="true" outlineLevel="0" collapsed="false">
      <c r="A21" s="9" t="s">
        <v>23</v>
      </c>
      <c r="B21" s="9"/>
      <c r="C21" s="9"/>
      <c r="D21" s="11" t="s">
        <v>24</v>
      </c>
      <c r="E21" s="11"/>
      <c r="F21" s="11"/>
      <c r="G21" s="11"/>
      <c r="H21" s="11"/>
      <c r="I21" s="11"/>
      <c r="J21" s="11"/>
    </row>
    <row r="22" customFormat="false" ht="25.5" hidden="false" customHeight="true" outlineLevel="0" collapsed="false">
      <c r="A22" s="9" t="s">
        <v>25</v>
      </c>
      <c r="B22" s="9"/>
      <c r="C22" s="9"/>
      <c r="D22" s="11" t="s">
        <v>26</v>
      </c>
      <c r="E22" s="11"/>
      <c r="F22" s="11"/>
      <c r="G22" s="11"/>
      <c r="H22" s="11"/>
      <c r="I22" s="11"/>
      <c r="J22" s="11"/>
    </row>
    <row r="23" customFormat="false" ht="25.5" hidden="false" customHeight="true" outlineLevel="0" collapsed="false">
      <c r="A23" s="9" t="s">
        <v>27</v>
      </c>
      <c r="B23" s="9"/>
      <c r="C23" s="9"/>
      <c r="D23" s="11" t="s">
        <v>28</v>
      </c>
      <c r="E23" s="11"/>
      <c r="F23" s="11"/>
      <c r="G23" s="11"/>
      <c r="H23" s="11"/>
      <c r="I23" s="11"/>
      <c r="J23" s="11"/>
    </row>
    <row r="24" customFormat="false" ht="12.75" hidden="false" customHeight="true" outlineLevel="0" collapsed="false">
      <c r="A24" s="9" t="s">
        <v>29</v>
      </c>
      <c r="B24" s="9"/>
      <c r="C24" s="9"/>
      <c r="D24" s="11" t="s">
        <v>30</v>
      </c>
      <c r="E24" s="11"/>
      <c r="F24" s="11"/>
      <c r="G24" s="11"/>
      <c r="H24" s="11"/>
      <c r="I24" s="11"/>
      <c r="J24" s="11"/>
    </row>
    <row r="25" customFormat="false" ht="29.25" hidden="false" customHeight="true" outlineLevel="0" collapsed="false">
      <c r="A25" s="9" t="s">
        <v>31</v>
      </c>
      <c r="B25" s="9"/>
      <c r="C25" s="9"/>
      <c r="D25" s="11" t="s">
        <v>32</v>
      </c>
      <c r="E25" s="11"/>
      <c r="F25" s="11"/>
      <c r="G25" s="11"/>
      <c r="H25" s="11"/>
      <c r="I25" s="11"/>
      <c r="J25" s="11"/>
    </row>
    <row r="26" customFormat="false" ht="26.25" hidden="false" customHeight="true" outlineLevel="0" collapsed="false">
      <c r="A26" s="9" t="s">
        <v>33</v>
      </c>
      <c r="B26" s="9"/>
      <c r="C26" s="9"/>
      <c r="D26" s="11" t="s">
        <v>34</v>
      </c>
      <c r="E26" s="11"/>
      <c r="F26" s="11"/>
      <c r="G26" s="11"/>
      <c r="H26" s="11"/>
      <c r="I26" s="11"/>
      <c r="J26" s="11"/>
    </row>
    <row r="27" customFormat="false" ht="25.5" hidden="false" customHeight="true" outlineLevel="0" collapsed="false">
      <c r="A27" s="9" t="s">
        <v>35</v>
      </c>
      <c r="B27" s="9"/>
      <c r="C27" s="9"/>
      <c r="D27" s="11" t="s">
        <v>36</v>
      </c>
      <c r="E27" s="11"/>
      <c r="F27" s="11"/>
      <c r="G27" s="11"/>
      <c r="H27" s="11"/>
      <c r="I27" s="11"/>
      <c r="J27" s="11"/>
    </row>
    <row r="28" customFormat="false" ht="18.75" hidden="false" customHeight="true" outlineLevel="0" collapsed="false">
      <c r="A28" s="9" t="s">
        <v>37</v>
      </c>
      <c r="B28" s="9"/>
      <c r="C28" s="9"/>
      <c r="D28" s="10" t="s">
        <v>38</v>
      </c>
      <c r="E28" s="10"/>
      <c r="F28" s="10"/>
      <c r="G28" s="10"/>
      <c r="H28" s="10"/>
      <c r="I28" s="10"/>
      <c r="J28" s="10"/>
    </row>
    <row r="29" customFormat="false" ht="18.75" hidden="false" customHeight="true" outlineLevel="0" collapsed="false">
      <c r="A29" s="9" t="s">
        <v>39</v>
      </c>
      <c r="B29" s="9"/>
      <c r="C29" s="9"/>
      <c r="D29" s="10" t="s">
        <v>40</v>
      </c>
      <c r="E29" s="10"/>
      <c r="F29" s="10"/>
      <c r="G29" s="10"/>
      <c r="H29" s="10"/>
      <c r="I29" s="10"/>
      <c r="J29" s="10"/>
    </row>
    <row r="31" customFormat="false" ht="12.75" hidden="false" customHeight="false" outlineLevel="0" collapsed="false">
      <c r="A31" s="12" t="s">
        <v>41</v>
      </c>
    </row>
    <row r="32" customFormat="false" ht="12.75" hidden="false" customHeight="false" outlineLevel="0" collapsed="false">
      <c r="A32" s="1" t="s">
        <v>42</v>
      </c>
    </row>
    <row r="33" customFormat="false" ht="12.75" hidden="false" customHeight="false" outlineLevel="0" collapsed="false">
      <c r="A33" s="1" t="s">
        <v>43</v>
      </c>
    </row>
  </sheetData>
  <sheetProtection sheet="true" password="e536" objects="true" scenarios="true" formatColumns="false" formatRows="false"/>
  <mergeCells count="34">
    <mergeCell ref="A7:I7"/>
    <mergeCell ref="A10:J10"/>
    <mergeCell ref="A14:C14"/>
    <mergeCell ref="D14:J14"/>
    <mergeCell ref="A15:C15"/>
    <mergeCell ref="D15:J15"/>
    <mergeCell ref="A16:C16"/>
    <mergeCell ref="D16:J16"/>
    <mergeCell ref="A17:C17"/>
    <mergeCell ref="D17:J17"/>
    <mergeCell ref="A18:C18"/>
    <mergeCell ref="D18:J18"/>
    <mergeCell ref="A19:C19"/>
    <mergeCell ref="D19:J19"/>
    <mergeCell ref="A20:C20"/>
    <mergeCell ref="D20:J20"/>
    <mergeCell ref="A21:C21"/>
    <mergeCell ref="D21:J21"/>
    <mergeCell ref="A22:C22"/>
    <mergeCell ref="D22:J22"/>
    <mergeCell ref="A23:C23"/>
    <mergeCell ref="D23:J23"/>
    <mergeCell ref="A24:C24"/>
    <mergeCell ref="D24:J24"/>
    <mergeCell ref="A25:C25"/>
    <mergeCell ref="D25:J25"/>
    <mergeCell ref="A26:C26"/>
    <mergeCell ref="D26:J26"/>
    <mergeCell ref="A27:C27"/>
    <mergeCell ref="D27:J27"/>
    <mergeCell ref="A28:C28"/>
    <mergeCell ref="D28:J28"/>
    <mergeCell ref="A29:C29"/>
    <mergeCell ref="D29:J29"/>
  </mergeCells>
  <hyperlinks>
    <hyperlink ref="K7" location="Premissas!A7" display="Avançar"/>
    <hyperlink ref="A15" location="Início!A7" display="Início"/>
    <hyperlink ref="A16" location="Premissas!A7" display="Premissas"/>
    <hyperlink ref="A17" location="'DI, Tri e Pag'!A7" display="DI, Tri e Pagamento"/>
    <hyperlink ref="A18" location="'Inv. Inicial'!A7" display="Inv. Inicial"/>
    <hyperlink ref="A19" location="VxTxR!A7" display="VxTxR"/>
    <hyperlink ref="A20" location="Financeiro.!A7" display="Financeiro."/>
    <hyperlink ref="A21" location="CFM!A7" display="CFM"/>
    <hyperlink ref="A22" location="'C. F. P. Caixa-Operador'!A7" display="C. F. P. Caixa-Operador"/>
    <hyperlink ref="A23" location="'C. F. P. Orient de Tráf'!A7" display="C. F. P. Orient de Tráf"/>
    <hyperlink ref="A24" location="'C. F. P. Supervisor'!A7" display="C. F. P. Supervisor"/>
    <hyperlink ref="A25" location="'C. F. P. Encarregado'!A7" display="C. F. P. Encarregado"/>
    <hyperlink ref="A26" location="'C. F. P. Vigia Diurno'!A7" display="C. F. P. Vigia Diurno"/>
    <hyperlink ref="A27" location="'C. F. P. Vigia Noturno'!A7" display="C. F. P. Vigia Noturno"/>
    <hyperlink ref="A28" location="'Custo Mensal do Veículo'!A7" display="Custo Mensal do Automóvel"/>
    <hyperlink ref="A29" location="'Custo Mensal da Moto'!A7" display="Custo Mensal da Moto"/>
  </hyperlinks>
  <printOptions headings="false" gridLines="false" gridLinesSet="true" horizontalCentered="true" verticalCentered="false"/>
  <pageMargins left="0.511805555555555" right="0.511805555555555"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Roman,Normal"&amp;10INÍCIO&amp;C&amp;"Times New Roman,Normal"&amp;10&lt;Inserir nome da empresa&gt;
&lt;Inserir endereço da empresa&gt;
&lt;Inserir telefone da empresa&gt;
&lt;Inserir correio eletrônico da empresa&gt;&amp;R&amp;"Times New Roman,Normal"&amp;10&amp;P/&amp;N</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Q222"/>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11" topLeftCell="A56" activePane="bottomLeft" state="frozen"/>
      <selection pane="topLeft" activeCell="A1" activeCellId="0" sqref="A1"/>
      <selection pane="bottomLeft" activeCell="A7" activeCellId="0" sqref="A7"/>
    </sheetView>
  </sheetViews>
  <sheetFormatPr defaultRowHeight="12.75"/>
  <cols>
    <col collapsed="false" hidden="false" max="1" min="1" style="1" width="8.77551020408163"/>
    <col collapsed="false" hidden="false" max="7" min="2" style="1" width="9.04591836734694"/>
    <col collapsed="false" hidden="false" max="8" min="8" style="1" width="9.44897959183673"/>
    <col collapsed="false" hidden="false" max="9" min="9" style="1" width="10.1224489795918"/>
    <col collapsed="false" hidden="false" max="1025" min="10"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539</v>
      </c>
      <c r="B7" s="3"/>
      <c r="C7" s="3"/>
      <c r="D7" s="3"/>
      <c r="E7" s="3"/>
      <c r="F7" s="3"/>
      <c r="G7" s="3"/>
      <c r="H7" s="3"/>
      <c r="I7" s="3"/>
      <c r="J7" s="3"/>
      <c r="K7" s="26" t="s">
        <v>12</v>
      </c>
      <c r="L7" s="13" t="s">
        <v>45</v>
      </c>
      <c r="M7" s="5" t="s">
        <v>6</v>
      </c>
    </row>
    <row r="9" customFormat="false" ht="12.75" hidden="false" customHeight="false" outlineLevel="0" collapsed="false">
      <c r="A9" s="12" t="s">
        <v>374</v>
      </c>
    </row>
    <row r="10" customFormat="false" ht="12.75" hidden="false" customHeight="false" outlineLevel="0" collapsed="false">
      <c r="A10" s="1" t="s">
        <v>375</v>
      </c>
    </row>
    <row r="11" customFormat="false" ht="30" hidden="false" customHeight="true" outlineLevel="0" collapsed="false">
      <c r="A11" s="99" t="s">
        <v>376</v>
      </c>
      <c r="B11" s="99"/>
      <c r="C11" s="99"/>
      <c r="D11" s="99"/>
      <c r="E11" s="99"/>
      <c r="F11" s="99"/>
      <c r="G11" s="99"/>
      <c r="H11" s="99"/>
      <c r="I11" s="99"/>
      <c r="J11" s="99"/>
    </row>
    <row r="12" customFormat="false" ht="12.75" hidden="false" customHeight="false" outlineLevel="0" collapsed="false">
      <c r="B12" s="1" t="s">
        <v>377</v>
      </c>
    </row>
    <row r="13" customFormat="false" ht="12.75" hidden="false" customHeight="false" outlineLevel="0" collapsed="false">
      <c r="B13" s="1" t="s">
        <v>378</v>
      </c>
    </row>
    <row r="14" customFormat="false" ht="12.75" hidden="false" customHeight="false" outlineLevel="0" collapsed="false">
      <c r="B14" s="1" t="s">
        <v>379</v>
      </c>
    </row>
    <row r="15" customFormat="false" ht="12.75" hidden="false" customHeight="false" outlineLevel="0" collapsed="false">
      <c r="B15" s="1" t="s">
        <v>380</v>
      </c>
    </row>
    <row r="16" customFormat="false" ht="12.75" hidden="false" customHeight="false" outlineLevel="0" collapsed="false">
      <c r="B16" s="1" t="s">
        <v>381</v>
      </c>
    </row>
    <row r="18" customFormat="false" ht="12.75" hidden="false" customHeight="false" outlineLevel="0" collapsed="false">
      <c r="A18" s="27" t="s">
        <v>104</v>
      </c>
      <c r="B18" s="27"/>
      <c r="C18" s="27"/>
      <c r="D18" s="27"/>
      <c r="E18" s="27"/>
      <c r="F18" s="27"/>
      <c r="G18" s="27"/>
      <c r="H18" s="27"/>
      <c r="I18" s="27"/>
      <c r="J18" s="27"/>
    </row>
    <row r="20" customFormat="false" ht="12.75" hidden="false" customHeight="false" outlineLevel="0" collapsed="false">
      <c r="A20" s="28" t="s">
        <v>382</v>
      </c>
      <c r="B20" s="28"/>
      <c r="C20" s="28"/>
      <c r="D20" s="28"/>
      <c r="E20" s="28"/>
      <c r="F20" s="28"/>
      <c r="G20" s="28"/>
      <c r="H20" s="28"/>
      <c r="I20" s="28"/>
      <c r="J20" s="28"/>
    </row>
    <row r="21" customFormat="false" ht="12.75" hidden="false" customHeight="true" outlineLevel="0" collapsed="false">
      <c r="A21" s="19" t="n">
        <v>1</v>
      </c>
      <c r="B21" s="21" t="s">
        <v>383</v>
      </c>
      <c r="C21" s="21"/>
      <c r="D21" s="21"/>
      <c r="E21" s="21"/>
      <c r="F21" s="21"/>
      <c r="G21" s="21"/>
      <c r="H21" s="100" t="s">
        <v>540</v>
      </c>
      <c r="I21" s="100"/>
      <c r="J21" s="100"/>
    </row>
    <row r="22" customFormat="false" ht="12.75" hidden="false" customHeight="true" outlineLevel="0" collapsed="false">
      <c r="A22" s="19" t="n">
        <v>2</v>
      </c>
      <c r="B22" s="21" t="s">
        <v>385</v>
      </c>
      <c r="C22" s="21"/>
      <c r="D22" s="21"/>
      <c r="E22" s="21"/>
      <c r="F22" s="21"/>
      <c r="G22" s="21"/>
      <c r="H22" s="101" t="n">
        <v>1137</v>
      </c>
      <c r="I22" s="101"/>
      <c r="J22" s="101"/>
    </row>
    <row r="23" customFormat="false" ht="12.75" hidden="false" customHeight="true" outlineLevel="0" collapsed="false">
      <c r="A23" s="30" t="s">
        <v>108</v>
      </c>
      <c r="B23" s="31" t="s">
        <v>386</v>
      </c>
      <c r="C23" s="31"/>
      <c r="D23" s="31"/>
      <c r="E23" s="31"/>
      <c r="F23" s="31"/>
      <c r="G23" s="31"/>
      <c r="H23" s="31"/>
      <c r="I23" s="31"/>
      <c r="J23" s="31"/>
    </row>
    <row r="24" customFormat="false" ht="12.75" hidden="false" customHeight="true" outlineLevel="0" collapsed="false">
      <c r="A24" s="19" t="n">
        <v>3</v>
      </c>
      <c r="B24" s="21" t="s">
        <v>387</v>
      </c>
      <c r="C24" s="21"/>
      <c r="D24" s="21"/>
      <c r="E24" s="21"/>
      <c r="F24" s="21"/>
      <c r="G24" s="21"/>
      <c r="H24" s="102" t="s">
        <v>388</v>
      </c>
      <c r="I24" s="102"/>
      <c r="J24" s="102"/>
    </row>
    <row r="25" customFormat="false" ht="12.75" hidden="false" customHeight="true" outlineLevel="0" collapsed="false">
      <c r="A25" s="30" t="s">
        <v>108</v>
      </c>
      <c r="B25" s="31" t="s">
        <v>389</v>
      </c>
      <c r="C25" s="31"/>
      <c r="D25" s="31"/>
      <c r="E25" s="31"/>
      <c r="F25" s="31"/>
      <c r="G25" s="31"/>
      <c r="H25" s="31"/>
      <c r="I25" s="31"/>
      <c r="J25" s="31"/>
    </row>
    <row r="26" customFormat="false" ht="12.75" hidden="false" customHeight="true" outlineLevel="0" collapsed="false">
      <c r="A26" s="19" t="n">
        <v>4</v>
      </c>
      <c r="B26" s="21" t="s">
        <v>390</v>
      </c>
      <c r="C26" s="21"/>
      <c r="D26" s="21"/>
      <c r="E26" s="21"/>
      <c r="F26" s="21"/>
      <c r="G26" s="21"/>
      <c r="H26" s="102" t="s">
        <v>541</v>
      </c>
      <c r="I26" s="102"/>
      <c r="J26" s="102"/>
    </row>
    <row r="27" customFormat="false" ht="24.75" hidden="false" customHeight="true" outlineLevel="0" collapsed="false">
      <c r="A27" s="30" t="s">
        <v>108</v>
      </c>
      <c r="B27" s="31" t="s">
        <v>392</v>
      </c>
      <c r="C27" s="31"/>
      <c r="D27" s="31"/>
      <c r="E27" s="31"/>
      <c r="F27" s="31"/>
      <c r="G27" s="31"/>
      <c r="H27" s="31"/>
      <c r="I27" s="31"/>
      <c r="J27" s="31"/>
    </row>
    <row r="28" customFormat="false" ht="12.75" hidden="false" customHeight="true" outlineLevel="0" collapsed="false">
      <c r="A28" s="19" t="n">
        <v>5</v>
      </c>
      <c r="B28" s="21" t="s">
        <v>393</v>
      </c>
      <c r="C28" s="21"/>
      <c r="D28" s="21"/>
      <c r="E28" s="21"/>
      <c r="F28" s="21"/>
      <c r="G28" s="21"/>
      <c r="H28" s="102" t="s">
        <v>394</v>
      </c>
      <c r="I28" s="102"/>
      <c r="J28" s="102"/>
    </row>
    <row r="29" customFormat="false" ht="24.75" hidden="false" customHeight="true" outlineLevel="0" collapsed="false">
      <c r="A29" s="30" t="s">
        <v>108</v>
      </c>
      <c r="B29" s="31" t="s">
        <v>395</v>
      </c>
      <c r="C29" s="31"/>
      <c r="D29" s="31"/>
      <c r="E29" s="31"/>
      <c r="F29" s="31"/>
      <c r="G29" s="31"/>
      <c r="H29" s="31"/>
      <c r="I29" s="31"/>
      <c r="J29" s="31"/>
    </row>
    <row r="31" customFormat="false" ht="13.5" hidden="false" customHeight="true" outlineLevel="0" collapsed="false">
      <c r="A31" s="103" t="s">
        <v>396</v>
      </c>
      <c r="B31" s="104" t="s">
        <v>397</v>
      </c>
      <c r="C31" s="104"/>
      <c r="D31" s="104"/>
      <c r="E31" s="104"/>
      <c r="F31" s="104"/>
      <c r="G31" s="104"/>
      <c r="H31" s="104"/>
      <c r="I31" s="104"/>
      <c r="J31" s="104"/>
    </row>
    <row r="32" customFormat="false" ht="12.75" hidden="false" customHeight="true" outlineLevel="0" collapsed="false">
      <c r="A32" s="16" t="n">
        <v>1</v>
      </c>
      <c r="B32" s="105" t="s">
        <v>398</v>
      </c>
      <c r="C32" s="105"/>
      <c r="D32" s="105"/>
      <c r="E32" s="105"/>
      <c r="F32" s="105"/>
      <c r="G32" s="105"/>
      <c r="H32" s="106" t="s">
        <v>399</v>
      </c>
      <c r="I32" s="106"/>
      <c r="J32" s="106"/>
    </row>
    <row r="33" customFormat="false" ht="12.75" hidden="false" customHeight="true" outlineLevel="0" collapsed="false">
      <c r="A33" s="19" t="s">
        <v>400</v>
      </c>
      <c r="B33" s="21" t="s">
        <v>401</v>
      </c>
      <c r="C33" s="21"/>
      <c r="D33" s="21"/>
      <c r="E33" s="21"/>
      <c r="F33" s="21"/>
      <c r="G33" s="21"/>
      <c r="H33" s="107" t="n">
        <v>1745</v>
      </c>
      <c r="I33" s="107"/>
      <c r="J33" s="107"/>
    </row>
    <row r="34" customFormat="false" ht="12.75" hidden="false" customHeight="true" outlineLevel="0" collapsed="false">
      <c r="A34" s="108" t="s">
        <v>108</v>
      </c>
      <c r="B34" s="109" t="s">
        <v>402</v>
      </c>
      <c r="C34" s="109"/>
      <c r="D34" s="109"/>
      <c r="E34" s="109"/>
      <c r="F34" s="109"/>
      <c r="G34" s="109"/>
      <c r="H34" s="109"/>
      <c r="I34" s="109"/>
      <c r="J34" s="109"/>
    </row>
    <row r="35" customFormat="false" ht="12.75" hidden="false" customHeight="true" outlineLevel="0" collapsed="false">
      <c r="A35" s="19" t="s">
        <v>403</v>
      </c>
      <c r="B35" s="111" t="s">
        <v>407</v>
      </c>
      <c r="C35" s="111"/>
      <c r="D35" s="111"/>
      <c r="E35" s="111"/>
      <c r="F35" s="111"/>
      <c r="G35" s="111"/>
      <c r="H35" s="107" t="n">
        <v>0</v>
      </c>
      <c r="I35" s="107"/>
      <c r="J35" s="107"/>
    </row>
    <row r="36" customFormat="false" ht="12.75" hidden="false" customHeight="true" outlineLevel="0" collapsed="false">
      <c r="A36" s="108" t="s">
        <v>108</v>
      </c>
      <c r="B36" s="109" t="s">
        <v>408</v>
      </c>
      <c r="C36" s="109"/>
      <c r="D36" s="109"/>
      <c r="E36" s="109"/>
      <c r="F36" s="109"/>
      <c r="G36" s="109"/>
      <c r="H36" s="109"/>
      <c r="I36" s="109"/>
      <c r="J36" s="109"/>
    </row>
    <row r="37" customFormat="false" ht="12.75" hidden="false" customHeight="false" outlineLevel="0" collapsed="false">
      <c r="A37" s="16" t="str">
        <f aca="false">"Total do "&amp;A31</f>
        <v>Total do Módulo1</v>
      </c>
      <c r="B37" s="16"/>
      <c r="C37" s="16"/>
      <c r="D37" s="16"/>
      <c r="E37" s="16"/>
      <c r="F37" s="16"/>
      <c r="G37" s="16"/>
      <c r="H37" s="112" t="n">
        <f aca="false">SUM(H33,H35)</f>
        <v>1745</v>
      </c>
      <c r="I37" s="112"/>
      <c r="J37" s="112"/>
    </row>
    <row r="39" customFormat="false" ht="13.5" hidden="false" customHeight="true" outlineLevel="0" collapsed="false">
      <c r="A39" s="103" t="s">
        <v>409</v>
      </c>
      <c r="B39" s="104" t="s">
        <v>410</v>
      </c>
      <c r="C39" s="104"/>
      <c r="D39" s="104"/>
      <c r="E39" s="104"/>
      <c r="F39" s="104"/>
      <c r="G39" s="104"/>
      <c r="H39" s="104"/>
      <c r="I39" s="104"/>
      <c r="J39" s="104"/>
    </row>
    <row r="40" customFormat="false" ht="12.75" hidden="false" customHeight="true" outlineLevel="0" collapsed="false">
      <c r="A40" s="16" t="n">
        <v>2</v>
      </c>
      <c r="B40" s="105" t="s">
        <v>410</v>
      </c>
      <c r="C40" s="105"/>
      <c r="D40" s="105"/>
      <c r="E40" s="105"/>
      <c r="F40" s="105"/>
      <c r="G40" s="105"/>
      <c r="H40" s="106" t="s">
        <v>399</v>
      </c>
      <c r="I40" s="106"/>
      <c r="J40" s="106"/>
    </row>
    <row r="41" customFormat="false" ht="12.75" hidden="false" customHeight="true" outlineLevel="0" collapsed="false">
      <c r="A41" s="19" t="s">
        <v>400</v>
      </c>
      <c r="B41" s="21" t="s">
        <v>411</v>
      </c>
      <c r="C41" s="21"/>
      <c r="D41" s="21"/>
      <c r="E41" s="21"/>
      <c r="F41" s="21"/>
      <c r="G41" s="21"/>
      <c r="H41" s="107" t="n">
        <f aca="false">IF((3.8*2*22-0.06*$H$37)&gt;0,3.8*2*22-0.06*$H$37,0)</f>
        <v>62.5</v>
      </c>
      <c r="I41" s="107"/>
      <c r="J41" s="107"/>
    </row>
    <row r="42" customFormat="false" ht="12.75" hidden="false" customHeight="true" outlineLevel="0" collapsed="false">
      <c r="A42" s="108" t="s">
        <v>412</v>
      </c>
      <c r="B42" s="109" t="s">
        <v>413</v>
      </c>
      <c r="C42" s="109"/>
      <c r="D42" s="109"/>
      <c r="E42" s="109"/>
      <c r="F42" s="109"/>
      <c r="G42" s="109"/>
      <c r="H42" s="109"/>
      <c r="I42" s="109"/>
      <c r="J42" s="109"/>
    </row>
    <row r="43" customFormat="false" ht="32.25" hidden="false" customHeight="true" outlineLevel="0" collapsed="false">
      <c r="A43" s="108" t="s">
        <v>414</v>
      </c>
      <c r="B43" s="109" t="s">
        <v>415</v>
      </c>
      <c r="C43" s="109"/>
      <c r="D43" s="109"/>
      <c r="E43" s="109"/>
      <c r="F43" s="109"/>
      <c r="G43" s="109"/>
      <c r="H43" s="109"/>
      <c r="I43" s="109"/>
      <c r="J43" s="109"/>
    </row>
    <row r="44" customFormat="false" ht="12.75" hidden="false" customHeight="true" outlineLevel="0" collapsed="false">
      <c r="A44" s="108" t="s">
        <v>364</v>
      </c>
      <c r="B44" s="109" t="s">
        <v>416</v>
      </c>
      <c r="C44" s="109"/>
      <c r="D44" s="109"/>
      <c r="E44" s="109"/>
      <c r="F44" s="109"/>
      <c r="G44" s="109"/>
      <c r="H44" s="109"/>
      <c r="I44" s="109"/>
      <c r="J44" s="109"/>
      <c r="L44" s="113"/>
    </row>
    <row r="45" customFormat="false" ht="12.75" hidden="false" customHeight="true" outlineLevel="0" collapsed="false">
      <c r="A45" s="19" t="s">
        <v>417</v>
      </c>
      <c r="B45" s="21" t="s">
        <v>418</v>
      </c>
      <c r="C45" s="21"/>
      <c r="D45" s="21"/>
      <c r="E45" s="21"/>
      <c r="F45" s="21"/>
      <c r="G45" s="21"/>
      <c r="H45" s="110" t="n">
        <f aca="false">IF('DI, Tri e Pag'!$H$12:$J$12='DI, Tri e Pag'!$L$12,-('DI, Tri e Pag'!$H$23+'DI, Tri e Pag'!$H$24)*'C. F. P. Supervisor'!H41,0)</f>
        <v>0</v>
      </c>
      <c r="I45" s="110"/>
      <c r="J45" s="110"/>
    </row>
    <row r="46" customFormat="false" ht="44.25" hidden="false" customHeight="true" outlineLevel="0" collapsed="false">
      <c r="A46" s="30" t="s">
        <v>419</v>
      </c>
      <c r="B46" s="31" t="s">
        <v>420</v>
      </c>
      <c r="C46" s="31"/>
      <c r="D46" s="31"/>
      <c r="E46" s="31"/>
      <c r="F46" s="31"/>
      <c r="G46" s="31"/>
      <c r="H46" s="31"/>
      <c r="I46" s="31"/>
      <c r="J46" s="31"/>
    </row>
    <row r="47" customFormat="false" ht="12.75" hidden="false" customHeight="true" outlineLevel="0" collapsed="false">
      <c r="A47" s="19" t="s">
        <v>403</v>
      </c>
      <c r="B47" s="111" t="s">
        <v>407</v>
      </c>
      <c r="C47" s="111"/>
      <c r="D47" s="111"/>
      <c r="E47" s="111"/>
      <c r="F47" s="111"/>
      <c r="G47" s="111"/>
      <c r="H47" s="107"/>
      <c r="I47" s="107"/>
      <c r="J47" s="107"/>
    </row>
    <row r="48" customFormat="false" ht="12.75" hidden="false" customHeight="true" outlineLevel="0" collapsed="false">
      <c r="A48" s="108" t="s">
        <v>419</v>
      </c>
      <c r="B48" s="109" t="s">
        <v>408</v>
      </c>
      <c r="C48" s="109"/>
      <c r="D48" s="109"/>
      <c r="E48" s="109"/>
      <c r="F48" s="109"/>
      <c r="G48" s="109"/>
      <c r="H48" s="109"/>
      <c r="I48" s="109"/>
      <c r="J48" s="109"/>
    </row>
    <row r="49" customFormat="false" ht="12.75" hidden="false" customHeight="false" outlineLevel="0" collapsed="false">
      <c r="A49" s="16" t="str">
        <f aca="false">"Total do "&amp;A39</f>
        <v>Total do Módulo2 </v>
      </c>
      <c r="B49" s="16"/>
      <c r="C49" s="16"/>
      <c r="D49" s="16"/>
      <c r="E49" s="16"/>
      <c r="F49" s="16"/>
      <c r="G49" s="16"/>
      <c r="H49" s="112" t="n">
        <f aca="false">SUM(H41,H45,H47)</f>
        <v>62.5</v>
      </c>
      <c r="I49" s="112"/>
      <c r="J49" s="112"/>
    </row>
    <row r="51" customFormat="false" ht="15" hidden="false" customHeight="true" outlineLevel="0" collapsed="false">
      <c r="A51" s="103" t="s">
        <v>421</v>
      </c>
      <c r="B51" s="104" t="s">
        <v>422</v>
      </c>
      <c r="C51" s="104"/>
      <c r="D51" s="104"/>
      <c r="E51" s="104"/>
      <c r="F51" s="104"/>
      <c r="G51" s="104"/>
      <c r="H51" s="104"/>
      <c r="I51" s="104"/>
      <c r="J51" s="104"/>
    </row>
    <row r="52" customFormat="false" ht="12.75" hidden="false" customHeight="true" outlineLevel="0" collapsed="false">
      <c r="A52" s="16" t="n">
        <v>3</v>
      </c>
      <c r="B52" s="105" t="s">
        <v>423</v>
      </c>
      <c r="C52" s="105"/>
      <c r="D52" s="105"/>
      <c r="E52" s="105"/>
      <c r="F52" s="105"/>
      <c r="G52" s="105"/>
      <c r="H52" s="114" t="s">
        <v>424</v>
      </c>
      <c r="I52" s="114" t="s">
        <v>425</v>
      </c>
      <c r="J52" s="114" t="s">
        <v>426</v>
      </c>
    </row>
    <row r="53" customFormat="false" ht="12.75" hidden="false" customHeight="true" outlineLevel="0" collapsed="false">
      <c r="A53" s="19" t="s">
        <v>400</v>
      </c>
      <c r="B53" s="21" t="s">
        <v>427</v>
      </c>
      <c r="C53" s="21"/>
      <c r="D53" s="21"/>
      <c r="E53" s="21"/>
      <c r="F53" s="21"/>
      <c r="G53" s="21"/>
      <c r="H53" s="115" t="n">
        <v>2</v>
      </c>
      <c r="I53" s="116"/>
      <c r="J53" s="117" t="n">
        <f aca="false">H53*I53/12</f>
        <v>0</v>
      </c>
    </row>
    <row r="54" customFormat="false" ht="12.75" hidden="false" customHeight="true" outlineLevel="0" collapsed="false">
      <c r="A54" s="19" t="s">
        <v>403</v>
      </c>
      <c r="B54" s="21" t="s">
        <v>428</v>
      </c>
      <c r="C54" s="21"/>
      <c r="D54" s="21"/>
      <c r="E54" s="21"/>
      <c r="F54" s="21"/>
      <c r="G54" s="21"/>
      <c r="H54" s="115" t="n">
        <v>2</v>
      </c>
      <c r="I54" s="116"/>
      <c r="J54" s="117" t="n">
        <f aca="false">H54*I54/12</f>
        <v>0</v>
      </c>
    </row>
    <row r="55" customFormat="false" ht="12.75" hidden="false" customHeight="true" outlineLevel="0" collapsed="false">
      <c r="A55" s="19" t="s">
        <v>406</v>
      </c>
      <c r="B55" s="21" t="s">
        <v>429</v>
      </c>
      <c r="C55" s="21"/>
      <c r="D55" s="21"/>
      <c r="E55" s="21"/>
      <c r="F55" s="21"/>
      <c r="G55" s="21"/>
      <c r="H55" s="115" t="n">
        <v>2</v>
      </c>
      <c r="I55" s="116"/>
      <c r="J55" s="117" t="n">
        <f aca="false">H55*I55/12</f>
        <v>0</v>
      </c>
    </row>
    <row r="56" customFormat="false" ht="12.75" hidden="false" customHeight="true" outlineLevel="0" collapsed="false">
      <c r="A56" s="19" t="s">
        <v>430</v>
      </c>
      <c r="B56" s="21" t="s">
        <v>431</v>
      </c>
      <c r="C56" s="21"/>
      <c r="D56" s="21"/>
      <c r="E56" s="21"/>
      <c r="F56" s="21"/>
      <c r="G56" s="21"/>
      <c r="H56" s="115" t="n">
        <v>2</v>
      </c>
      <c r="I56" s="116"/>
      <c r="J56" s="117" t="n">
        <f aca="false">H56*I56/12</f>
        <v>0</v>
      </c>
    </row>
    <row r="57" customFormat="false" ht="68.25" hidden="false" customHeight="true" outlineLevel="0" collapsed="false">
      <c r="A57" s="19" t="s">
        <v>432</v>
      </c>
      <c r="B57" s="21" t="s">
        <v>433</v>
      </c>
      <c r="C57" s="21"/>
      <c r="D57" s="21"/>
      <c r="E57" s="21"/>
      <c r="F57" s="21"/>
      <c r="G57" s="21"/>
      <c r="H57" s="115" t="n">
        <v>2</v>
      </c>
      <c r="I57" s="116"/>
      <c r="J57" s="117" t="n">
        <f aca="false">H57*I57/12</f>
        <v>0</v>
      </c>
    </row>
    <row r="58" customFormat="false" ht="12.75" hidden="false" customHeight="true" outlineLevel="0" collapsed="false">
      <c r="A58" s="19" t="s">
        <v>434</v>
      </c>
      <c r="B58" s="111" t="s">
        <v>407</v>
      </c>
      <c r="C58" s="111"/>
      <c r="D58" s="111"/>
      <c r="E58" s="111"/>
      <c r="F58" s="111"/>
      <c r="G58" s="111"/>
      <c r="H58" s="115" t="n">
        <v>2</v>
      </c>
      <c r="I58" s="116"/>
      <c r="J58" s="117" t="n">
        <f aca="false">H58*I58/12</f>
        <v>0</v>
      </c>
    </row>
    <row r="59" customFormat="false" ht="12.75" hidden="false" customHeight="true" outlineLevel="0" collapsed="false">
      <c r="A59" s="30" t="s">
        <v>412</v>
      </c>
      <c r="B59" s="31" t="s">
        <v>435</v>
      </c>
      <c r="C59" s="31"/>
      <c r="D59" s="31"/>
      <c r="E59" s="31"/>
      <c r="F59" s="31"/>
      <c r="G59" s="31"/>
      <c r="H59" s="31"/>
      <c r="I59" s="31"/>
      <c r="J59" s="31"/>
    </row>
    <row r="60" customFormat="false" ht="12.75" hidden="true" customHeight="true" outlineLevel="0" collapsed="false">
      <c r="A60" s="30" t="s">
        <v>414</v>
      </c>
      <c r="B60" s="31" t="s">
        <v>436</v>
      </c>
      <c r="C60" s="31"/>
      <c r="D60" s="31"/>
      <c r="E60" s="31"/>
      <c r="F60" s="31"/>
      <c r="G60" s="31"/>
      <c r="H60" s="31"/>
      <c r="I60" s="31"/>
      <c r="J60" s="31"/>
    </row>
    <row r="61" customFormat="false" ht="12.75" hidden="false" customHeight="true" outlineLevel="0" collapsed="false">
      <c r="A61" s="30" t="s">
        <v>364</v>
      </c>
      <c r="B61" s="31" t="s">
        <v>437</v>
      </c>
      <c r="C61" s="31"/>
      <c r="D61" s="31"/>
      <c r="E61" s="31"/>
      <c r="F61" s="31"/>
      <c r="G61" s="31"/>
      <c r="H61" s="31"/>
      <c r="I61" s="31"/>
      <c r="J61" s="31"/>
    </row>
    <row r="62" customFormat="false" ht="12.75" hidden="false" customHeight="true" outlineLevel="0" collapsed="false">
      <c r="A62" s="19" t="s">
        <v>438</v>
      </c>
      <c r="B62" s="21" t="s">
        <v>418</v>
      </c>
      <c r="C62" s="21"/>
      <c r="D62" s="21"/>
      <c r="E62" s="21"/>
      <c r="F62" s="21"/>
      <c r="G62" s="21"/>
      <c r="H62" s="110" t="n">
        <f aca="false">IF('DI, Tri e Pag'!$H$12:$J$12='DI, Tri e Pag'!$L$12,-('DI, Tri e Pag'!$H$23+'DI, Tri e Pag'!$H$24)*SUM(J53:J58),0)</f>
        <v>0</v>
      </c>
      <c r="I62" s="110"/>
      <c r="J62" s="110"/>
    </row>
    <row r="63" customFormat="false" ht="41.25" hidden="false" customHeight="true" outlineLevel="0" collapsed="false">
      <c r="A63" s="30" t="s">
        <v>419</v>
      </c>
      <c r="B63" s="31" t="str">
        <f aca="false">B46</f>
        <v>Calculado apenas quando o regime de incidência da contribuição para o PIS/COFINS for não cumulativo. Neste regime é permitido o desconto de créditos apurados com base em custos, despesas e encargos sociais. Fundamentação: Lei 10637/2002 e Lei 10.833/2003</v>
      </c>
      <c r="C63" s="31"/>
      <c r="D63" s="31"/>
      <c r="E63" s="31"/>
      <c r="F63" s="31"/>
      <c r="G63" s="31"/>
      <c r="H63" s="31"/>
      <c r="I63" s="31"/>
      <c r="J63" s="31"/>
    </row>
    <row r="64" customFormat="false" ht="12.75" hidden="false" customHeight="false" outlineLevel="0" collapsed="false">
      <c r="A64" s="16" t="str">
        <f aca="false">"Total do "&amp;A51</f>
        <v>Total do Modulo 3</v>
      </c>
      <c r="B64" s="16"/>
      <c r="C64" s="16"/>
      <c r="D64" s="16"/>
      <c r="E64" s="16"/>
      <c r="F64" s="16"/>
      <c r="G64" s="16"/>
      <c r="H64" s="112" t="n">
        <f aca="false">SUM(J53:J58,H62)</f>
        <v>0</v>
      </c>
      <c r="I64" s="112"/>
      <c r="J64" s="112"/>
    </row>
    <row r="66" customFormat="false" ht="15" hidden="false" customHeight="true" outlineLevel="0" collapsed="false">
      <c r="A66" s="103" t="s">
        <v>447</v>
      </c>
      <c r="B66" s="104" t="s">
        <v>448</v>
      </c>
      <c r="C66" s="104"/>
      <c r="D66" s="104"/>
      <c r="E66" s="104"/>
      <c r="F66" s="104"/>
      <c r="G66" s="104"/>
      <c r="H66" s="104"/>
      <c r="I66" s="104"/>
      <c r="J66" s="104"/>
    </row>
    <row r="67" customFormat="false" ht="12.75" hidden="false" customHeight="true" outlineLevel="0" collapsed="false">
      <c r="A67" s="16" t="s">
        <v>449</v>
      </c>
      <c r="B67" s="105" t="s">
        <v>450</v>
      </c>
      <c r="C67" s="105"/>
      <c r="D67" s="105"/>
      <c r="E67" s="105"/>
      <c r="F67" s="105"/>
      <c r="G67" s="105"/>
      <c r="H67" s="122" t="s">
        <v>75</v>
      </c>
      <c r="I67" s="106" t="s">
        <v>399</v>
      </c>
      <c r="J67" s="106"/>
    </row>
    <row r="68" customFormat="false" ht="12.75" hidden="false" customHeight="true" outlineLevel="0" collapsed="false">
      <c r="A68" s="19" t="s">
        <v>400</v>
      </c>
      <c r="B68" s="21" t="s">
        <v>451</v>
      </c>
      <c r="C68" s="21"/>
      <c r="D68" s="21"/>
      <c r="E68" s="21"/>
      <c r="F68" s="21"/>
      <c r="G68" s="21"/>
      <c r="H68" s="123" t="n">
        <v>0.2</v>
      </c>
      <c r="I68" s="124" t="n">
        <f aca="false">H68*$H$37</f>
        <v>349</v>
      </c>
      <c r="J68" s="124"/>
    </row>
    <row r="69" customFormat="false" ht="12.75" hidden="false" customHeight="true" outlineLevel="0" collapsed="false">
      <c r="A69" s="30" t="s">
        <v>108</v>
      </c>
      <c r="B69" s="31" t="s">
        <v>452</v>
      </c>
      <c r="C69" s="31"/>
      <c r="D69" s="31"/>
      <c r="E69" s="31"/>
      <c r="F69" s="31"/>
      <c r="G69" s="31"/>
      <c r="H69" s="31"/>
      <c r="I69" s="31"/>
      <c r="J69" s="31"/>
    </row>
    <row r="70" customFormat="false" ht="12.75" hidden="false" customHeight="true" outlineLevel="0" collapsed="false">
      <c r="A70" s="19" t="s">
        <v>403</v>
      </c>
      <c r="B70" s="21" t="s">
        <v>453</v>
      </c>
      <c r="C70" s="21"/>
      <c r="D70" s="21"/>
      <c r="E70" s="21"/>
      <c r="F70" s="21"/>
      <c r="G70" s="21"/>
      <c r="H70" s="123" t="n">
        <f aca="false">IF('DI, Tri e Pag'!$H$14:$J$14='DI, Tri e Pag'!$L$14,0.015,0)</f>
        <v>0.015</v>
      </c>
      <c r="I70" s="124" t="n">
        <f aca="false">H70*$H$37</f>
        <v>26.175</v>
      </c>
      <c r="J70" s="124"/>
    </row>
    <row r="71" customFormat="false" ht="12.75" hidden="false" customHeight="true" outlineLevel="0" collapsed="false">
      <c r="A71" s="30" t="s">
        <v>412</v>
      </c>
      <c r="B71" s="31" t="s">
        <v>454</v>
      </c>
      <c r="C71" s="31"/>
      <c r="D71" s="31"/>
      <c r="E71" s="31"/>
      <c r="F71" s="31"/>
      <c r="G71" s="31"/>
      <c r="H71" s="31"/>
      <c r="I71" s="31"/>
      <c r="J71" s="31"/>
    </row>
    <row r="72" customFormat="false" ht="12.75" hidden="false" customHeight="true" outlineLevel="0" collapsed="false">
      <c r="A72" s="30" t="s">
        <v>414</v>
      </c>
      <c r="B72" s="125" t="s">
        <v>455</v>
      </c>
      <c r="C72" s="125"/>
      <c r="D72" s="125"/>
      <c r="E72" s="125"/>
      <c r="F72" s="125"/>
      <c r="G72" s="125"/>
      <c r="H72" s="125"/>
      <c r="I72" s="125"/>
      <c r="J72" s="125"/>
    </row>
    <row r="73" customFormat="false" ht="12.75" hidden="false" customHeight="true" outlineLevel="0" collapsed="false">
      <c r="A73" s="19" t="s">
        <v>406</v>
      </c>
      <c r="B73" s="21" t="s">
        <v>456</v>
      </c>
      <c r="C73" s="21"/>
      <c r="D73" s="21"/>
      <c r="E73" s="21"/>
      <c r="F73" s="21"/>
      <c r="G73" s="21"/>
      <c r="H73" s="123" t="n">
        <f aca="false">IF('DI, Tri e Pag'!$H$14:$J$14='DI, Tri e Pag'!$L$14,0.01,0)</f>
        <v>0.01</v>
      </c>
      <c r="I73" s="124" t="n">
        <f aca="false">H73*$H$37</f>
        <v>17.45</v>
      </c>
      <c r="J73" s="124"/>
    </row>
    <row r="74" customFormat="false" ht="12.75" hidden="false" customHeight="true" outlineLevel="0" collapsed="false">
      <c r="A74" s="30" t="s">
        <v>412</v>
      </c>
      <c r="B74" s="31" t="s">
        <v>457</v>
      </c>
      <c r="C74" s="31"/>
      <c r="D74" s="31"/>
      <c r="E74" s="31"/>
      <c r="F74" s="31"/>
      <c r="G74" s="31"/>
      <c r="H74" s="31"/>
      <c r="I74" s="31"/>
      <c r="J74" s="31"/>
    </row>
    <row r="75" customFormat="false" ht="12.75" hidden="false" customHeight="true" outlineLevel="0" collapsed="false">
      <c r="A75" s="30" t="s">
        <v>414</v>
      </c>
      <c r="B75" s="125" t="s">
        <v>455</v>
      </c>
      <c r="C75" s="125"/>
      <c r="D75" s="125"/>
      <c r="E75" s="125"/>
      <c r="F75" s="125"/>
      <c r="G75" s="125"/>
      <c r="H75" s="125"/>
      <c r="I75" s="125"/>
      <c r="J75" s="125"/>
    </row>
    <row r="76" customFormat="false" ht="12.75" hidden="false" customHeight="true" outlineLevel="0" collapsed="false">
      <c r="A76" s="19" t="s">
        <v>430</v>
      </c>
      <c r="B76" s="21" t="s">
        <v>458</v>
      </c>
      <c r="C76" s="21"/>
      <c r="D76" s="21"/>
      <c r="E76" s="21"/>
      <c r="F76" s="21"/>
      <c r="G76" s="21"/>
      <c r="H76" s="123" t="n">
        <f aca="false">IF('DI, Tri e Pag'!$H$14:$J$14='DI, Tri e Pag'!$L$14,0.002,0)</f>
        <v>0.002</v>
      </c>
      <c r="I76" s="124" t="n">
        <f aca="false">H76*$H$37</f>
        <v>3.49</v>
      </c>
      <c r="J76" s="124"/>
    </row>
    <row r="77" customFormat="false" ht="12.75" hidden="false" customHeight="true" outlineLevel="0" collapsed="false">
      <c r="A77" s="30" t="s">
        <v>412</v>
      </c>
      <c r="B77" s="31" t="s">
        <v>459</v>
      </c>
      <c r="C77" s="31"/>
      <c r="D77" s="31"/>
      <c r="E77" s="31"/>
      <c r="F77" s="31"/>
      <c r="G77" s="31"/>
      <c r="H77" s="31"/>
      <c r="I77" s="31"/>
      <c r="J77" s="31"/>
    </row>
    <row r="78" customFormat="false" ht="12.75" hidden="false" customHeight="true" outlineLevel="0" collapsed="false">
      <c r="A78" s="30" t="s">
        <v>414</v>
      </c>
      <c r="B78" s="125" t="s">
        <v>455</v>
      </c>
      <c r="C78" s="125"/>
      <c r="D78" s="125"/>
      <c r="E78" s="125"/>
      <c r="F78" s="125"/>
      <c r="G78" s="125"/>
      <c r="H78" s="125"/>
      <c r="I78" s="125"/>
      <c r="J78" s="125"/>
    </row>
    <row r="79" customFormat="false" ht="12.75" hidden="false" customHeight="true" outlineLevel="0" collapsed="false">
      <c r="A79" s="19" t="s">
        <v>432</v>
      </c>
      <c r="B79" s="21" t="s">
        <v>460</v>
      </c>
      <c r="C79" s="21"/>
      <c r="D79" s="21"/>
      <c r="E79" s="21"/>
      <c r="F79" s="21"/>
      <c r="G79" s="21"/>
      <c r="H79" s="123" t="n">
        <f aca="false">IF('DI, Tri e Pag'!$H$14:$J$14='DI, Tri e Pag'!$L$14,0.025,0)</f>
        <v>0.025</v>
      </c>
      <c r="I79" s="124" t="n">
        <f aca="false">H79*$H$37</f>
        <v>43.625</v>
      </c>
      <c r="J79" s="124"/>
    </row>
    <row r="80" customFormat="false" ht="31.5" hidden="false" customHeight="true" outlineLevel="0" collapsed="false">
      <c r="A80" s="30" t="s">
        <v>412</v>
      </c>
      <c r="B80" s="31" t="s">
        <v>461</v>
      </c>
      <c r="C80" s="31"/>
      <c r="D80" s="31"/>
      <c r="E80" s="31"/>
      <c r="F80" s="31"/>
      <c r="G80" s="31"/>
      <c r="H80" s="31"/>
      <c r="I80" s="31"/>
      <c r="J80" s="31"/>
    </row>
    <row r="81" customFormat="false" ht="12.75" hidden="false" customHeight="true" outlineLevel="0" collapsed="false">
      <c r="A81" s="30" t="s">
        <v>414</v>
      </c>
      <c r="B81" s="125" t="s">
        <v>455</v>
      </c>
      <c r="C81" s="125"/>
      <c r="D81" s="125"/>
      <c r="E81" s="125"/>
      <c r="F81" s="125"/>
      <c r="G81" s="125"/>
      <c r="H81" s="125"/>
      <c r="I81" s="125"/>
      <c r="J81" s="125"/>
    </row>
    <row r="82" customFormat="false" ht="12.75" hidden="false" customHeight="true" outlineLevel="0" collapsed="false">
      <c r="A82" s="19" t="s">
        <v>434</v>
      </c>
      <c r="B82" s="21" t="s">
        <v>462</v>
      </c>
      <c r="C82" s="21"/>
      <c r="D82" s="21"/>
      <c r="E82" s="21"/>
      <c r="F82" s="21"/>
      <c r="G82" s="21"/>
      <c r="H82" s="123" t="n">
        <v>0.08</v>
      </c>
      <c r="I82" s="124" t="n">
        <f aca="false">H82*$H$37</f>
        <v>139.6</v>
      </c>
      <c r="J82" s="124"/>
    </row>
    <row r="83" customFormat="false" ht="55.5" hidden="false" customHeight="true" outlineLevel="0" collapsed="false">
      <c r="A83" s="30" t="s">
        <v>108</v>
      </c>
      <c r="B83" s="31" t="s">
        <v>463</v>
      </c>
      <c r="C83" s="31"/>
      <c r="D83" s="31"/>
      <c r="E83" s="31"/>
      <c r="F83" s="31"/>
      <c r="G83" s="31"/>
      <c r="H83" s="31"/>
      <c r="I83" s="31"/>
      <c r="J83" s="31"/>
    </row>
    <row r="84" customFormat="false" ht="12.75" hidden="false" customHeight="true" outlineLevel="0" collapsed="false">
      <c r="A84" s="19" t="s">
        <v>438</v>
      </c>
      <c r="B84" s="21" t="s">
        <v>464</v>
      </c>
      <c r="C84" s="21"/>
      <c r="D84" s="21"/>
      <c r="E84" s="21"/>
      <c r="F84" s="21"/>
      <c r="G84" s="21"/>
      <c r="H84" s="126" t="n">
        <v>0.03</v>
      </c>
      <c r="I84" s="124" t="n">
        <f aca="false">H84*$H$37</f>
        <v>52.35</v>
      </c>
      <c r="J84" s="124"/>
    </row>
    <row r="85" customFormat="false" ht="33" hidden="false" customHeight="true" outlineLevel="0" collapsed="false">
      <c r="A85" s="108" t="s">
        <v>108</v>
      </c>
      <c r="B85" s="109" t="s">
        <v>465</v>
      </c>
      <c r="C85" s="109"/>
      <c r="D85" s="109"/>
      <c r="E85" s="109"/>
      <c r="F85" s="109"/>
      <c r="G85" s="109"/>
      <c r="H85" s="109"/>
      <c r="I85" s="109"/>
      <c r="J85" s="109"/>
    </row>
    <row r="86" customFormat="false" ht="12.75" hidden="false" customHeight="true" outlineLevel="0" collapsed="false">
      <c r="A86" s="108" t="s">
        <v>364</v>
      </c>
      <c r="B86" s="109" t="s">
        <v>466</v>
      </c>
      <c r="C86" s="109"/>
      <c r="D86" s="109"/>
      <c r="E86" s="109"/>
      <c r="F86" s="109"/>
      <c r="G86" s="109"/>
      <c r="H86" s="109"/>
      <c r="I86" s="109"/>
      <c r="J86" s="109"/>
    </row>
    <row r="87" customFormat="false" ht="12.75" hidden="false" customHeight="true" outlineLevel="0" collapsed="false">
      <c r="A87" s="19" t="s">
        <v>467</v>
      </c>
      <c r="B87" s="21" t="s">
        <v>468</v>
      </c>
      <c r="C87" s="21"/>
      <c r="D87" s="21"/>
      <c r="E87" s="21"/>
      <c r="F87" s="21"/>
      <c r="G87" s="21"/>
      <c r="H87" s="123" t="n">
        <f aca="false">IF('DI, Tri e Pag'!$H$14:$J$14='DI, Tri e Pag'!$L$14,0.006,0)</f>
        <v>0.006</v>
      </c>
      <c r="I87" s="124" t="n">
        <f aca="false">H87*$H$37</f>
        <v>10.47</v>
      </c>
      <c r="J87" s="124"/>
    </row>
    <row r="88" customFormat="false" ht="12.75" hidden="false" customHeight="true" outlineLevel="0" collapsed="false">
      <c r="A88" s="30" t="s">
        <v>108</v>
      </c>
      <c r="B88" s="31" t="s">
        <v>469</v>
      </c>
      <c r="C88" s="31"/>
      <c r="D88" s="31"/>
      <c r="E88" s="31"/>
      <c r="F88" s="31"/>
      <c r="G88" s="31"/>
      <c r="H88" s="31"/>
      <c r="I88" s="31"/>
      <c r="J88" s="31"/>
    </row>
    <row r="89" customFormat="false" ht="12.75" hidden="false" customHeight="true" outlineLevel="0" collapsed="false">
      <c r="A89" s="30" t="s">
        <v>414</v>
      </c>
      <c r="B89" s="125" t="s">
        <v>455</v>
      </c>
      <c r="C89" s="125"/>
      <c r="D89" s="125"/>
      <c r="E89" s="125"/>
      <c r="F89" s="125"/>
      <c r="G89" s="125"/>
      <c r="H89" s="125"/>
      <c r="I89" s="125"/>
      <c r="J89" s="125"/>
    </row>
    <row r="90" customFormat="false" ht="12.75" hidden="false" customHeight="false" outlineLevel="0" collapsed="false">
      <c r="A90" s="16" t="str">
        <f aca="false">"Total do Sobmódulo "&amp;A67</f>
        <v>Total do Sobmódulo 4.1</v>
      </c>
      <c r="B90" s="16"/>
      <c r="C90" s="16"/>
      <c r="D90" s="16"/>
      <c r="E90" s="16"/>
      <c r="F90" s="16"/>
      <c r="G90" s="16"/>
      <c r="H90" s="127" t="n">
        <f aca="false">SUM(H68,H70,H73,H76,H79,H82,H84,H87)</f>
        <v>0.368</v>
      </c>
      <c r="I90" s="128" t="n">
        <f aca="false">SUM(I68,I70,I73,I76,I79,I82,I84,I87)</f>
        <v>642.16</v>
      </c>
      <c r="J90" s="128"/>
      <c r="K90" s="129"/>
    </row>
    <row r="92" customFormat="false" ht="12.75" hidden="false" customHeight="true" outlineLevel="0" collapsed="false">
      <c r="A92" s="16" t="s">
        <v>470</v>
      </c>
      <c r="B92" s="105" t="s">
        <v>471</v>
      </c>
      <c r="C92" s="105"/>
      <c r="D92" s="105"/>
      <c r="E92" s="105"/>
      <c r="F92" s="105"/>
      <c r="G92" s="105"/>
      <c r="H92" s="122" t="s">
        <v>75</v>
      </c>
      <c r="I92" s="106" t="s">
        <v>399</v>
      </c>
      <c r="J92" s="106"/>
    </row>
    <row r="93" customFormat="false" ht="12.75" hidden="false" customHeight="true" outlineLevel="0" collapsed="false">
      <c r="A93" s="19" t="s">
        <v>400</v>
      </c>
      <c r="B93" s="21" t="s">
        <v>471</v>
      </c>
      <c r="C93" s="21"/>
      <c r="D93" s="21"/>
      <c r="E93" s="21"/>
      <c r="F93" s="21"/>
      <c r="G93" s="21"/>
      <c r="H93" s="123" t="n">
        <f aca="false">1/12</f>
        <v>0.0833333333333333</v>
      </c>
      <c r="I93" s="130" t="n">
        <f aca="false">$H$37*H93</f>
        <v>145.416666666667</v>
      </c>
      <c r="J93" s="130"/>
    </row>
    <row r="94" customFormat="false" ht="27" hidden="false" customHeight="true" outlineLevel="0" collapsed="false">
      <c r="A94" s="30" t="s">
        <v>108</v>
      </c>
      <c r="B94" s="31" t="s">
        <v>472</v>
      </c>
      <c r="C94" s="31"/>
      <c r="D94" s="31"/>
      <c r="E94" s="31"/>
      <c r="F94" s="31"/>
      <c r="G94" s="31"/>
      <c r="H94" s="31"/>
      <c r="I94" s="31"/>
      <c r="J94" s="31"/>
    </row>
    <row r="95" customFormat="false" ht="12.75" hidden="false" customHeight="true" outlineLevel="0" collapsed="false">
      <c r="A95" s="30" t="s">
        <v>364</v>
      </c>
      <c r="B95" s="31" t="s">
        <v>473</v>
      </c>
      <c r="C95" s="31"/>
      <c r="D95" s="31"/>
      <c r="E95" s="31"/>
      <c r="F95" s="31"/>
      <c r="G95" s="31"/>
      <c r="H95" s="31"/>
      <c r="I95" s="31"/>
      <c r="J95" s="31"/>
    </row>
    <row r="96" customFormat="false" ht="12.75" hidden="false" customHeight="false" outlineLevel="0" collapsed="false">
      <c r="A96" s="19" t="s">
        <v>403</v>
      </c>
      <c r="B96" s="21" t="str">
        <f aca="false">"Incidência do Submódulo "&amp;$A$67&amp;" sobre "&amp;B92</f>
        <v>Incidência do Submódulo 4.1 sobre 13º Salário</v>
      </c>
      <c r="C96" s="21"/>
      <c r="D96" s="21"/>
      <c r="E96" s="21"/>
      <c r="F96" s="21"/>
      <c r="G96" s="21"/>
      <c r="H96" s="123" t="n">
        <f aca="false">$H$90</f>
        <v>0.368</v>
      </c>
      <c r="I96" s="130" t="n">
        <f aca="false">I93*H96</f>
        <v>53.5133333333333</v>
      </c>
      <c r="J96" s="130"/>
      <c r="L96" s="131"/>
    </row>
    <row r="97" customFormat="false" ht="12.75" hidden="false" customHeight="false" outlineLevel="0" collapsed="false">
      <c r="A97" s="30" t="s">
        <v>108</v>
      </c>
      <c r="B97" s="31" t="str">
        <f aca="false">"Aplicar percentual do submódulo "&amp;$A$67&amp;" sobre o "&amp;B92</f>
        <v>Aplicar percentual do submódulo 4.1 sobre o 13º Salário</v>
      </c>
      <c r="C97" s="31"/>
      <c r="D97" s="31"/>
      <c r="E97" s="31"/>
      <c r="F97" s="31"/>
      <c r="G97" s="31"/>
      <c r="H97" s="31"/>
      <c r="I97" s="31"/>
      <c r="J97" s="31"/>
    </row>
    <row r="98" customFormat="false" ht="12.75" hidden="false" customHeight="false" outlineLevel="0" collapsed="false">
      <c r="A98" s="16" t="str">
        <f aca="false">"Total do Sobmódulo "&amp;A92</f>
        <v>Total do Sobmódulo 4.2</v>
      </c>
      <c r="B98" s="16"/>
      <c r="C98" s="16"/>
      <c r="D98" s="16"/>
      <c r="E98" s="16"/>
      <c r="F98" s="16"/>
      <c r="G98" s="16"/>
      <c r="H98" s="127" t="n">
        <f aca="false">H93+H93*H96</f>
        <v>0.114</v>
      </c>
      <c r="I98" s="128" t="n">
        <f aca="false">SUM(I93+I96)</f>
        <v>198.93</v>
      </c>
      <c r="J98" s="128"/>
      <c r="K98" s="129"/>
    </row>
    <row r="100" customFormat="false" ht="12.75" hidden="false" customHeight="true" outlineLevel="0" collapsed="false">
      <c r="A100" s="16" t="s">
        <v>474</v>
      </c>
      <c r="B100" s="105" t="s">
        <v>475</v>
      </c>
      <c r="C100" s="105"/>
      <c r="D100" s="105"/>
      <c r="E100" s="105"/>
      <c r="F100" s="105"/>
      <c r="G100" s="105"/>
      <c r="H100" s="122" t="s">
        <v>75</v>
      </c>
      <c r="I100" s="106" t="s">
        <v>399</v>
      </c>
      <c r="J100" s="106"/>
    </row>
    <row r="101" customFormat="false" ht="12.75" hidden="false" customHeight="false" outlineLevel="0" collapsed="false">
      <c r="A101" s="19" t="s">
        <v>400</v>
      </c>
      <c r="B101" s="21" t="str">
        <f aca="false">B100</f>
        <v>Afastamento Maternidade</v>
      </c>
      <c r="C101" s="21"/>
      <c r="D101" s="21"/>
      <c r="E101" s="21"/>
      <c r="F101" s="21"/>
      <c r="G101" s="21"/>
      <c r="H101" s="126" t="n">
        <f aca="false">(1+(1/3))*(4/12)*0.4445*0.0731/12</f>
        <v>0.00120344259259259</v>
      </c>
      <c r="I101" s="130" t="n">
        <f aca="false">$H$37*H101</f>
        <v>2.10000732407407</v>
      </c>
      <c r="J101" s="130"/>
    </row>
    <row r="102" customFormat="false" ht="91.5" hidden="false" customHeight="true" outlineLevel="0" collapsed="false">
      <c r="A102" s="108" t="s">
        <v>476</v>
      </c>
      <c r="B102" s="109" t="s">
        <v>477</v>
      </c>
      <c r="C102" s="109"/>
      <c r="D102" s="109"/>
      <c r="E102" s="109"/>
      <c r="F102" s="109"/>
      <c r="G102" s="109"/>
      <c r="H102" s="109"/>
      <c r="I102" s="109"/>
      <c r="J102" s="109"/>
    </row>
    <row r="103" customFormat="false" ht="76.5" hidden="false" customHeight="true" outlineLevel="0" collapsed="false">
      <c r="A103" s="108" t="s">
        <v>478</v>
      </c>
      <c r="B103" s="109" t="s">
        <v>479</v>
      </c>
      <c r="C103" s="109"/>
      <c r="D103" s="109"/>
      <c r="E103" s="109"/>
      <c r="F103" s="109"/>
      <c r="G103" s="109"/>
      <c r="H103" s="109"/>
      <c r="I103" s="109"/>
      <c r="J103" s="109"/>
      <c r="L103" s="145"/>
    </row>
    <row r="104" customFormat="false" ht="28.5" hidden="false" customHeight="true" outlineLevel="0" collapsed="false">
      <c r="A104" s="108" t="s">
        <v>364</v>
      </c>
      <c r="B104" s="109" t="s">
        <v>480</v>
      </c>
      <c r="C104" s="109"/>
      <c r="D104" s="109"/>
      <c r="E104" s="109"/>
      <c r="F104" s="109"/>
      <c r="G104" s="109"/>
      <c r="H104" s="109"/>
      <c r="I104" s="109"/>
      <c r="J104" s="109"/>
    </row>
    <row r="105" customFormat="false" ht="12.75" hidden="false" customHeight="false" outlineLevel="0" collapsed="false">
      <c r="A105" s="19" t="s">
        <v>403</v>
      </c>
      <c r="B105" s="21" t="str">
        <f aca="false">"Incidência do Submódulo "&amp;$A$67&amp;" sobre "&amp;B100</f>
        <v>Incidência do Submódulo 4.1 sobre Afastamento Maternidade</v>
      </c>
      <c r="C105" s="21"/>
      <c r="D105" s="21"/>
      <c r="E105" s="21"/>
      <c r="F105" s="21"/>
      <c r="G105" s="21"/>
      <c r="H105" s="123" t="n">
        <f aca="false">$H$90</f>
        <v>0.368</v>
      </c>
      <c r="I105" s="130" t="n">
        <f aca="false">I101*H105</f>
        <v>0.77280269525926</v>
      </c>
      <c r="J105" s="130"/>
      <c r="L105" s="131"/>
    </row>
    <row r="106" customFormat="false" ht="12.75" hidden="false" customHeight="false" outlineLevel="0" collapsed="false">
      <c r="A106" s="30" t="s">
        <v>108</v>
      </c>
      <c r="B106" s="31" t="str">
        <f aca="false">"Aplicar percentual do submódulo "&amp;$A$67&amp;" sobre o "&amp;B100</f>
        <v>Aplicar percentual do submódulo 4.1 sobre o Afastamento Maternidade</v>
      </c>
      <c r="C106" s="31"/>
      <c r="D106" s="31"/>
      <c r="E106" s="31"/>
      <c r="F106" s="31"/>
      <c r="G106" s="31"/>
      <c r="H106" s="31"/>
      <c r="I106" s="31"/>
      <c r="J106" s="31"/>
    </row>
    <row r="107" customFormat="false" ht="12.75" hidden="false" customHeight="false" outlineLevel="0" collapsed="false">
      <c r="A107" s="16" t="str">
        <f aca="false">"Total do Sobmódulo "&amp;A100</f>
        <v>Total do Sobmódulo 4.3</v>
      </c>
      <c r="B107" s="16"/>
      <c r="C107" s="16"/>
      <c r="D107" s="16"/>
      <c r="E107" s="16"/>
      <c r="F107" s="16"/>
      <c r="G107" s="16"/>
      <c r="H107" s="127" t="n">
        <f aca="false">H101+H101*H105</f>
        <v>0.00164630946666667</v>
      </c>
      <c r="I107" s="128" t="n">
        <f aca="false">SUM(I101+I105)</f>
        <v>2.87281001933333</v>
      </c>
      <c r="J107" s="128"/>
      <c r="K107" s="129"/>
    </row>
    <row r="109" customFormat="false" ht="12.75" hidden="false" customHeight="true" outlineLevel="0" collapsed="false">
      <c r="A109" s="16" t="s">
        <v>481</v>
      </c>
      <c r="B109" s="105" t="s">
        <v>482</v>
      </c>
      <c r="C109" s="105"/>
      <c r="D109" s="105"/>
      <c r="E109" s="105"/>
      <c r="F109" s="105"/>
      <c r="G109" s="105"/>
      <c r="H109" s="122" t="s">
        <v>75</v>
      </c>
      <c r="I109" s="106" t="s">
        <v>399</v>
      </c>
      <c r="J109" s="106"/>
    </row>
    <row r="110" customFormat="false" ht="12.75" hidden="false" customHeight="true" outlineLevel="0" collapsed="false">
      <c r="A110" s="19" t="s">
        <v>400</v>
      </c>
      <c r="B110" s="21" t="s">
        <v>483</v>
      </c>
      <c r="C110" s="21"/>
      <c r="D110" s="21"/>
      <c r="E110" s="21"/>
      <c r="F110" s="21"/>
      <c r="G110" s="21"/>
      <c r="H110" s="126" t="n">
        <f aca="false">(1/12)*0.55*0.9</f>
        <v>0.04125</v>
      </c>
      <c r="I110" s="130" t="n">
        <f aca="false">$H$37*H110</f>
        <v>71.98125</v>
      </c>
      <c r="J110" s="130"/>
      <c r="K110" s="113"/>
    </row>
    <row r="111" customFormat="false" ht="39.75" hidden="false" customHeight="true" outlineLevel="0" collapsed="false">
      <c r="A111" s="108" t="s">
        <v>412</v>
      </c>
      <c r="B111" s="109" t="s">
        <v>484</v>
      </c>
      <c r="C111" s="109"/>
      <c r="D111" s="109"/>
      <c r="E111" s="109"/>
      <c r="F111" s="109"/>
      <c r="G111" s="109"/>
      <c r="H111" s="109"/>
      <c r="I111" s="109"/>
      <c r="J111" s="109"/>
    </row>
    <row r="112" customFormat="false" ht="40.5" hidden="false" customHeight="true" outlineLevel="0" collapsed="false">
      <c r="A112" s="108" t="s">
        <v>414</v>
      </c>
      <c r="B112" s="109" t="s">
        <v>485</v>
      </c>
      <c r="C112" s="109"/>
      <c r="D112" s="109"/>
      <c r="E112" s="109"/>
      <c r="F112" s="109"/>
      <c r="G112" s="109"/>
      <c r="H112" s="109"/>
      <c r="I112" s="109"/>
      <c r="J112" s="109"/>
    </row>
    <row r="113" customFormat="false" ht="12.75" hidden="false" customHeight="true" outlineLevel="0" collapsed="false">
      <c r="A113" s="108" t="s">
        <v>486</v>
      </c>
      <c r="B113" s="109" t="s">
        <v>487</v>
      </c>
      <c r="C113" s="109"/>
      <c r="D113" s="109"/>
      <c r="E113" s="109"/>
      <c r="F113" s="109"/>
      <c r="G113" s="109"/>
      <c r="H113" s="109"/>
      <c r="I113" s="109"/>
      <c r="J113" s="109"/>
    </row>
    <row r="114" customFormat="false" ht="32.25" hidden="false" customHeight="true" outlineLevel="0" collapsed="false">
      <c r="A114" s="108" t="s">
        <v>364</v>
      </c>
      <c r="B114" s="109" t="s">
        <v>488</v>
      </c>
      <c r="C114" s="109"/>
      <c r="D114" s="109"/>
      <c r="E114" s="109"/>
      <c r="F114" s="109"/>
      <c r="G114" s="109"/>
      <c r="H114" s="109"/>
      <c r="I114" s="109"/>
      <c r="J114" s="109"/>
    </row>
    <row r="115" customFormat="false" ht="12.75" hidden="false" customHeight="false" outlineLevel="0" collapsed="false">
      <c r="A115" s="19" t="s">
        <v>403</v>
      </c>
      <c r="B115" s="21" t="str">
        <f aca="false">"Incidência do FGTS sobre o "&amp;B110</f>
        <v>Incidência do FGTS sobre o Aviso prévio indenizado</v>
      </c>
      <c r="C115" s="21"/>
      <c r="D115" s="21"/>
      <c r="E115" s="21"/>
      <c r="F115" s="21"/>
      <c r="G115" s="21"/>
      <c r="H115" s="123" t="n">
        <f aca="false">H82</f>
        <v>0.08</v>
      </c>
      <c r="I115" s="130" t="n">
        <f aca="false">I110*H115</f>
        <v>5.7585</v>
      </c>
      <c r="J115" s="130"/>
      <c r="K115" s="113"/>
    </row>
    <row r="116" customFormat="false" ht="12.75" hidden="false" customHeight="false" outlineLevel="0" collapsed="false">
      <c r="A116" s="30" t="s">
        <v>108</v>
      </c>
      <c r="B116" s="31" t="str">
        <f aca="false">"Aplicar percentual do FGTS sobre o "&amp;B110</f>
        <v>Aplicar percentual do FGTS sobre o Aviso prévio indenizado</v>
      </c>
      <c r="C116" s="31"/>
      <c r="D116" s="31"/>
      <c r="E116" s="31"/>
      <c r="F116" s="31"/>
      <c r="G116" s="31"/>
      <c r="H116" s="31"/>
      <c r="I116" s="31"/>
      <c r="J116" s="31"/>
    </row>
    <row r="117" customFormat="false" ht="12.75" hidden="false" customHeight="true" outlineLevel="0" collapsed="false">
      <c r="A117" s="19" t="s">
        <v>406</v>
      </c>
      <c r="B117" s="21" t="s">
        <v>489</v>
      </c>
      <c r="C117" s="21"/>
      <c r="D117" s="21"/>
      <c r="E117" s="21"/>
      <c r="F117" s="21"/>
      <c r="G117" s="21"/>
      <c r="H117" s="126" t="n">
        <f aca="false">0.4*$H$82*0.55*0.9+0.1*$H$82*0.55*0.9</f>
        <v>0.0198</v>
      </c>
      <c r="I117" s="130" t="n">
        <f aca="false">H117*$H$37</f>
        <v>34.551</v>
      </c>
      <c r="J117" s="130"/>
      <c r="K117" s="113"/>
    </row>
    <row r="118" customFormat="false" ht="28.5" hidden="false" customHeight="true" outlineLevel="0" collapsed="false">
      <c r="A118" s="108" t="s">
        <v>108</v>
      </c>
      <c r="B118" s="109" t="s">
        <v>490</v>
      </c>
      <c r="C118" s="109"/>
      <c r="D118" s="109"/>
      <c r="E118" s="109"/>
      <c r="F118" s="109"/>
      <c r="G118" s="109"/>
      <c r="H118" s="109"/>
      <c r="I118" s="109"/>
      <c r="J118" s="109"/>
      <c r="K118" s="113"/>
    </row>
    <row r="119" customFormat="false" ht="69.75" hidden="false" customHeight="true" outlineLevel="0" collapsed="false">
      <c r="A119" s="108" t="s">
        <v>364</v>
      </c>
      <c r="B119" s="109" t="s">
        <v>491</v>
      </c>
      <c r="C119" s="109"/>
      <c r="D119" s="109"/>
      <c r="E119" s="109"/>
      <c r="F119" s="109"/>
      <c r="G119" s="109"/>
      <c r="H119" s="109"/>
      <c r="I119" s="109"/>
      <c r="J119" s="109"/>
    </row>
    <row r="120" customFormat="false" ht="12.75" hidden="false" customHeight="true" outlineLevel="0" collapsed="false">
      <c r="A120" s="19" t="s">
        <v>430</v>
      </c>
      <c r="B120" s="21" t="s">
        <v>492</v>
      </c>
      <c r="C120" s="21"/>
      <c r="D120" s="21"/>
      <c r="E120" s="21"/>
      <c r="F120" s="21"/>
      <c r="G120" s="21"/>
      <c r="H120" s="126" t="n">
        <f aca="false">7*0.55*0.1/360</f>
        <v>0.00106944444444444</v>
      </c>
      <c r="I120" s="130" t="n">
        <f aca="false">H120*$H$37</f>
        <v>1.86618055555556</v>
      </c>
      <c r="J120" s="130"/>
      <c r="K120" s="113"/>
    </row>
    <row r="121" customFormat="false" ht="60.75" hidden="false" customHeight="true" outlineLevel="0" collapsed="false">
      <c r="A121" s="108" t="s">
        <v>108</v>
      </c>
      <c r="B121" s="109" t="s">
        <v>493</v>
      </c>
      <c r="C121" s="109"/>
      <c r="D121" s="109"/>
      <c r="E121" s="109"/>
      <c r="F121" s="109"/>
      <c r="G121" s="109"/>
      <c r="H121" s="109"/>
      <c r="I121" s="109"/>
      <c r="J121" s="109"/>
    </row>
    <row r="122" customFormat="false" ht="33" hidden="false" customHeight="true" outlineLevel="0" collapsed="false">
      <c r="A122" s="108" t="s">
        <v>364</v>
      </c>
      <c r="B122" s="109" t="s">
        <v>494</v>
      </c>
      <c r="C122" s="109"/>
      <c r="D122" s="109"/>
      <c r="E122" s="109"/>
      <c r="F122" s="109"/>
      <c r="G122" s="109"/>
      <c r="H122" s="109"/>
      <c r="I122" s="109"/>
      <c r="J122" s="109"/>
    </row>
    <row r="123" customFormat="false" ht="12.75" hidden="false" customHeight="true" outlineLevel="0" collapsed="false">
      <c r="A123" s="19" t="s">
        <v>432</v>
      </c>
      <c r="B123" s="21" t="s">
        <v>495</v>
      </c>
      <c r="C123" s="21"/>
      <c r="D123" s="21"/>
      <c r="E123" s="21"/>
      <c r="F123" s="21"/>
      <c r="G123" s="21"/>
      <c r="H123" s="126" t="n">
        <f aca="false">0.4*$H$82*0.55*0.1+0.1*$H$82*0.55*0.1</f>
        <v>0.0022</v>
      </c>
      <c r="I123" s="130" t="n">
        <f aca="false">H123*$H$37</f>
        <v>3.839</v>
      </c>
      <c r="J123" s="130"/>
      <c r="K123" s="113"/>
    </row>
    <row r="124" customFormat="false" ht="68.25" hidden="false" customHeight="true" outlineLevel="0" collapsed="false">
      <c r="A124" s="108" t="s">
        <v>364</v>
      </c>
      <c r="B124" s="109" t="s">
        <v>496</v>
      </c>
      <c r="C124" s="109"/>
      <c r="D124" s="109"/>
      <c r="E124" s="109"/>
      <c r="F124" s="109"/>
      <c r="G124" s="109"/>
      <c r="H124" s="109"/>
      <c r="I124" s="109"/>
      <c r="J124" s="109"/>
    </row>
    <row r="125" customFormat="false" ht="12.75" hidden="false" customHeight="false" outlineLevel="0" collapsed="false">
      <c r="A125" s="19" t="s">
        <v>434</v>
      </c>
      <c r="B125" s="21" t="str">
        <f aca="false">"Incidência do Submódulo "&amp;$A$67&amp;" sobre "&amp;B110</f>
        <v>Incidência do Submódulo 4.1 sobre Aviso prévio indenizado</v>
      </c>
      <c r="C125" s="21"/>
      <c r="D125" s="21"/>
      <c r="E125" s="21"/>
      <c r="F125" s="21"/>
      <c r="G125" s="21"/>
      <c r="H125" s="123" t="n">
        <f aca="false">$H$90</f>
        <v>0.368</v>
      </c>
      <c r="I125" s="130" t="n">
        <f aca="false">H125*I110</f>
        <v>26.4891</v>
      </c>
      <c r="J125" s="130"/>
      <c r="L125" s="131"/>
    </row>
    <row r="126" customFormat="false" ht="12.75" hidden="false" customHeight="false" outlineLevel="0" collapsed="false">
      <c r="A126" s="30" t="s">
        <v>108</v>
      </c>
      <c r="B126" s="31" t="str">
        <f aca="false">"Aplicar percentual do submódulo "&amp;$A$67&amp;" sobre o "&amp;B110</f>
        <v>Aplicar percentual do submódulo 4.1 sobre o Aviso prévio indenizado</v>
      </c>
      <c r="C126" s="31"/>
      <c r="D126" s="31"/>
      <c r="E126" s="31"/>
      <c r="F126" s="31"/>
      <c r="G126" s="31"/>
      <c r="H126" s="31"/>
      <c r="I126" s="31"/>
      <c r="J126" s="31"/>
    </row>
    <row r="127" customFormat="false" ht="12.75" hidden="false" customHeight="false" outlineLevel="0" collapsed="false">
      <c r="A127" s="16" t="str">
        <f aca="false">"Total do Sobmódulo "&amp;A109</f>
        <v>Total do Sobmódulo 4.4</v>
      </c>
      <c r="B127" s="16"/>
      <c r="C127" s="16"/>
      <c r="D127" s="16"/>
      <c r="E127" s="16"/>
      <c r="F127" s="16"/>
      <c r="G127" s="16"/>
      <c r="H127" s="127" t="n">
        <f aca="false">H110+H110*H115+H117+H120+H123+H125*H110</f>
        <v>0.0827994444444444</v>
      </c>
      <c r="I127" s="128" t="n">
        <f aca="false">SUM(I110,I115,I117,I120,I123,I125)</f>
        <v>144.485030555556</v>
      </c>
      <c r="J127" s="128"/>
      <c r="K127" s="129"/>
    </row>
    <row r="129" customFormat="false" ht="12.75" hidden="false" customHeight="true" outlineLevel="0" collapsed="false">
      <c r="A129" s="16" t="s">
        <v>497</v>
      </c>
      <c r="B129" s="105" t="s">
        <v>498</v>
      </c>
      <c r="C129" s="105"/>
      <c r="D129" s="105"/>
      <c r="E129" s="105"/>
      <c r="F129" s="105"/>
      <c r="G129" s="105"/>
      <c r="H129" s="122" t="s">
        <v>75</v>
      </c>
      <c r="I129" s="106" t="s">
        <v>399</v>
      </c>
      <c r="J129" s="106"/>
    </row>
    <row r="130" customFormat="false" ht="12.75" hidden="false" customHeight="true" outlineLevel="0" collapsed="false">
      <c r="A130" s="19" t="s">
        <v>400</v>
      </c>
      <c r="B130" s="21" t="s">
        <v>499</v>
      </c>
      <c r="C130" s="21"/>
      <c r="D130" s="21"/>
      <c r="E130" s="21"/>
      <c r="F130" s="21"/>
      <c r="G130" s="21"/>
      <c r="H130" s="123" t="n">
        <f aca="false">1/12</f>
        <v>0.0833333333333333</v>
      </c>
      <c r="I130" s="130" t="n">
        <f aca="false">H130*$H$37</f>
        <v>145.416666666667</v>
      </c>
      <c r="J130" s="130"/>
      <c r="K130" s="113"/>
    </row>
    <row r="131" customFormat="false" ht="42" hidden="false" customHeight="true" outlineLevel="0" collapsed="false">
      <c r="A131" s="30" t="s">
        <v>108</v>
      </c>
      <c r="B131" s="132" t="s">
        <v>500</v>
      </c>
      <c r="C131" s="132"/>
      <c r="D131" s="132"/>
      <c r="E131" s="132"/>
      <c r="F131" s="132"/>
      <c r="G131" s="132"/>
      <c r="H131" s="132"/>
      <c r="I131" s="132"/>
      <c r="J131" s="132"/>
      <c r="L131" s="131"/>
    </row>
    <row r="132" customFormat="false" ht="12.75" hidden="false" customHeight="true" outlineLevel="0" collapsed="false">
      <c r="A132" s="30" t="s">
        <v>364</v>
      </c>
      <c r="B132" s="31" t="s">
        <v>501</v>
      </c>
      <c r="C132" s="31"/>
      <c r="D132" s="31"/>
      <c r="E132" s="31"/>
      <c r="F132" s="31"/>
      <c r="G132" s="31"/>
      <c r="H132" s="31"/>
      <c r="I132" s="31"/>
      <c r="J132" s="31"/>
      <c r="L132" s="131"/>
      <c r="N132" s="113"/>
      <c r="O132" s="113"/>
      <c r="P132" s="113"/>
    </row>
    <row r="133" customFormat="false" ht="12.75" hidden="false" customHeight="true" outlineLevel="0" collapsed="false">
      <c r="A133" s="19" t="s">
        <v>403</v>
      </c>
      <c r="B133" s="21" t="s">
        <v>502</v>
      </c>
      <c r="C133" s="21"/>
      <c r="D133" s="21"/>
      <c r="E133" s="21"/>
      <c r="F133" s="21"/>
      <c r="G133" s="21"/>
      <c r="H133" s="123" t="n">
        <f aca="false">1/(12*3)</f>
        <v>0.0277777777777778</v>
      </c>
      <c r="I133" s="130" t="n">
        <f aca="false">H133*$H$37</f>
        <v>48.4722222222222</v>
      </c>
      <c r="J133" s="130"/>
      <c r="K133" s="113"/>
      <c r="L133" s="131"/>
      <c r="N133" s="113"/>
      <c r="O133" s="113"/>
      <c r="P133" s="113"/>
    </row>
    <row r="134" customFormat="false" ht="27.75" hidden="false" customHeight="true" outlineLevel="0" collapsed="false">
      <c r="A134" s="30" t="s">
        <v>108</v>
      </c>
      <c r="B134" s="132" t="s">
        <v>503</v>
      </c>
      <c r="C134" s="132"/>
      <c r="D134" s="132"/>
      <c r="E134" s="132"/>
      <c r="F134" s="132"/>
      <c r="G134" s="132"/>
      <c r="H134" s="132"/>
      <c r="I134" s="132"/>
      <c r="J134" s="132"/>
      <c r="L134" s="131"/>
      <c r="N134" s="113"/>
      <c r="O134" s="113"/>
      <c r="P134" s="113"/>
    </row>
    <row r="135" customFormat="false" ht="12.75" hidden="false" customHeight="true" outlineLevel="0" collapsed="false">
      <c r="A135" s="30" t="s">
        <v>364</v>
      </c>
      <c r="B135" s="31" t="s">
        <v>504</v>
      </c>
      <c r="C135" s="31"/>
      <c r="D135" s="31"/>
      <c r="E135" s="31"/>
      <c r="F135" s="31"/>
      <c r="G135" s="31"/>
      <c r="H135" s="31"/>
      <c r="I135" s="31"/>
      <c r="J135" s="31"/>
      <c r="L135" s="131"/>
      <c r="N135" s="113"/>
      <c r="O135" s="113"/>
      <c r="P135" s="113"/>
    </row>
    <row r="136" customFormat="false" ht="12.75" hidden="false" customHeight="true" outlineLevel="0" collapsed="false">
      <c r="A136" s="19" t="s">
        <v>406</v>
      </c>
      <c r="B136" s="21" t="s">
        <v>505</v>
      </c>
      <c r="C136" s="21"/>
      <c r="D136" s="21"/>
      <c r="E136" s="21"/>
      <c r="F136" s="21"/>
      <c r="G136" s="21"/>
      <c r="H136" s="126" t="n">
        <f aca="false">5.96/(30*12)</f>
        <v>0.0165555555555556</v>
      </c>
      <c r="I136" s="130" t="n">
        <f aca="false">H136*$H$37</f>
        <v>28.8894444444444</v>
      </c>
      <c r="J136" s="130"/>
      <c r="K136" s="113"/>
      <c r="L136" s="131"/>
      <c r="N136" s="113"/>
      <c r="O136" s="113"/>
      <c r="P136" s="113"/>
      <c r="Q136" s="113"/>
    </row>
    <row r="137" customFormat="false" ht="54" hidden="false" customHeight="true" outlineLevel="0" collapsed="false">
      <c r="A137" s="108" t="s">
        <v>108</v>
      </c>
      <c r="B137" s="133" t="s">
        <v>506</v>
      </c>
      <c r="C137" s="133"/>
      <c r="D137" s="133"/>
      <c r="E137" s="133"/>
      <c r="F137" s="133"/>
      <c r="G137" s="133"/>
      <c r="H137" s="133"/>
      <c r="I137" s="133"/>
      <c r="J137" s="133"/>
      <c r="L137" s="131"/>
      <c r="N137" s="113"/>
      <c r="O137" s="113"/>
      <c r="P137" s="113"/>
      <c r="Q137" s="113"/>
    </row>
    <row r="138" customFormat="false" ht="12.75" hidden="false" customHeight="true" outlineLevel="0" collapsed="false">
      <c r="A138" s="108" t="s">
        <v>364</v>
      </c>
      <c r="B138" s="109" t="s">
        <v>507</v>
      </c>
      <c r="C138" s="109"/>
      <c r="D138" s="109"/>
      <c r="E138" s="109"/>
      <c r="F138" s="109"/>
      <c r="G138" s="109"/>
      <c r="H138" s="109"/>
      <c r="I138" s="109"/>
      <c r="J138" s="109"/>
      <c r="L138" s="131"/>
      <c r="N138" s="113"/>
      <c r="O138" s="113"/>
      <c r="P138" s="113"/>
      <c r="Q138" s="113"/>
    </row>
    <row r="139" customFormat="false" ht="12.75" hidden="false" customHeight="true" outlineLevel="0" collapsed="false">
      <c r="A139" s="19" t="s">
        <v>430</v>
      </c>
      <c r="B139" s="21" t="s">
        <v>508</v>
      </c>
      <c r="C139" s="21"/>
      <c r="D139" s="21"/>
      <c r="E139" s="21"/>
      <c r="F139" s="21"/>
      <c r="G139" s="21"/>
      <c r="H139" s="126" t="n">
        <f aca="false">5*0.0731*0.5555/(30*12)</f>
        <v>0.000563986805555556</v>
      </c>
      <c r="I139" s="130" t="n">
        <f aca="false">H139*$H$37</f>
        <v>0.984156975694445</v>
      </c>
      <c r="J139" s="130"/>
      <c r="K139" s="113"/>
      <c r="N139" s="113"/>
      <c r="O139" s="113"/>
      <c r="P139" s="113"/>
    </row>
    <row r="140" customFormat="false" ht="94.5" hidden="false" customHeight="true" outlineLevel="0" collapsed="false">
      <c r="A140" s="108" t="s">
        <v>108</v>
      </c>
      <c r="B140" s="133" t="s">
        <v>509</v>
      </c>
      <c r="C140" s="133"/>
      <c r="D140" s="133"/>
      <c r="E140" s="133"/>
      <c r="F140" s="133"/>
      <c r="G140" s="133"/>
      <c r="H140" s="133"/>
      <c r="I140" s="133"/>
      <c r="J140" s="133"/>
      <c r="M140" s="113"/>
      <c r="N140" s="113"/>
      <c r="O140" s="113"/>
      <c r="P140" s="113"/>
      <c r="Q140" s="113"/>
    </row>
    <row r="141" customFormat="false" ht="12.75" hidden="false" customHeight="true" outlineLevel="0" collapsed="false">
      <c r="A141" s="108" t="s">
        <v>364</v>
      </c>
      <c r="B141" s="109" t="s">
        <v>510</v>
      </c>
      <c r="C141" s="109"/>
      <c r="D141" s="109"/>
      <c r="E141" s="109"/>
      <c r="F141" s="109"/>
      <c r="G141" s="109"/>
      <c r="H141" s="109"/>
      <c r="I141" s="109"/>
      <c r="J141" s="109"/>
      <c r="P141" s="113"/>
    </row>
    <row r="142" customFormat="false" ht="12.75" hidden="false" customHeight="true" outlineLevel="0" collapsed="false">
      <c r="A142" s="19" t="s">
        <v>432</v>
      </c>
      <c r="B142" s="21" t="s">
        <v>511</v>
      </c>
      <c r="C142" s="21"/>
      <c r="D142" s="21"/>
      <c r="E142" s="21"/>
      <c r="F142" s="21"/>
      <c r="G142" s="21"/>
      <c r="H142" s="126" t="n">
        <f aca="false">2.96/(30*12)</f>
        <v>0.00822222222222222</v>
      </c>
      <c r="I142" s="130" t="n">
        <f aca="false">H142*$H$37</f>
        <v>14.3477777777778</v>
      </c>
      <c r="J142" s="130"/>
      <c r="K142" s="113"/>
    </row>
    <row r="143" customFormat="false" ht="93" hidden="false" customHeight="true" outlineLevel="0" collapsed="false">
      <c r="A143" s="108" t="s">
        <v>108</v>
      </c>
      <c r="B143" s="133" t="s">
        <v>512</v>
      </c>
      <c r="C143" s="133"/>
      <c r="D143" s="133"/>
      <c r="E143" s="133"/>
      <c r="F143" s="133"/>
      <c r="G143" s="133"/>
      <c r="H143" s="133"/>
      <c r="I143" s="133"/>
      <c r="J143" s="133"/>
    </row>
    <row r="144" customFormat="false" ht="12.75" hidden="false" customHeight="true" outlineLevel="0" collapsed="false">
      <c r="A144" s="108" t="s">
        <v>364</v>
      </c>
      <c r="B144" s="109" t="s">
        <v>513</v>
      </c>
      <c r="C144" s="109"/>
      <c r="D144" s="109"/>
      <c r="E144" s="109"/>
      <c r="F144" s="109"/>
      <c r="G144" s="109"/>
      <c r="H144" s="109"/>
      <c r="I144" s="109"/>
      <c r="J144" s="109"/>
    </row>
    <row r="145" customFormat="false" ht="12.75" hidden="false" customHeight="true" outlineLevel="0" collapsed="false">
      <c r="A145" s="19" t="s">
        <v>434</v>
      </c>
      <c r="B145" s="21" t="s">
        <v>514</v>
      </c>
      <c r="C145" s="21"/>
      <c r="D145" s="21"/>
      <c r="E145" s="21"/>
      <c r="F145" s="21"/>
      <c r="G145" s="21"/>
      <c r="H145" s="126" t="n">
        <f aca="false">0.91/(30*12)</f>
        <v>0.00252777777777778</v>
      </c>
      <c r="I145" s="130" t="n">
        <f aca="false">H145*$H$37</f>
        <v>4.41097222222222</v>
      </c>
      <c r="J145" s="130"/>
      <c r="K145" s="113"/>
    </row>
    <row r="146" customFormat="false" ht="66" hidden="false" customHeight="true" outlineLevel="0" collapsed="false">
      <c r="A146" s="108" t="s">
        <v>108</v>
      </c>
      <c r="B146" s="133" t="s">
        <v>515</v>
      </c>
      <c r="C146" s="133"/>
      <c r="D146" s="133"/>
      <c r="E146" s="133"/>
      <c r="F146" s="133"/>
      <c r="G146" s="133"/>
      <c r="H146" s="133"/>
      <c r="I146" s="133"/>
      <c r="J146" s="133"/>
    </row>
    <row r="147" customFormat="false" ht="12.75" hidden="false" customHeight="true" outlineLevel="0" collapsed="false">
      <c r="A147" s="108" t="s">
        <v>364</v>
      </c>
      <c r="B147" s="109" t="s">
        <v>516</v>
      </c>
      <c r="C147" s="109"/>
      <c r="D147" s="109"/>
      <c r="E147" s="109"/>
      <c r="F147" s="109"/>
      <c r="G147" s="109"/>
      <c r="H147" s="109"/>
      <c r="I147" s="109"/>
      <c r="J147" s="109"/>
    </row>
    <row r="148" customFormat="false" ht="12.75" hidden="false" customHeight="true" outlineLevel="0" collapsed="false">
      <c r="A148" s="19" t="s">
        <v>438</v>
      </c>
      <c r="B148" s="111" t="s">
        <v>444</v>
      </c>
      <c r="C148" s="111"/>
      <c r="D148" s="111"/>
      <c r="E148" s="111"/>
      <c r="F148" s="111"/>
      <c r="G148" s="111"/>
      <c r="H148" s="126"/>
      <c r="I148" s="130" t="n">
        <f aca="false">H148*$H$37</f>
        <v>0</v>
      </c>
      <c r="J148" s="130"/>
      <c r="K148" s="113"/>
    </row>
    <row r="149" customFormat="false" ht="12.75" hidden="false" customHeight="true" outlineLevel="0" collapsed="false">
      <c r="A149" s="108" t="s">
        <v>108</v>
      </c>
      <c r="B149" s="109" t="s">
        <v>517</v>
      </c>
      <c r="C149" s="109"/>
      <c r="D149" s="109"/>
      <c r="E149" s="109"/>
      <c r="F149" s="109"/>
      <c r="G149" s="109"/>
      <c r="H149" s="109"/>
      <c r="I149" s="109"/>
      <c r="J149" s="109"/>
    </row>
    <row r="150" customFormat="false" ht="12.75" hidden="false" customHeight="true" outlineLevel="0" collapsed="false">
      <c r="A150" s="108" t="s">
        <v>364</v>
      </c>
      <c r="B150" s="109" t="s">
        <v>518</v>
      </c>
      <c r="C150" s="109"/>
      <c r="D150" s="109"/>
      <c r="E150" s="109"/>
      <c r="F150" s="109"/>
      <c r="G150" s="109"/>
      <c r="H150" s="109"/>
      <c r="I150" s="109"/>
      <c r="J150" s="109"/>
    </row>
    <row r="151" customFormat="false" ht="12.75" hidden="false" customHeight="false" outlineLevel="0" collapsed="false">
      <c r="A151" s="16" t="str">
        <f aca="false">"Total do Sobmódulo "&amp;A129</f>
        <v>Total do Sobmódulo 4.5</v>
      </c>
      <c r="B151" s="16"/>
      <c r="C151" s="16"/>
      <c r="D151" s="16"/>
      <c r="E151" s="16"/>
      <c r="F151" s="16"/>
      <c r="G151" s="16"/>
      <c r="H151" s="127" t="n">
        <f aca="false">SUM(H130,H133,H136,H139,H142,H145,H148)</f>
        <v>0.138980653472222</v>
      </c>
      <c r="I151" s="128" t="n">
        <f aca="false">SUM(I130,I133,I136,I139,I142,I145,I148)</f>
        <v>242.521240309028</v>
      </c>
      <c r="J151" s="128"/>
      <c r="K151" s="129"/>
    </row>
    <row r="152" customFormat="false" ht="12.75" hidden="false" customHeight="false" outlineLevel="0" collapsed="false">
      <c r="K152" s="113"/>
    </row>
    <row r="153" customFormat="false" ht="12.75" hidden="false" customHeight="false" outlineLevel="0" collapsed="false">
      <c r="A153" s="8" t="s">
        <v>519</v>
      </c>
      <c r="B153" s="8"/>
      <c r="C153" s="8"/>
      <c r="D153" s="8"/>
      <c r="E153" s="8"/>
      <c r="F153" s="8"/>
      <c r="G153" s="8"/>
      <c r="H153" s="8"/>
      <c r="I153" s="8"/>
      <c r="J153" s="8"/>
    </row>
    <row r="154" customFormat="false" ht="12.75" hidden="false" customHeight="true" outlineLevel="0" collapsed="false">
      <c r="A154" s="28" t="s">
        <v>520</v>
      </c>
      <c r="B154" s="104" t="s">
        <v>521</v>
      </c>
      <c r="C154" s="104"/>
      <c r="D154" s="104"/>
      <c r="E154" s="104"/>
      <c r="F154" s="104"/>
      <c r="G154" s="104"/>
      <c r="H154" s="134" t="s">
        <v>75</v>
      </c>
      <c r="I154" s="135" t="s">
        <v>522</v>
      </c>
      <c r="J154" s="135"/>
    </row>
    <row r="155" customFormat="false" ht="12.75" hidden="false" customHeight="false" outlineLevel="0" collapsed="false">
      <c r="A155" s="19" t="n">
        <v>1</v>
      </c>
      <c r="B155" s="10" t="str">
        <f aca="false">$B$31</f>
        <v> Remuneração</v>
      </c>
      <c r="C155" s="10"/>
      <c r="D155" s="10"/>
      <c r="E155" s="10"/>
      <c r="F155" s="10"/>
      <c r="G155" s="10"/>
      <c r="H155" s="24"/>
      <c r="I155" s="136" t="n">
        <f aca="false">H33+$H$35</f>
        <v>1745</v>
      </c>
      <c r="J155" s="136"/>
      <c r="P155" s="137"/>
      <c r="Q155" s="137"/>
    </row>
    <row r="156" customFormat="false" ht="12.75" hidden="false" customHeight="false" outlineLevel="0" collapsed="false">
      <c r="A156" s="19" t="n">
        <v>2</v>
      </c>
      <c r="B156" s="10" t="str">
        <f aca="false">$B$39</f>
        <v>Benefícios mensais e diários</v>
      </c>
      <c r="C156" s="10"/>
      <c r="D156" s="10"/>
      <c r="E156" s="10"/>
      <c r="F156" s="10"/>
      <c r="G156" s="10"/>
      <c r="H156" s="19"/>
      <c r="I156" s="136" t="n">
        <f aca="false">H49</f>
        <v>62.5</v>
      </c>
      <c r="J156" s="136"/>
    </row>
    <row r="157" customFormat="false" ht="12.75" hidden="false" customHeight="false" outlineLevel="0" collapsed="false">
      <c r="A157" s="19" t="n">
        <v>3</v>
      </c>
      <c r="B157" s="10" t="str">
        <f aca="false">$B$51</f>
        <v> Uniformes E EPI's</v>
      </c>
      <c r="C157" s="10"/>
      <c r="D157" s="10"/>
      <c r="E157" s="10"/>
      <c r="F157" s="10"/>
      <c r="G157" s="10"/>
      <c r="H157" s="19"/>
      <c r="I157" s="136" t="n">
        <f aca="false">$H$64</f>
        <v>0</v>
      </c>
      <c r="J157" s="136"/>
    </row>
    <row r="158" customFormat="false" ht="12.75" hidden="false" customHeight="false" outlineLevel="0" collapsed="false">
      <c r="A158" s="19" t="n">
        <v>4</v>
      </c>
      <c r="B158" s="10" t="str">
        <f aca="false">$B$66</f>
        <v>Encargos Sociais e Trabalhistas</v>
      </c>
      <c r="C158" s="10"/>
      <c r="D158" s="10"/>
      <c r="E158" s="10"/>
      <c r="F158" s="10"/>
      <c r="G158" s="10"/>
      <c r="H158" s="138" t="n">
        <f aca="false">SUM($H$90,$H$98,$H$107,$H$127,$H$151)</f>
        <v>0.705426407383333</v>
      </c>
      <c r="I158" s="136" t="n">
        <f aca="false">H158*I155</f>
        <v>1230.96908088392</v>
      </c>
      <c r="J158" s="136"/>
      <c r="K158" s="129"/>
    </row>
    <row r="159" customFormat="false" ht="12.75" hidden="false" customHeight="false" outlineLevel="0" collapsed="false">
      <c r="A159" s="19" t="n">
        <v>5</v>
      </c>
      <c r="B159" s="10" t="s">
        <v>444</v>
      </c>
      <c r="C159" s="10"/>
      <c r="D159" s="10"/>
      <c r="E159" s="10"/>
      <c r="F159" s="10"/>
      <c r="G159" s="10"/>
      <c r="H159" s="138"/>
      <c r="I159" s="136"/>
      <c r="J159" s="136"/>
    </row>
    <row r="160" customFormat="false" ht="12.75" hidden="false" customHeight="false" outlineLevel="0" collapsed="false">
      <c r="A160" s="16" t="s">
        <v>68</v>
      </c>
      <c r="B160" s="16"/>
      <c r="C160" s="16"/>
      <c r="D160" s="16"/>
      <c r="E160" s="16"/>
      <c r="F160" s="16"/>
      <c r="G160" s="16"/>
      <c r="H160" s="16"/>
      <c r="I160" s="128" t="n">
        <f aca="false">SUM(I155:J159)</f>
        <v>3038.46908088392</v>
      </c>
      <c r="J160" s="128"/>
    </row>
    <row r="162" customFormat="false" ht="26.25" hidden="false" customHeight="true" outlineLevel="0" collapsed="false">
      <c r="A162" s="83" t="s">
        <v>523</v>
      </c>
      <c r="B162" s="83"/>
      <c r="C162" s="83"/>
      <c r="D162" s="83"/>
      <c r="E162" s="83"/>
      <c r="F162" s="83"/>
      <c r="G162" s="83"/>
      <c r="H162" s="83"/>
      <c r="I162" s="83"/>
      <c r="J162" s="83"/>
    </row>
    <row r="164" customFormat="false" ht="12.75" hidden="false" customHeight="false" outlineLevel="0" collapsed="false">
      <c r="A164" s="8" t="s">
        <v>524</v>
      </c>
      <c r="B164" s="8"/>
      <c r="C164" s="8"/>
      <c r="D164" s="8"/>
      <c r="E164" s="8"/>
      <c r="F164" s="8"/>
      <c r="G164" s="8"/>
      <c r="H164" s="8"/>
      <c r="I164" s="8"/>
      <c r="J164" s="8"/>
    </row>
    <row r="165" customFormat="false" ht="12.75" hidden="false" customHeight="true" outlineLevel="0" collapsed="false">
      <c r="A165" s="28" t="s">
        <v>520</v>
      </c>
      <c r="B165" s="104" t="s">
        <v>521</v>
      </c>
      <c r="C165" s="104"/>
      <c r="D165" s="104"/>
      <c r="E165" s="104"/>
      <c r="F165" s="104"/>
      <c r="G165" s="104"/>
      <c r="H165" s="134" t="s">
        <v>75</v>
      </c>
      <c r="I165" s="135" t="s">
        <v>522</v>
      </c>
      <c r="J165" s="135"/>
    </row>
    <row r="166" customFormat="false" ht="12.75" hidden="false" customHeight="false" outlineLevel="0" collapsed="false">
      <c r="A166" s="19" t="n">
        <v>1</v>
      </c>
      <c r="B166" s="10" t="str">
        <f aca="false">$B$31</f>
        <v> Remuneração</v>
      </c>
      <c r="C166" s="10"/>
      <c r="D166" s="10"/>
      <c r="E166" s="10"/>
      <c r="F166" s="10"/>
      <c r="G166" s="10"/>
      <c r="H166" s="24"/>
      <c r="I166" s="136" t="n">
        <f aca="false">I155*1.062+$H$35</f>
        <v>1853.19</v>
      </c>
      <c r="J166" s="136"/>
    </row>
    <row r="167" customFormat="false" ht="12.75" hidden="false" customHeight="false" outlineLevel="0" collapsed="false">
      <c r="A167" s="19" t="n">
        <v>2</v>
      </c>
      <c r="B167" s="10" t="str">
        <f aca="false">$B$39</f>
        <v>Benefícios mensais e diários</v>
      </c>
      <c r="C167" s="10"/>
      <c r="D167" s="10"/>
      <c r="E167" s="10"/>
      <c r="F167" s="10"/>
      <c r="G167" s="10"/>
      <c r="H167" s="19"/>
      <c r="I167" s="136" t="n">
        <f aca="false">SUM(H168,H169,H170)</f>
        <v>56.0086</v>
      </c>
      <c r="J167" s="136"/>
    </row>
    <row r="168" customFormat="false" ht="15" hidden="true" customHeight="true" outlineLevel="0" collapsed="false">
      <c r="A168" s="19" t="s">
        <v>400</v>
      </c>
      <c r="B168" s="21" t="s">
        <v>411</v>
      </c>
      <c r="C168" s="21"/>
      <c r="D168" s="21"/>
      <c r="E168" s="21"/>
      <c r="F168" s="21"/>
      <c r="G168" s="21"/>
      <c r="H168" s="124" t="n">
        <f aca="false">IF((3.8*2*22-0.06*I166)&gt;0,3.8*2*22-0.06*I166,0)</f>
        <v>56.0086</v>
      </c>
      <c r="I168" s="124"/>
      <c r="J168" s="124"/>
      <c r="K168" s="129"/>
    </row>
    <row r="169" customFormat="false" ht="12.75" hidden="true" customHeight="true" outlineLevel="0" collapsed="false">
      <c r="A169" s="19" t="s">
        <v>417</v>
      </c>
      <c r="B169" s="21" t="s">
        <v>418</v>
      </c>
      <c r="C169" s="21"/>
      <c r="D169" s="21"/>
      <c r="E169" s="21"/>
      <c r="F169" s="21"/>
      <c r="G169" s="21"/>
      <c r="H169" s="124" t="n">
        <f aca="false">IF('DI, Tri e Pag'!$H$12:$J$12='DI, Tri e Pag'!$L$12,-('DI, Tri e Pag'!$H$23+'DI, Tri e Pag'!$H$24)*H168,0)</f>
        <v>0</v>
      </c>
      <c r="I169" s="124"/>
      <c r="J169" s="124"/>
      <c r="K169" s="139"/>
    </row>
    <row r="170" customFormat="false" ht="15" hidden="true" customHeight="true" outlineLevel="0" collapsed="false">
      <c r="A170" s="19" t="s">
        <v>403</v>
      </c>
      <c r="B170" s="21" t="s">
        <v>407</v>
      </c>
      <c r="C170" s="21"/>
      <c r="D170" s="21"/>
      <c r="E170" s="21"/>
      <c r="F170" s="21"/>
      <c r="G170" s="21"/>
      <c r="H170" s="124" t="n">
        <f aca="false">$H$47</f>
        <v>0</v>
      </c>
      <c r="I170" s="124"/>
      <c r="J170" s="124"/>
    </row>
    <row r="171" customFormat="false" ht="12.75" hidden="false" customHeight="false" outlineLevel="0" collapsed="false">
      <c r="A171" s="19" t="n">
        <v>3</v>
      </c>
      <c r="B171" s="10" t="str">
        <f aca="false">$B$51</f>
        <v> Uniformes E EPI's</v>
      </c>
      <c r="C171" s="10"/>
      <c r="D171" s="10"/>
      <c r="E171" s="10"/>
      <c r="F171" s="10"/>
      <c r="G171" s="10"/>
      <c r="H171" s="19"/>
      <c r="I171" s="136" t="n">
        <f aca="false">$H$64</f>
        <v>0</v>
      </c>
      <c r="J171" s="136"/>
    </row>
    <row r="172" customFormat="false" ht="12.75" hidden="false" customHeight="false" outlineLevel="0" collapsed="false">
      <c r="A172" s="19" t="n">
        <v>4</v>
      </c>
      <c r="B172" s="10" t="str">
        <f aca="false">$B$66</f>
        <v>Encargos Sociais e Trabalhistas</v>
      </c>
      <c r="C172" s="10"/>
      <c r="D172" s="10"/>
      <c r="E172" s="10"/>
      <c r="F172" s="10"/>
      <c r="G172" s="10"/>
      <c r="H172" s="138" t="n">
        <f aca="false">SUM($H$90,$H$98,$H$107,$H$127,$H$151)</f>
        <v>0.705426407383333</v>
      </c>
      <c r="I172" s="136" t="n">
        <f aca="false">H172*I166</f>
        <v>1307.28916389872</v>
      </c>
      <c r="J172" s="136"/>
    </row>
    <row r="173" customFormat="false" ht="12.75" hidden="false" customHeight="false" outlineLevel="0" collapsed="false">
      <c r="A173" s="19" t="n">
        <v>5</v>
      </c>
      <c r="B173" s="10" t="str">
        <f aca="false">B159</f>
        <v>Outro (Especificar)</v>
      </c>
      <c r="C173" s="10"/>
      <c r="D173" s="10"/>
      <c r="E173" s="10"/>
      <c r="F173" s="10"/>
      <c r="G173" s="10"/>
      <c r="H173" s="138"/>
      <c r="I173" s="136"/>
      <c r="J173" s="136"/>
    </row>
    <row r="174" customFormat="false" ht="12.75" hidden="false" customHeight="false" outlineLevel="0" collapsed="false">
      <c r="A174" s="16" t="s">
        <v>68</v>
      </c>
      <c r="B174" s="16"/>
      <c r="C174" s="16"/>
      <c r="D174" s="16"/>
      <c r="E174" s="16"/>
      <c r="F174" s="16"/>
      <c r="G174" s="16"/>
      <c r="H174" s="16"/>
      <c r="I174" s="128" t="n">
        <f aca="false">SUM(I166,I167,I171,I172,I173)</f>
        <v>3216.48776389872</v>
      </c>
      <c r="J174" s="128"/>
    </row>
    <row r="176" customFormat="false" ht="12.75" hidden="false" customHeight="false" outlineLevel="0" collapsed="false">
      <c r="A176" s="8" t="s">
        <v>525</v>
      </c>
      <c r="B176" s="8"/>
      <c r="C176" s="8"/>
      <c r="D176" s="8"/>
      <c r="E176" s="8"/>
      <c r="F176" s="8"/>
      <c r="G176" s="8"/>
      <c r="H176" s="8"/>
      <c r="I176" s="8"/>
      <c r="J176" s="8"/>
    </row>
    <row r="177" customFormat="false" ht="12.75" hidden="false" customHeight="true" outlineLevel="0" collapsed="false">
      <c r="A177" s="28" t="s">
        <v>520</v>
      </c>
      <c r="B177" s="104" t="s">
        <v>521</v>
      </c>
      <c r="C177" s="104"/>
      <c r="D177" s="104"/>
      <c r="E177" s="104"/>
      <c r="F177" s="104"/>
      <c r="G177" s="104"/>
      <c r="H177" s="134" t="s">
        <v>75</v>
      </c>
      <c r="I177" s="135" t="s">
        <v>522</v>
      </c>
      <c r="J177" s="135"/>
    </row>
    <row r="178" customFormat="false" ht="12.75" hidden="false" customHeight="false" outlineLevel="0" collapsed="false">
      <c r="A178" s="19" t="n">
        <v>1</v>
      </c>
      <c r="B178" s="10" t="str">
        <f aca="false">$B$31</f>
        <v> Remuneração</v>
      </c>
      <c r="C178" s="10"/>
      <c r="D178" s="10"/>
      <c r="E178" s="10"/>
      <c r="F178" s="10"/>
      <c r="G178" s="10"/>
      <c r="H178" s="24"/>
      <c r="I178" s="136" t="n">
        <f aca="false">I166*1.062+$H$35</f>
        <v>1968.08778</v>
      </c>
      <c r="J178" s="136"/>
    </row>
    <row r="179" customFormat="false" ht="12.75" hidden="false" customHeight="false" outlineLevel="0" collapsed="false">
      <c r="A179" s="19" t="n">
        <v>2</v>
      </c>
      <c r="B179" s="10" t="str">
        <f aca="false">$B$39</f>
        <v>Benefícios mensais e diários</v>
      </c>
      <c r="C179" s="10"/>
      <c r="D179" s="10"/>
      <c r="E179" s="10"/>
      <c r="F179" s="10"/>
      <c r="G179" s="10"/>
      <c r="H179" s="19"/>
      <c r="I179" s="136" t="n">
        <f aca="false">SUM(H180,H181,H182)</f>
        <v>49.1147332</v>
      </c>
      <c r="J179" s="136"/>
    </row>
    <row r="180" customFormat="false" ht="15" hidden="true" customHeight="true" outlineLevel="0" collapsed="false">
      <c r="A180" s="19" t="s">
        <v>400</v>
      </c>
      <c r="B180" s="21" t="s">
        <v>411</v>
      </c>
      <c r="C180" s="21"/>
      <c r="D180" s="21"/>
      <c r="E180" s="21"/>
      <c r="F180" s="21"/>
      <c r="G180" s="21"/>
      <c r="H180" s="124" t="n">
        <f aca="false">IF((3.8*2*22-0.06*I178)&gt;0,3.8*2*22-0.06*I178,0)</f>
        <v>49.1147332</v>
      </c>
      <c r="I180" s="124"/>
      <c r="J180" s="124"/>
      <c r="K180" s="129"/>
    </row>
    <row r="181" customFormat="false" ht="12.75" hidden="true" customHeight="true" outlineLevel="0" collapsed="false">
      <c r="A181" s="19" t="s">
        <v>417</v>
      </c>
      <c r="B181" s="21" t="s">
        <v>418</v>
      </c>
      <c r="C181" s="21"/>
      <c r="D181" s="21"/>
      <c r="E181" s="21"/>
      <c r="F181" s="21"/>
      <c r="G181" s="21"/>
      <c r="H181" s="124" t="n">
        <f aca="false">IF('DI, Tri e Pag'!$H$12:$J$12='DI, Tri e Pag'!$L$12,-('DI, Tri e Pag'!$H$23+'DI, Tri e Pag'!$H$24)*H180,0)</f>
        <v>0</v>
      </c>
      <c r="I181" s="124"/>
      <c r="J181" s="124"/>
      <c r="K181" s="139"/>
    </row>
    <row r="182" customFormat="false" ht="15" hidden="true" customHeight="true" outlineLevel="0" collapsed="false">
      <c r="A182" s="19" t="s">
        <v>403</v>
      </c>
      <c r="B182" s="21" t="s">
        <v>407</v>
      </c>
      <c r="C182" s="21"/>
      <c r="D182" s="21"/>
      <c r="E182" s="21"/>
      <c r="F182" s="21"/>
      <c r="G182" s="21"/>
      <c r="H182" s="124" t="n">
        <f aca="false">$H$47</f>
        <v>0</v>
      </c>
      <c r="I182" s="124"/>
      <c r="J182" s="124"/>
    </row>
    <row r="183" customFormat="false" ht="12.75" hidden="false" customHeight="false" outlineLevel="0" collapsed="false">
      <c r="A183" s="19" t="n">
        <v>3</v>
      </c>
      <c r="B183" s="10" t="str">
        <f aca="false">$B$51</f>
        <v> Uniformes E EPI's</v>
      </c>
      <c r="C183" s="10"/>
      <c r="D183" s="10"/>
      <c r="E183" s="10"/>
      <c r="F183" s="10"/>
      <c r="G183" s="10"/>
      <c r="H183" s="19"/>
      <c r="I183" s="136" t="n">
        <f aca="false">$H$64</f>
        <v>0</v>
      </c>
      <c r="J183" s="136"/>
    </row>
    <row r="184" customFormat="false" ht="12.75" hidden="false" customHeight="false" outlineLevel="0" collapsed="false">
      <c r="A184" s="19" t="n">
        <v>4</v>
      </c>
      <c r="B184" s="10" t="str">
        <f aca="false">$B$66</f>
        <v>Encargos Sociais e Trabalhistas</v>
      </c>
      <c r="C184" s="10"/>
      <c r="D184" s="10"/>
      <c r="E184" s="10"/>
      <c r="F184" s="10"/>
      <c r="G184" s="10"/>
      <c r="H184" s="138" t="n">
        <f aca="false">SUM($H$90,$H$98,$H$107,$H$127,$H$151)</f>
        <v>0.705426407383333</v>
      </c>
      <c r="I184" s="136" t="n">
        <f aca="false">H184*I178</f>
        <v>1388.34109206044</v>
      </c>
      <c r="J184" s="136"/>
    </row>
    <row r="185" customFormat="false" ht="12.75" hidden="false" customHeight="false" outlineLevel="0" collapsed="false">
      <c r="A185" s="19" t="n">
        <v>5</v>
      </c>
      <c r="B185" s="10" t="str">
        <f aca="false">B173</f>
        <v>Outro (Especificar)</v>
      </c>
      <c r="C185" s="10"/>
      <c r="D185" s="10"/>
      <c r="E185" s="10"/>
      <c r="F185" s="10"/>
      <c r="G185" s="10"/>
      <c r="H185" s="138"/>
      <c r="I185" s="136"/>
      <c r="J185" s="136"/>
    </row>
    <row r="186" customFormat="false" ht="12.75" hidden="false" customHeight="false" outlineLevel="0" collapsed="false">
      <c r="A186" s="16" t="s">
        <v>68</v>
      </c>
      <c r="B186" s="16"/>
      <c r="C186" s="16"/>
      <c r="D186" s="16"/>
      <c r="E186" s="16"/>
      <c r="F186" s="16"/>
      <c r="G186" s="16"/>
      <c r="H186" s="16"/>
      <c r="I186" s="128" t="n">
        <f aca="false">SUM(I178,I179,I183,I184,I185)</f>
        <v>3405.54360526044</v>
      </c>
      <c r="J186" s="128"/>
    </row>
    <row r="188" customFormat="false" ht="12.75" hidden="false" customHeight="false" outlineLevel="0" collapsed="false">
      <c r="A188" s="8" t="s">
        <v>526</v>
      </c>
      <c r="B188" s="8"/>
      <c r="C188" s="8"/>
      <c r="D188" s="8"/>
      <c r="E188" s="8"/>
      <c r="F188" s="8"/>
      <c r="G188" s="8"/>
      <c r="H188" s="8"/>
      <c r="I188" s="8"/>
      <c r="J188" s="8"/>
    </row>
    <row r="189" customFormat="false" ht="12.75" hidden="false" customHeight="true" outlineLevel="0" collapsed="false">
      <c r="A189" s="28" t="s">
        <v>520</v>
      </c>
      <c r="B189" s="104" t="s">
        <v>521</v>
      </c>
      <c r="C189" s="104"/>
      <c r="D189" s="104"/>
      <c r="E189" s="104"/>
      <c r="F189" s="104"/>
      <c r="G189" s="104"/>
      <c r="H189" s="134" t="s">
        <v>75</v>
      </c>
      <c r="I189" s="135" t="s">
        <v>522</v>
      </c>
      <c r="J189" s="135"/>
    </row>
    <row r="190" customFormat="false" ht="12.75" hidden="false" customHeight="false" outlineLevel="0" collapsed="false">
      <c r="A190" s="19" t="n">
        <v>1</v>
      </c>
      <c r="B190" s="10" t="str">
        <f aca="false">$B$31</f>
        <v> Remuneração</v>
      </c>
      <c r="C190" s="10"/>
      <c r="D190" s="10"/>
      <c r="E190" s="10"/>
      <c r="F190" s="10"/>
      <c r="G190" s="10"/>
      <c r="H190" s="24"/>
      <c r="I190" s="136" t="n">
        <f aca="false">I178*1.062+$H$35</f>
        <v>2090.10922236</v>
      </c>
      <c r="J190" s="136"/>
    </row>
    <row r="191" customFormat="false" ht="12.75" hidden="false" customHeight="false" outlineLevel="0" collapsed="false">
      <c r="A191" s="19" t="n">
        <v>2</v>
      </c>
      <c r="B191" s="10" t="str">
        <f aca="false">$B$39</f>
        <v>Benefícios mensais e diários</v>
      </c>
      <c r="C191" s="10"/>
      <c r="D191" s="10"/>
      <c r="E191" s="10"/>
      <c r="F191" s="10"/>
      <c r="G191" s="10"/>
      <c r="H191" s="19"/>
      <c r="I191" s="136" t="n">
        <f aca="false">SUM(H192,H193,H194)</f>
        <v>41.7934466584</v>
      </c>
      <c r="J191" s="136"/>
    </row>
    <row r="192" customFormat="false" ht="15" hidden="true" customHeight="true" outlineLevel="0" collapsed="false">
      <c r="A192" s="19" t="s">
        <v>400</v>
      </c>
      <c r="B192" s="21" t="s">
        <v>411</v>
      </c>
      <c r="C192" s="21"/>
      <c r="D192" s="21"/>
      <c r="E192" s="21"/>
      <c r="F192" s="21"/>
      <c r="G192" s="21"/>
      <c r="H192" s="124" t="n">
        <f aca="false">IF((3.8*2*22-0.06*I190)&gt;0,3.8*2*22-0.06*I190,0)</f>
        <v>41.7934466584</v>
      </c>
      <c r="I192" s="124"/>
      <c r="J192" s="124"/>
      <c r="K192" s="129"/>
    </row>
    <row r="193" customFormat="false" ht="12.75" hidden="true" customHeight="true" outlineLevel="0" collapsed="false">
      <c r="A193" s="19" t="s">
        <v>417</v>
      </c>
      <c r="B193" s="21" t="s">
        <v>418</v>
      </c>
      <c r="C193" s="21"/>
      <c r="D193" s="21"/>
      <c r="E193" s="21"/>
      <c r="F193" s="21"/>
      <c r="G193" s="21"/>
      <c r="H193" s="124" t="n">
        <f aca="false">IF('DI, Tri e Pag'!$H$12:$J$12='DI, Tri e Pag'!$L$12,-('DI, Tri e Pag'!$H$23+'DI, Tri e Pag'!$H$24)*H192,0)</f>
        <v>0</v>
      </c>
      <c r="I193" s="124"/>
      <c r="J193" s="124"/>
      <c r="K193" s="139"/>
    </row>
    <row r="194" customFormat="false" ht="15" hidden="true" customHeight="true" outlineLevel="0" collapsed="false">
      <c r="A194" s="19" t="s">
        <v>403</v>
      </c>
      <c r="B194" s="21" t="s">
        <v>407</v>
      </c>
      <c r="C194" s="21"/>
      <c r="D194" s="21"/>
      <c r="E194" s="21"/>
      <c r="F194" s="21"/>
      <c r="G194" s="21"/>
      <c r="H194" s="124" t="n">
        <f aca="false">$H$47</f>
        <v>0</v>
      </c>
      <c r="I194" s="124"/>
      <c r="J194" s="124"/>
    </row>
    <row r="195" customFormat="false" ht="12.75" hidden="false" customHeight="false" outlineLevel="0" collapsed="false">
      <c r="A195" s="19" t="n">
        <v>3</v>
      </c>
      <c r="B195" s="10" t="str">
        <f aca="false">$B$51</f>
        <v> Uniformes E EPI's</v>
      </c>
      <c r="C195" s="10"/>
      <c r="D195" s="10"/>
      <c r="E195" s="10"/>
      <c r="F195" s="10"/>
      <c r="G195" s="10"/>
      <c r="H195" s="19"/>
      <c r="I195" s="136" t="n">
        <f aca="false">$H$64</f>
        <v>0</v>
      </c>
      <c r="J195" s="136"/>
    </row>
    <row r="196" customFormat="false" ht="12.75" hidden="false" customHeight="false" outlineLevel="0" collapsed="false">
      <c r="A196" s="19" t="n">
        <v>4</v>
      </c>
      <c r="B196" s="10" t="str">
        <f aca="false">$B$66</f>
        <v>Encargos Sociais e Trabalhistas</v>
      </c>
      <c r="C196" s="10"/>
      <c r="D196" s="10"/>
      <c r="E196" s="10"/>
      <c r="F196" s="10"/>
      <c r="G196" s="10"/>
      <c r="H196" s="138" t="n">
        <f aca="false">SUM($H$90,$H$98,$H$107,$H$127,$H$151)</f>
        <v>0.705426407383333</v>
      </c>
      <c r="I196" s="136" t="n">
        <f aca="false">H196*I190</f>
        <v>1474.41823976819</v>
      </c>
      <c r="J196" s="136"/>
    </row>
    <row r="197" customFormat="false" ht="12.75" hidden="false" customHeight="false" outlineLevel="0" collapsed="false">
      <c r="A197" s="19" t="n">
        <v>5</v>
      </c>
      <c r="B197" s="10" t="str">
        <f aca="false">B185</f>
        <v>Outro (Especificar)</v>
      </c>
      <c r="C197" s="10"/>
      <c r="D197" s="10"/>
      <c r="E197" s="10"/>
      <c r="F197" s="10"/>
      <c r="G197" s="10"/>
      <c r="H197" s="138"/>
      <c r="I197" s="136"/>
      <c r="J197" s="136"/>
    </row>
    <row r="198" customFormat="false" ht="12.75" hidden="false" customHeight="false" outlineLevel="0" collapsed="false">
      <c r="A198" s="16" t="s">
        <v>68</v>
      </c>
      <c r="B198" s="16"/>
      <c r="C198" s="16"/>
      <c r="D198" s="16"/>
      <c r="E198" s="16"/>
      <c r="F198" s="16"/>
      <c r="G198" s="16"/>
      <c r="H198" s="16"/>
      <c r="I198" s="128" t="n">
        <f aca="false">SUM(I190,I191,I195,I196,I197)</f>
        <v>3606.32090878659</v>
      </c>
      <c r="J198" s="128"/>
    </row>
    <row r="200" customFormat="false" ht="12.75" hidden="false" customHeight="false" outlineLevel="0" collapsed="false">
      <c r="A200" s="8" t="s">
        <v>527</v>
      </c>
      <c r="B200" s="8"/>
      <c r="C200" s="8"/>
      <c r="D200" s="8"/>
      <c r="E200" s="8"/>
      <c r="F200" s="8"/>
      <c r="G200" s="8"/>
      <c r="H200" s="8"/>
      <c r="I200" s="8"/>
      <c r="J200" s="8"/>
    </row>
    <row r="201" customFormat="false" ht="12.75" hidden="false" customHeight="true" outlineLevel="0" collapsed="false">
      <c r="A201" s="28" t="s">
        <v>520</v>
      </c>
      <c r="B201" s="104" t="s">
        <v>521</v>
      </c>
      <c r="C201" s="104"/>
      <c r="D201" s="104"/>
      <c r="E201" s="104"/>
      <c r="F201" s="104"/>
      <c r="G201" s="104"/>
      <c r="H201" s="134" t="s">
        <v>75</v>
      </c>
      <c r="I201" s="135" t="s">
        <v>522</v>
      </c>
      <c r="J201" s="135"/>
    </row>
    <row r="202" customFormat="false" ht="12.75" hidden="false" customHeight="false" outlineLevel="0" collapsed="false">
      <c r="A202" s="19" t="n">
        <v>1</v>
      </c>
      <c r="B202" s="10" t="str">
        <f aca="false">$B$31</f>
        <v> Remuneração</v>
      </c>
      <c r="C202" s="10"/>
      <c r="D202" s="10"/>
      <c r="E202" s="10"/>
      <c r="F202" s="10"/>
      <c r="G202" s="10"/>
      <c r="H202" s="24"/>
      <c r="I202" s="136" t="n">
        <f aca="false">I190*1.062+$H$35</f>
        <v>2219.69599414632</v>
      </c>
      <c r="J202" s="136"/>
    </row>
    <row r="203" customFormat="false" ht="12.75" hidden="false" customHeight="false" outlineLevel="0" collapsed="false">
      <c r="A203" s="19" t="n">
        <v>2</v>
      </c>
      <c r="B203" s="10" t="str">
        <f aca="false">$B$39</f>
        <v>Benefícios mensais e diários</v>
      </c>
      <c r="C203" s="10"/>
      <c r="D203" s="10"/>
      <c r="E203" s="10"/>
      <c r="F203" s="10"/>
      <c r="G203" s="10"/>
      <c r="H203" s="19"/>
      <c r="I203" s="136" t="n">
        <f aca="false">SUM(H204,H205,H206)</f>
        <v>34.0182403512208</v>
      </c>
      <c r="J203" s="136"/>
    </row>
    <row r="204" customFormat="false" ht="15" hidden="true" customHeight="true" outlineLevel="0" collapsed="false">
      <c r="A204" s="19" t="s">
        <v>400</v>
      </c>
      <c r="B204" s="21" t="s">
        <v>411</v>
      </c>
      <c r="C204" s="21"/>
      <c r="D204" s="21"/>
      <c r="E204" s="21"/>
      <c r="F204" s="21"/>
      <c r="G204" s="21"/>
      <c r="H204" s="124" t="n">
        <f aca="false">IF((3.8*2*22-0.06*I202)&gt;0,3.8*2*22-0.06*I202,0)</f>
        <v>34.0182403512208</v>
      </c>
      <c r="I204" s="124"/>
      <c r="J204" s="124"/>
      <c r="K204" s="129"/>
    </row>
    <row r="205" customFormat="false" ht="12.75" hidden="true" customHeight="true" outlineLevel="0" collapsed="false">
      <c r="A205" s="19" t="s">
        <v>417</v>
      </c>
      <c r="B205" s="21" t="s">
        <v>418</v>
      </c>
      <c r="C205" s="21"/>
      <c r="D205" s="21"/>
      <c r="E205" s="21"/>
      <c r="F205" s="21"/>
      <c r="G205" s="21"/>
      <c r="H205" s="124" t="n">
        <f aca="false">IF('DI, Tri e Pag'!$H$12:$J$12='DI, Tri e Pag'!$L$12,-('DI, Tri e Pag'!$H$23+'DI, Tri e Pag'!$H$24)*H204,0)</f>
        <v>0</v>
      </c>
      <c r="I205" s="124"/>
      <c r="J205" s="124"/>
      <c r="K205" s="139"/>
    </row>
    <row r="206" customFormat="false" ht="15" hidden="true" customHeight="true" outlineLevel="0" collapsed="false">
      <c r="A206" s="19" t="s">
        <v>403</v>
      </c>
      <c r="B206" s="21" t="s">
        <v>407</v>
      </c>
      <c r="C206" s="21"/>
      <c r="D206" s="21"/>
      <c r="E206" s="21"/>
      <c r="F206" s="21"/>
      <c r="G206" s="21"/>
      <c r="H206" s="124" t="n">
        <f aca="false">$H$47</f>
        <v>0</v>
      </c>
      <c r="I206" s="124"/>
      <c r="J206" s="124"/>
    </row>
    <row r="207" customFormat="false" ht="12.75" hidden="false" customHeight="false" outlineLevel="0" collapsed="false">
      <c r="A207" s="19" t="n">
        <v>3</v>
      </c>
      <c r="B207" s="10" t="str">
        <f aca="false">$B$51</f>
        <v> Uniformes E EPI's</v>
      </c>
      <c r="C207" s="10"/>
      <c r="D207" s="10"/>
      <c r="E207" s="10"/>
      <c r="F207" s="10"/>
      <c r="G207" s="10"/>
      <c r="H207" s="19"/>
      <c r="I207" s="136" t="n">
        <f aca="false">$H$64</f>
        <v>0</v>
      </c>
      <c r="J207" s="136"/>
    </row>
    <row r="208" customFormat="false" ht="12.75" hidden="false" customHeight="false" outlineLevel="0" collapsed="false">
      <c r="A208" s="19" t="n">
        <v>4</v>
      </c>
      <c r="B208" s="10" t="str">
        <f aca="false">$B$66</f>
        <v>Encargos Sociais e Trabalhistas</v>
      </c>
      <c r="C208" s="10"/>
      <c r="D208" s="10"/>
      <c r="E208" s="10"/>
      <c r="F208" s="10"/>
      <c r="G208" s="10"/>
      <c r="H208" s="138" t="n">
        <f aca="false">SUM($H$90,$H$98,$H$107,$H$127,$H$151)</f>
        <v>0.705426407383333</v>
      </c>
      <c r="I208" s="136" t="n">
        <f aca="false">H208*I202</f>
        <v>1565.83217063382</v>
      </c>
      <c r="J208" s="136"/>
    </row>
    <row r="209" customFormat="false" ht="12.75" hidden="false" customHeight="false" outlineLevel="0" collapsed="false">
      <c r="A209" s="19" t="n">
        <v>5</v>
      </c>
      <c r="B209" s="10" t="str">
        <f aca="false">B197</f>
        <v>Outro (Especificar)</v>
      </c>
      <c r="C209" s="10"/>
      <c r="D209" s="10"/>
      <c r="E209" s="10"/>
      <c r="F209" s="10"/>
      <c r="G209" s="10"/>
      <c r="H209" s="138"/>
      <c r="I209" s="136"/>
      <c r="J209" s="136"/>
    </row>
    <row r="210" customFormat="false" ht="12.75" hidden="false" customHeight="false" outlineLevel="0" collapsed="false">
      <c r="A210" s="16" t="s">
        <v>68</v>
      </c>
      <c r="B210" s="16"/>
      <c r="C210" s="16"/>
      <c r="D210" s="16"/>
      <c r="E210" s="16"/>
      <c r="F210" s="16"/>
      <c r="G210" s="16"/>
      <c r="H210" s="16"/>
      <c r="I210" s="128" t="n">
        <f aca="false">SUM(I202,I203,I207,I208,I209)</f>
        <v>3819.54640513136</v>
      </c>
      <c r="J210" s="128"/>
    </row>
    <row r="212" customFormat="false" ht="12.75" hidden="false" customHeight="false" outlineLevel="0" collapsed="false">
      <c r="A212" s="8" t="s">
        <v>528</v>
      </c>
      <c r="B212" s="8"/>
      <c r="C212" s="8"/>
      <c r="D212" s="8"/>
      <c r="E212" s="8"/>
      <c r="F212" s="8"/>
      <c r="G212" s="8"/>
      <c r="H212" s="8"/>
      <c r="I212" s="8"/>
      <c r="J212" s="8"/>
    </row>
    <row r="213" customFormat="false" ht="12.75" hidden="false" customHeight="true" outlineLevel="0" collapsed="false">
      <c r="A213" s="28" t="s">
        <v>520</v>
      </c>
      <c r="B213" s="104" t="s">
        <v>521</v>
      </c>
      <c r="C213" s="104"/>
      <c r="D213" s="104"/>
      <c r="E213" s="104"/>
      <c r="F213" s="104"/>
      <c r="G213" s="104"/>
      <c r="H213" s="134" t="s">
        <v>75</v>
      </c>
      <c r="I213" s="135" t="s">
        <v>522</v>
      </c>
      <c r="J213" s="135"/>
    </row>
    <row r="214" customFormat="false" ht="12.75" hidden="false" customHeight="false" outlineLevel="0" collapsed="false">
      <c r="A214" s="19" t="n">
        <v>1</v>
      </c>
      <c r="B214" s="10" t="str">
        <f aca="false">$B$31</f>
        <v> Remuneração</v>
      </c>
      <c r="C214" s="10"/>
      <c r="D214" s="10"/>
      <c r="E214" s="10"/>
      <c r="F214" s="10"/>
      <c r="G214" s="10"/>
      <c r="H214" s="24"/>
      <c r="I214" s="136" t="n">
        <f aca="false">I202*1.062+$H$35</f>
        <v>2357.31714578339</v>
      </c>
      <c r="J214" s="136"/>
    </row>
    <row r="215" customFormat="false" ht="12.75" hidden="false" customHeight="false" outlineLevel="0" collapsed="false">
      <c r="A215" s="19" t="n">
        <v>2</v>
      </c>
      <c r="B215" s="10" t="str">
        <f aca="false">$B$39</f>
        <v>Benefícios mensais e diários</v>
      </c>
      <c r="C215" s="10"/>
      <c r="D215" s="10"/>
      <c r="E215" s="10"/>
      <c r="F215" s="10"/>
      <c r="G215" s="10"/>
      <c r="H215" s="19"/>
      <c r="I215" s="136" t="n">
        <f aca="false">SUM(H216,H217,H218)</f>
        <v>25.7609712529964</v>
      </c>
      <c r="J215" s="136"/>
    </row>
    <row r="216" customFormat="false" ht="15" hidden="true" customHeight="true" outlineLevel="0" collapsed="false">
      <c r="A216" s="19" t="s">
        <v>400</v>
      </c>
      <c r="B216" s="21" t="s">
        <v>411</v>
      </c>
      <c r="C216" s="21"/>
      <c r="D216" s="21"/>
      <c r="E216" s="21"/>
      <c r="F216" s="21"/>
      <c r="G216" s="21"/>
      <c r="H216" s="124" t="n">
        <f aca="false">IF((3.8*2*22-0.06*I214)&gt;0,3.8*2*22-0.06*I214,0)</f>
        <v>25.7609712529964</v>
      </c>
      <c r="I216" s="124"/>
      <c r="J216" s="124"/>
      <c r="K216" s="129"/>
    </row>
    <row r="217" customFormat="false" ht="12.75" hidden="true" customHeight="true" outlineLevel="0" collapsed="false">
      <c r="A217" s="19" t="s">
        <v>417</v>
      </c>
      <c r="B217" s="21" t="s">
        <v>418</v>
      </c>
      <c r="C217" s="21"/>
      <c r="D217" s="21"/>
      <c r="E217" s="21"/>
      <c r="F217" s="21"/>
      <c r="G217" s="21"/>
      <c r="H217" s="124" t="n">
        <f aca="false">IF('DI, Tri e Pag'!$H$12:$J$12='DI, Tri e Pag'!$L$12,-('DI, Tri e Pag'!$H$23+'DI, Tri e Pag'!$H$24)*H216,0)</f>
        <v>0</v>
      </c>
      <c r="I217" s="124"/>
      <c r="J217" s="124"/>
      <c r="K217" s="139"/>
    </row>
    <row r="218" customFormat="false" ht="15" hidden="true" customHeight="true" outlineLevel="0" collapsed="false">
      <c r="A218" s="19" t="s">
        <v>403</v>
      </c>
      <c r="B218" s="21" t="s">
        <v>407</v>
      </c>
      <c r="C218" s="21"/>
      <c r="D218" s="21"/>
      <c r="E218" s="21"/>
      <c r="F218" s="21"/>
      <c r="G218" s="21"/>
      <c r="H218" s="124" t="n">
        <f aca="false">$H$47</f>
        <v>0</v>
      </c>
      <c r="I218" s="124"/>
      <c r="J218" s="124"/>
    </row>
    <row r="219" customFormat="false" ht="12.75" hidden="false" customHeight="false" outlineLevel="0" collapsed="false">
      <c r="A219" s="19" t="n">
        <v>3</v>
      </c>
      <c r="B219" s="10" t="str">
        <f aca="false">$B$51</f>
        <v> Uniformes E EPI's</v>
      </c>
      <c r="C219" s="10"/>
      <c r="D219" s="10"/>
      <c r="E219" s="10"/>
      <c r="F219" s="10"/>
      <c r="G219" s="10"/>
      <c r="H219" s="19"/>
      <c r="I219" s="136" t="n">
        <f aca="false">$H$64</f>
        <v>0</v>
      </c>
      <c r="J219" s="136"/>
    </row>
    <row r="220" customFormat="false" ht="12.75" hidden="false" customHeight="false" outlineLevel="0" collapsed="false">
      <c r="A220" s="19" t="n">
        <v>4</v>
      </c>
      <c r="B220" s="10" t="str">
        <f aca="false">$B$66</f>
        <v>Encargos Sociais e Trabalhistas</v>
      </c>
      <c r="C220" s="10"/>
      <c r="D220" s="10"/>
      <c r="E220" s="10"/>
      <c r="F220" s="10"/>
      <c r="G220" s="10"/>
      <c r="H220" s="138" t="n">
        <f aca="false">SUM($H$90,$H$98,$H$107,$H$127,$H$151)</f>
        <v>0.705426407383333</v>
      </c>
      <c r="I220" s="136" t="n">
        <f aca="false">H220*I214</f>
        <v>1662.91376521311</v>
      </c>
      <c r="J220" s="136"/>
    </row>
    <row r="221" customFormat="false" ht="12.75" hidden="false" customHeight="false" outlineLevel="0" collapsed="false">
      <c r="A221" s="19" t="n">
        <v>5</v>
      </c>
      <c r="B221" s="10" t="str">
        <f aca="false">B209</f>
        <v>Outro (Especificar)</v>
      </c>
      <c r="C221" s="10"/>
      <c r="D221" s="10"/>
      <c r="E221" s="10"/>
      <c r="F221" s="10"/>
      <c r="G221" s="10"/>
      <c r="H221" s="138"/>
      <c r="I221" s="136"/>
      <c r="J221" s="136"/>
    </row>
    <row r="222" customFormat="false" ht="12.75" hidden="false" customHeight="false" outlineLevel="0" collapsed="false">
      <c r="A222" s="16" t="s">
        <v>68</v>
      </c>
      <c r="B222" s="16"/>
      <c r="C222" s="16"/>
      <c r="D222" s="16"/>
      <c r="E222" s="16"/>
      <c r="F222" s="16"/>
      <c r="G222" s="16"/>
      <c r="H222" s="16"/>
      <c r="I222" s="128" t="n">
        <f aca="false">SUM(I214,I215,I219,I220,I221)</f>
        <v>4045.9918822495</v>
      </c>
      <c r="J222" s="128"/>
    </row>
  </sheetData>
  <sheetProtection sheet="true" password="e536" objects="true" scenarios="true" formatColumns="false" formatRows="false"/>
  <mergeCells count="299">
    <mergeCell ref="A7:J7"/>
    <mergeCell ref="A11:J11"/>
    <mergeCell ref="A18:J18"/>
    <mergeCell ref="A20:J20"/>
    <mergeCell ref="B21:G21"/>
    <mergeCell ref="H21:J21"/>
    <mergeCell ref="B22:G22"/>
    <mergeCell ref="H22:J22"/>
    <mergeCell ref="B23:J23"/>
    <mergeCell ref="B24:G24"/>
    <mergeCell ref="H24:J24"/>
    <mergeCell ref="B25:J25"/>
    <mergeCell ref="B26:G26"/>
    <mergeCell ref="H26:J26"/>
    <mergeCell ref="B27:J27"/>
    <mergeCell ref="B28:G28"/>
    <mergeCell ref="H28:J28"/>
    <mergeCell ref="B29:J29"/>
    <mergeCell ref="B31:J31"/>
    <mergeCell ref="B32:G32"/>
    <mergeCell ref="H32:J32"/>
    <mergeCell ref="B33:G33"/>
    <mergeCell ref="H33:J33"/>
    <mergeCell ref="B34:J34"/>
    <mergeCell ref="B35:G35"/>
    <mergeCell ref="H35:J35"/>
    <mergeCell ref="B36:J36"/>
    <mergeCell ref="A37:G37"/>
    <mergeCell ref="H37:J37"/>
    <mergeCell ref="B39:J39"/>
    <mergeCell ref="B40:G40"/>
    <mergeCell ref="H40:J40"/>
    <mergeCell ref="B41:G41"/>
    <mergeCell ref="H41:J41"/>
    <mergeCell ref="B42:J42"/>
    <mergeCell ref="B43:J43"/>
    <mergeCell ref="B44:J44"/>
    <mergeCell ref="B45:G45"/>
    <mergeCell ref="H45:J45"/>
    <mergeCell ref="B46:J46"/>
    <mergeCell ref="B47:G47"/>
    <mergeCell ref="H47:J47"/>
    <mergeCell ref="B48:J48"/>
    <mergeCell ref="A49:G49"/>
    <mergeCell ref="H49:J49"/>
    <mergeCell ref="B51:J51"/>
    <mergeCell ref="B52:G52"/>
    <mergeCell ref="B53:G53"/>
    <mergeCell ref="B54:G54"/>
    <mergeCell ref="B55:G55"/>
    <mergeCell ref="B56:G56"/>
    <mergeCell ref="B57:G57"/>
    <mergeCell ref="B58:G58"/>
    <mergeCell ref="B59:J59"/>
    <mergeCell ref="B60:J60"/>
    <mergeCell ref="B61:J61"/>
    <mergeCell ref="B62:G62"/>
    <mergeCell ref="H62:J62"/>
    <mergeCell ref="B63:J63"/>
    <mergeCell ref="A64:G64"/>
    <mergeCell ref="H64:J64"/>
    <mergeCell ref="B66:J66"/>
    <mergeCell ref="B67:G67"/>
    <mergeCell ref="I67:J67"/>
    <mergeCell ref="B68:G68"/>
    <mergeCell ref="I68:J68"/>
    <mergeCell ref="B69:J69"/>
    <mergeCell ref="B70:G70"/>
    <mergeCell ref="I70:J70"/>
    <mergeCell ref="B71:J71"/>
    <mergeCell ref="B72:J72"/>
    <mergeCell ref="B73:G73"/>
    <mergeCell ref="I73:J73"/>
    <mergeCell ref="B74:J74"/>
    <mergeCell ref="B75:J75"/>
    <mergeCell ref="B76:G76"/>
    <mergeCell ref="I76:J76"/>
    <mergeCell ref="B77:J77"/>
    <mergeCell ref="B78:J78"/>
    <mergeCell ref="B79:G79"/>
    <mergeCell ref="I79:J79"/>
    <mergeCell ref="B80:J80"/>
    <mergeCell ref="B81:J81"/>
    <mergeCell ref="B82:G82"/>
    <mergeCell ref="I82:J82"/>
    <mergeCell ref="B83:J83"/>
    <mergeCell ref="B84:G84"/>
    <mergeCell ref="I84:J84"/>
    <mergeCell ref="B85:J85"/>
    <mergeCell ref="B86:J86"/>
    <mergeCell ref="B87:G87"/>
    <mergeCell ref="I87:J87"/>
    <mergeCell ref="B88:J88"/>
    <mergeCell ref="B89:J89"/>
    <mergeCell ref="A90:G90"/>
    <mergeCell ref="I90:J90"/>
    <mergeCell ref="B92:G92"/>
    <mergeCell ref="I92:J92"/>
    <mergeCell ref="B93:G93"/>
    <mergeCell ref="I93:J93"/>
    <mergeCell ref="B94:J94"/>
    <mergeCell ref="B95:J95"/>
    <mergeCell ref="B96:G96"/>
    <mergeCell ref="I96:J96"/>
    <mergeCell ref="B97:J97"/>
    <mergeCell ref="A98:G98"/>
    <mergeCell ref="I98:J98"/>
    <mergeCell ref="B100:G100"/>
    <mergeCell ref="I100:J100"/>
    <mergeCell ref="B101:G101"/>
    <mergeCell ref="I101:J101"/>
    <mergeCell ref="B102:J102"/>
    <mergeCell ref="B103:J103"/>
    <mergeCell ref="B104:J104"/>
    <mergeCell ref="B105:G105"/>
    <mergeCell ref="I105:J105"/>
    <mergeCell ref="B106:J106"/>
    <mergeCell ref="A107:G107"/>
    <mergeCell ref="I107:J107"/>
    <mergeCell ref="B109:G109"/>
    <mergeCell ref="I109:J109"/>
    <mergeCell ref="B110:G110"/>
    <mergeCell ref="I110:J110"/>
    <mergeCell ref="B111:J111"/>
    <mergeCell ref="B112:J112"/>
    <mergeCell ref="B113:J113"/>
    <mergeCell ref="B114:J114"/>
    <mergeCell ref="B115:G115"/>
    <mergeCell ref="I115:J115"/>
    <mergeCell ref="B116:J116"/>
    <mergeCell ref="B117:G117"/>
    <mergeCell ref="I117:J117"/>
    <mergeCell ref="B118:J118"/>
    <mergeCell ref="B119:J119"/>
    <mergeCell ref="B120:G120"/>
    <mergeCell ref="I120:J120"/>
    <mergeCell ref="B121:J121"/>
    <mergeCell ref="B122:J122"/>
    <mergeCell ref="B123:G123"/>
    <mergeCell ref="I123:J123"/>
    <mergeCell ref="B124:J124"/>
    <mergeCell ref="B125:G125"/>
    <mergeCell ref="I125:J125"/>
    <mergeCell ref="B126:J126"/>
    <mergeCell ref="A127:G127"/>
    <mergeCell ref="I127:J127"/>
    <mergeCell ref="B129:G129"/>
    <mergeCell ref="I129:J129"/>
    <mergeCell ref="B130:G130"/>
    <mergeCell ref="I130:J130"/>
    <mergeCell ref="B131:J131"/>
    <mergeCell ref="B132:J132"/>
    <mergeCell ref="B133:G133"/>
    <mergeCell ref="I133:J133"/>
    <mergeCell ref="B134:J134"/>
    <mergeCell ref="B135:J135"/>
    <mergeCell ref="B136:G136"/>
    <mergeCell ref="I136:J136"/>
    <mergeCell ref="B137:J137"/>
    <mergeCell ref="B138:J138"/>
    <mergeCell ref="B139:G139"/>
    <mergeCell ref="I139:J139"/>
    <mergeCell ref="B140:J140"/>
    <mergeCell ref="B141:J141"/>
    <mergeCell ref="B142:G142"/>
    <mergeCell ref="I142:J142"/>
    <mergeCell ref="B143:J143"/>
    <mergeCell ref="B144:J144"/>
    <mergeCell ref="B145:G145"/>
    <mergeCell ref="I145:J145"/>
    <mergeCell ref="B146:J146"/>
    <mergeCell ref="B147:J147"/>
    <mergeCell ref="B148:G148"/>
    <mergeCell ref="I148:J148"/>
    <mergeCell ref="B149:J149"/>
    <mergeCell ref="B150:J150"/>
    <mergeCell ref="A151:G151"/>
    <mergeCell ref="I151:J151"/>
    <mergeCell ref="A153:J153"/>
    <mergeCell ref="B154:G154"/>
    <mergeCell ref="I154:J154"/>
    <mergeCell ref="B155:G155"/>
    <mergeCell ref="I155:J155"/>
    <mergeCell ref="B156:G156"/>
    <mergeCell ref="I156:J156"/>
    <mergeCell ref="B157:G157"/>
    <mergeCell ref="I157:J157"/>
    <mergeCell ref="B158:G158"/>
    <mergeCell ref="I158:J158"/>
    <mergeCell ref="B159:G159"/>
    <mergeCell ref="I159:J159"/>
    <mergeCell ref="A160:H160"/>
    <mergeCell ref="I160:J160"/>
    <mergeCell ref="A162:J162"/>
    <mergeCell ref="A164:J164"/>
    <mergeCell ref="B165:G165"/>
    <mergeCell ref="I165:J165"/>
    <mergeCell ref="B166:G166"/>
    <mergeCell ref="I166:J166"/>
    <mergeCell ref="B167:G167"/>
    <mergeCell ref="I167:J167"/>
    <mergeCell ref="B168:G168"/>
    <mergeCell ref="H168:J168"/>
    <mergeCell ref="B169:G169"/>
    <mergeCell ref="H169:J169"/>
    <mergeCell ref="B170:G170"/>
    <mergeCell ref="H170:J170"/>
    <mergeCell ref="B171:G171"/>
    <mergeCell ref="I171:J171"/>
    <mergeCell ref="B172:G172"/>
    <mergeCell ref="I172:J172"/>
    <mergeCell ref="B173:G173"/>
    <mergeCell ref="I173:J173"/>
    <mergeCell ref="A174:H174"/>
    <mergeCell ref="I174:J174"/>
    <mergeCell ref="A176:J176"/>
    <mergeCell ref="B177:G177"/>
    <mergeCell ref="I177:J177"/>
    <mergeCell ref="B178:G178"/>
    <mergeCell ref="I178:J178"/>
    <mergeCell ref="B179:G179"/>
    <mergeCell ref="I179:J179"/>
    <mergeCell ref="B180:G180"/>
    <mergeCell ref="H180:J180"/>
    <mergeCell ref="B181:G181"/>
    <mergeCell ref="H181:J181"/>
    <mergeCell ref="B182:G182"/>
    <mergeCell ref="H182:J182"/>
    <mergeCell ref="B183:G183"/>
    <mergeCell ref="I183:J183"/>
    <mergeCell ref="B184:G184"/>
    <mergeCell ref="I184:J184"/>
    <mergeCell ref="B185:G185"/>
    <mergeCell ref="I185:J185"/>
    <mergeCell ref="A186:H186"/>
    <mergeCell ref="I186:J186"/>
    <mergeCell ref="A188:J188"/>
    <mergeCell ref="B189:G189"/>
    <mergeCell ref="I189:J189"/>
    <mergeCell ref="B190:G190"/>
    <mergeCell ref="I190:J190"/>
    <mergeCell ref="B191:G191"/>
    <mergeCell ref="I191:J191"/>
    <mergeCell ref="B192:G192"/>
    <mergeCell ref="H192:J192"/>
    <mergeCell ref="B193:G193"/>
    <mergeCell ref="H193:J193"/>
    <mergeCell ref="B194:G194"/>
    <mergeCell ref="H194:J194"/>
    <mergeCell ref="B195:G195"/>
    <mergeCell ref="I195:J195"/>
    <mergeCell ref="B196:G196"/>
    <mergeCell ref="I196:J196"/>
    <mergeCell ref="B197:G197"/>
    <mergeCell ref="I197:J197"/>
    <mergeCell ref="A198:H198"/>
    <mergeCell ref="I198:J198"/>
    <mergeCell ref="A200:J200"/>
    <mergeCell ref="B201:G201"/>
    <mergeCell ref="I201:J201"/>
    <mergeCell ref="B202:G202"/>
    <mergeCell ref="I202:J202"/>
    <mergeCell ref="B203:G203"/>
    <mergeCell ref="I203:J203"/>
    <mergeCell ref="B204:G204"/>
    <mergeCell ref="H204:J204"/>
    <mergeCell ref="B205:G205"/>
    <mergeCell ref="H205:J205"/>
    <mergeCell ref="B206:G206"/>
    <mergeCell ref="H206:J206"/>
    <mergeCell ref="B207:G207"/>
    <mergeCell ref="I207:J207"/>
    <mergeCell ref="B208:G208"/>
    <mergeCell ref="I208:J208"/>
    <mergeCell ref="B209:G209"/>
    <mergeCell ref="I209:J209"/>
    <mergeCell ref="A210:H210"/>
    <mergeCell ref="I210:J210"/>
    <mergeCell ref="A212:J212"/>
    <mergeCell ref="B213:G213"/>
    <mergeCell ref="I213:J213"/>
    <mergeCell ref="B214:G214"/>
    <mergeCell ref="I214:J214"/>
    <mergeCell ref="B215:G215"/>
    <mergeCell ref="I215:J215"/>
    <mergeCell ref="B216:G216"/>
    <mergeCell ref="H216:J216"/>
    <mergeCell ref="B217:G217"/>
    <mergeCell ref="H217:J217"/>
    <mergeCell ref="B218:G218"/>
    <mergeCell ref="H218:J218"/>
    <mergeCell ref="B219:G219"/>
    <mergeCell ref="I219:J219"/>
    <mergeCell ref="B220:G220"/>
    <mergeCell ref="I220:J220"/>
    <mergeCell ref="B221:G221"/>
    <mergeCell ref="I221:J221"/>
    <mergeCell ref="A222:H222"/>
    <mergeCell ref="I222:J222"/>
  </mergeCells>
  <hyperlinks>
    <hyperlink ref="K7" location="Início!A7" display="Início"/>
    <hyperlink ref="L7" location="'C. F. P. Orient de Tráf'!A7" display="Voltar"/>
    <hyperlink ref="M7" location="'C. F. P. Encarregado'!A7" display="Avançar"/>
    <hyperlink ref="B111" r:id="rId2" display="Os dados de rotatividade da mão de obra para este estudo foram obtidos no CAGED –&#10;Cadastro Geral de Empregados e Desempregados, e podem ser consultados em: http://bi.mte.gov.br/cagedestabelecimento/pages/consulta.xhtml"/>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 F. P. - SUPERVISOR&amp;C&amp;"Times New Roman,Normal"&amp;10&lt;Inserir nome da empresa&gt;
&lt;Inserir endereço da empresa&gt;
&lt;Inserir telefone da empresa&gt;
&lt;Inserir correio eletrônico da empresa&gt;&amp;R&amp;"Times New Roman,Normal"&amp;10&amp;P/&amp;N</oddFooter>
  </headerFooter>
  <legacyDrawing r:id="rId3"/>
</worksheet>
</file>

<file path=xl/worksheets/sheet11.xml><?xml version="1.0" encoding="utf-8"?>
<worksheet xmlns="http://schemas.openxmlformats.org/spreadsheetml/2006/main" xmlns:r="http://schemas.openxmlformats.org/officeDocument/2006/relationships">
  <sheetPr filterMode="false">
    <pageSetUpPr fitToPage="false"/>
  </sheetPr>
  <dimension ref="A1:Q222"/>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7" activeCellId="0" sqref="A7"/>
    </sheetView>
  </sheetViews>
  <sheetFormatPr defaultRowHeight="12.75"/>
  <cols>
    <col collapsed="false" hidden="false" max="1" min="1" style="1" width="8.77551020408163"/>
    <col collapsed="false" hidden="false" max="7" min="2" style="1" width="9.04591836734694"/>
    <col collapsed="false" hidden="false" max="8" min="8" style="1" width="9.44897959183673"/>
    <col collapsed="false" hidden="false" max="9" min="9" style="1" width="10.1224489795918"/>
    <col collapsed="false" hidden="false" max="1025" min="10"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542</v>
      </c>
      <c r="B7" s="3"/>
      <c r="C7" s="3"/>
      <c r="D7" s="3"/>
      <c r="E7" s="3"/>
      <c r="F7" s="3"/>
      <c r="G7" s="3"/>
      <c r="H7" s="3"/>
      <c r="I7" s="3"/>
      <c r="J7" s="3"/>
      <c r="K7" s="26" t="s">
        <v>12</v>
      </c>
      <c r="L7" s="13" t="s">
        <v>45</v>
      </c>
      <c r="M7" s="5" t="s">
        <v>6</v>
      </c>
    </row>
    <row r="9" customFormat="false" ht="12.75" hidden="false" customHeight="false" outlineLevel="0" collapsed="false">
      <c r="A9" s="12" t="s">
        <v>374</v>
      </c>
    </row>
    <row r="10" customFormat="false" ht="12.75" hidden="false" customHeight="false" outlineLevel="0" collapsed="false">
      <c r="A10" s="1" t="s">
        <v>375</v>
      </c>
    </row>
    <row r="11" customFormat="false" ht="30" hidden="false" customHeight="true" outlineLevel="0" collapsed="false">
      <c r="A11" s="99" t="s">
        <v>376</v>
      </c>
      <c r="B11" s="99"/>
      <c r="C11" s="99"/>
      <c r="D11" s="99"/>
      <c r="E11" s="99"/>
      <c r="F11" s="99"/>
      <c r="G11" s="99"/>
      <c r="H11" s="99"/>
      <c r="I11" s="99"/>
      <c r="J11" s="99"/>
    </row>
    <row r="12" customFormat="false" ht="12.75" hidden="false" customHeight="false" outlineLevel="0" collapsed="false">
      <c r="B12" s="1" t="s">
        <v>377</v>
      </c>
    </row>
    <row r="13" customFormat="false" ht="12.75" hidden="false" customHeight="false" outlineLevel="0" collapsed="false">
      <c r="B13" s="1" t="s">
        <v>378</v>
      </c>
    </row>
    <row r="14" customFormat="false" ht="12.75" hidden="false" customHeight="false" outlineLevel="0" collapsed="false">
      <c r="B14" s="1" t="s">
        <v>379</v>
      </c>
    </row>
    <row r="15" customFormat="false" ht="12.75" hidden="false" customHeight="false" outlineLevel="0" collapsed="false">
      <c r="B15" s="1" t="s">
        <v>380</v>
      </c>
    </row>
    <row r="16" customFormat="false" ht="12.75" hidden="false" customHeight="false" outlineLevel="0" collapsed="false">
      <c r="B16" s="1" t="s">
        <v>381</v>
      </c>
    </row>
    <row r="18" customFormat="false" ht="12.75" hidden="false" customHeight="false" outlineLevel="0" collapsed="false">
      <c r="A18" s="27" t="s">
        <v>104</v>
      </c>
      <c r="B18" s="27"/>
      <c r="C18" s="27"/>
      <c r="D18" s="27"/>
      <c r="E18" s="27"/>
      <c r="F18" s="27"/>
      <c r="G18" s="27"/>
      <c r="H18" s="27"/>
      <c r="I18" s="27"/>
      <c r="J18" s="27"/>
    </row>
    <row r="20" customFormat="false" ht="12.75" hidden="false" customHeight="false" outlineLevel="0" collapsed="false">
      <c r="A20" s="28" t="s">
        <v>382</v>
      </c>
      <c r="B20" s="28"/>
      <c r="C20" s="28"/>
      <c r="D20" s="28"/>
      <c r="E20" s="28"/>
      <c r="F20" s="28"/>
      <c r="G20" s="28"/>
      <c r="H20" s="28"/>
      <c r="I20" s="28"/>
      <c r="J20" s="28"/>
    </row>
    <row r="21" customFormat="false" ht="12.75" hidden="false" customHeight="true" outlineLevel="0" collapsed="false">
      <c r="A21" s="19" t="n">
        <v>1</v>
      </c>
      <c r="B21" s="21" t="s">
        <v>383</v>
      </c>
      <c r="C21" s="21"/>
      <c r="D21" s="21"/>
      <c r="E21" s="21"/>
      <c r="F21" s="21"/>
      <c r="G21" s="21"/>
      <c r="H21" s="100" t="s">
        <v>543</v>
      </c>
      <c r="I21" s="100"/>
      <c r="J21" s="100"/>
    </row>
    <row r="22" customFormat="false" ht="12.75" hidden="false" customHeight="true" outlineLevel="0" collapsed="false">
      <c r="A22" s="19" t="n">
        <v>2</v>
      </c>
      <c r="B22" s="21" t="s">
        <v>385</v>
      </c>
      <c r="C22" s="21"/>
      <c r="D22" s="21"/>
      <c r="E22" s="21"/>
      <c r="F22" s="21"/>
      <c r="G22" s="21"/>
      <c r="H22" s="101" t="n">
        <v>1137</v>
      </c>
      <c r="I22" s="101"/>
      <c r="J22" s="101"/>
    </row>
    <row r="23" customFormat="false" ht="12.75" hidden="false" customHeight="true" outlineLevel="0" collapsed="false">
      <c r="A23" s="30" t="s">
        <v>108</v>
      </c>
      <c r="B23" s="31" t="s">
        <v>386</v>
      </c>
      <c r="C23" s="31"/>
      <c r="D23" s="31"/>
      <c r="E23" s="31"/>
      <c r="F23" s="31"/>
      <c r="G23" s="31"/>
      <c r="H23" s="31"/>
      <c r="I23" s="31"/>
      <c r="J23" s="31"/>
    </row>
    <row r="24" customFormat="false" ht="12.75" hidden="false" customHeight="true" outlineLevel="0" collapsed="false">
      <c r="A24" s="19" t="n">
        <v>3</v>
      </c>
      <c r="B24" s="21" t="s">
        <v>387</v>
      </c>
      <c r="C24" s="21"/>
      <c r="D24" s="21"/>
      <c r="E24" s="21"/>
      <c r="F24" s="21"/>
      <c r="G24" s="21"/>
      <c r="H24" s="102" t="s">
        <v>388</v>
      </c>
      <c r="I24" s="102"/>
      <c r="J24" s="102"/>
    </row>
    <row r="25" customFormat="false" ht="12.75" hidden="false" customHeight="true" outlineLevel="0" collapsed="false">
      <c r="A25" s="30" t="s">
        <v>108</v>
      </c>
      <c r="B25" s="31" t="s">
        <v>389</v>
      </c>
      <c r="C25" s="31"/>
      <c r="D25" s="31"/>
      <c r="E25" s="31"/>
      <c r="F25" s="31"/>
      <c r="G25" s="31"/>
      <c r="H25" s="31"/>
      <c r="I25" s="31"/>
      <c r="J25" s="31"/>
    </row>
    <row r="26" customFormat="false" ht="12.75" hidden="false" customHeight="true" outlineLevel="0" collapsed="false">
      <c r="A26" s="19" t="n">
        <v>4</v>
      </c>
      <c r="B26" s="21" t="s">
        <v>390</v>
      </c>
      <c r="C26" s="21"/>
      <c r="D26" s="21"/>
      <c r="E26" s="21"/>
      <c r="F26" s="21"/>
      <c r="G26" s="21"/>
      <c r="H26" s="102" t="s">
        <v>541</v>
      </c>
      <c r="I26" s="102"/>
      <c r="J26" s="102"/>
    </row>
    <row r="27" customFormat="false" ht="24.75" hidden="false" customHeight="true" outlineLevel="0" collapsed="false">
      <c r="A27" s="30" t="s">
        <v>108</v>
      </c>
      <c r="B27" s="31" t="s">
        <v>392</v>
      </c>
      <c r="C27" s="31"/>
      <c r="D27" s="31"/>
      <c r="E27" s="31"/>
      <c r="F27" s="31"/>
      <c r="G27" s="31"/>
      <c r="H27" s="31"/>
      <c r="I27" s="31"/>
      <c r="J27" s="31"/>
    </row>
    <row r="28" customFormat="false" ht="12.75" hidden="false" customHeight="true" outlineLevel="0" collapsed="false">
      <c r="A28" s="19" t="n">
        <v>5</v>
      </c>
      <c r="B28" s="21" t="s">
        <v>393</v>
      </c>
      <c r="C28" s="21"/>
      <c r="D28" s="21"/>
      <c r="E28" s="21"/>
      <c r="F28" s="21"/>
      <c r="G28" s="21"/>
      <c r="H28" s="102" t="s">
        <v>394</v>
      </c>
      <c r="I28" s="102"/>
      <c r="J28" s="102"/>
    </row>
    <row r="29" customFormat="false" ht="24.75" hidden="false" customHeight="true" outlineLevel="0" collapsed="false">
      <c r="A29" s="30" t="s">
        <v>108</v>
      </c>
      <c r="B29" s="31" t="s">
        <v>395</v>
      </c>
      <c r="C29" s="31"/>
      <c r="D29" s="31"/>
      <c r="E29" s="31"/>
      <c r="F29" s="31"/>
      <c r="G29" s="31"/>
      <c r="H29" s="31"/>
      <c r="I29" s="31"/>
      <c r="J29" s="31"/>
      <c r="M29" s="145"/>
    </row>
    <row r="31" customFormat="false" ht="13.5" hidden="false" customHeight="true" outlineLevel="0" collapsed="false">
      <c r="A31" s="103" t="s">
        <v>396</v>
      </c>
      <c r="B31" s="104" t="s">
        <v>397</v>
      </c>
      <c r="C31" s="104"/>
      <c r="D31" s="104"/>
      <c r="E31" s="104"/>
      <c r="F31" s="104"/>
      <c r="G31" s="104"/>
      <c r="H31" s="104"/>
      <c r="I31" s="104"/>
      <c r="J31" s="104"/>
    </row>
    <row r="32" customFormat="false" ht="12.75" hidden="false" customHeight="true" outlineLevel="0" collapsed="false">
      <c r="A32" s="16" t="n">
        <v>1</v>
      </c>
      <c r="B32" s="105" t="s">
        <v>398</v>
      </c>
      <c r="C32" s="105"/>
      <c r="D32" s="105"/>
      <c r="E32" s="105"/>
      <c r="F32" s="105"/>
      <c r="G32" s="105"/>
      <c r="H32" s="106" t="s">
        <v>399</v>
      </c>
      <c r="I32" s="106"/>
      <c r="J32" s="106"/>
    </row>
    <row r="33" customFormat="false" ht="12.75" hidden="false" customHeight="true" outlineLevel="0" collapsed="false">
      <c r="A33" s="19" t="s">
        <v>400</v>
      </c>
      <c r="B33" s="21" t="s">
        <v>401</v>
      </c>
      <c r="C33" s="21"/>
      <c r="D33" s="21"/>
      <c r="E33" s="21"/>
      <c r="F33" s="21"/>
      <c r="G33" s="21"/>
      <c r="H33" s="107" t="n">
        <v>1341</v>
      </c>
      <c r="I33" s="107"/>
      <c r="J33" s="107"/>
    </row>
    <row r="34" customFormat="false" ht="12.75" hidden="false" customHeight="true" outlineLevel="0" collapsed="false">
      <c r="A34" s="108" t="s">
        <v>108</v>
      </c>
      <c r="B34" s="109" t="s">
        <v>402</v>
      </c>
      <c r="C34" s="109"/>
      <c r="D34" s="109"/>
      <c r="E34" s="109"/>
      <c r="F34" s="109"/>
      <c r="G34" s="109"/>
      <c r="H34" s="109"/>
      <c r="I34" s="109"/>
      <c r="J34" s="109"/>
    </row>
    <row r="35" customFormat="false" ht="12.75" hidden="false" customHeight="true" outlineLevel="0" collapsed="false">
      <c r="A35" s="19" t="s">
        <v>403</v>
      </c>
      <c r="B35" s="111" t="s">
        <v>407</v>
      </c>
      <c r="C35" s="111"/>
      <c r="D35" s="111"/>
      <c r="E35" s="111"/>
      <c r="F35" s="111"/>
      <c r="G35" s="111"/>
      <c r="H35" s="107" t="n">
        <v>0</v>
      </c>
      <c r="I35" s="107"/>
      <c r="J35" s="107"/>
    </row>
    <row r="36" customFormat="false" ht="12.75" hidden="false" customHeight="true" outlineLevel="0" collapsed="false">
      <c r="A36" s="108" t="s">
        <v>108</v>
      </c>
      <c r="B36" s="109" t="s">
        <v>408</v>
      </c>
      <c r="C36" s="109"/>
      <c r="D36" s="109"/>
      <c r="E36" s="109"/>
      <c r="F36" s="109"/>
      <c r="G36" s="109"/>
      <c r="H36" s="109"/>
      <c r="I36" s="109"/>
      <c r="J36" s="109"/>
    </row>
    <row r="37" customFormat="false" ht="12.75" hidden="false" customHeight="false" outlineLevel="0" collapsed="false">
      <c r="A37" s="16" t="str">
        <f aca="false">"Total do "&amp;A31</f>
        <v>Total do Módulo1</v>
      </c>
      <c r="B37" s="16"/>
      <c r="C37" s="16"/>
      <c r="D37" s="16"/>
      <c r="E37" s="16"/>
      <c r="F37" s="16"/>
      <c r="G37" s="16"/>
      <c r="H37" s="112" t="n">
        <f aca="false">SUM(H33,H35)</f>
        <v>1341</v>
      </c>
      <c r="I37" s="112"/>
      <c r="J37" s="112"/>
    </row>
    <row r="39" customFormat="false" ht="13.5" hidden="false" customHeight="true" outlineLevel="0" collapsed="false">
      <c r="A39" s="103" t="s">
        <v>409</v>
      </c>
      <c r="B39" s="104" t="s">
        <v>410</v>
      </c>
      <c r="C39" s="104"/>
      <c r="D39" s="104"/>
      <c r="E39" s="104"/>
      <c r="F39" s="104"/>
      <c r="G39" s="104"/>
      <c r="H39" s="104"/>
      <c r="I39" s="104"/>
      <c r="J39" s="104"/>
    </row>
    <row r="40" customFormat="false" ht="12.75" hidden="false" customHeight="true" outlineLevel="0" collapsed="false">
      <c r="A40" s="16" t="n">
        <v>2</v>
      </c>
      <c r="B40" s="105" t="s">
        <v>410</v>
      </c>
      <c r="C40" s="105"/>
      <c r="D40" s="105"/>
      <c r="E40" s="105"/>
      <c r="F40" s="105"/>
      <c r="G40" s="105"/>
      <c r="H40" s="106" t="s">
        <v>399</v>
      </c>
      <c r="I40" s="106"/>
      <c r="J40" s="106"/>
    </row>
    <row r="41" customFormat="false" ht="12.75" hidden="false" customHeight="true" outlineLevel="0" collapsed="false">
      <c r="A41" s="19" t="s">
        <v>400</v>
      </c>
      <c r="B41" s="21" t="s">
        <v>411</v>
      </c>
      <c r="C41" s="21"/>
      <c r="D41" s="21"/>
      <c r="E41" s="21"/>
      <c r="F41" s="21"/>
      <c r="G41" s="21"/>
      <c r="H41" s="107" t="n">
        <f aca="false">IF((3.8*2*22-0.06*$H$37)&gt;0,3.8*2*22-0.06*$H$37,0)</f>
        <v>86.74</v>
      </c>
      <c r="I41" s="107"/>
      <c r="J41" s="107"/>
    </row>
    <row r="42" customFormat="false" ht="12.75" hidden="false" customHeight="true" outlineLevel="0" collapsed="false">
      <c r="A42" s="108" t="s">
        <v>412</v>
      </c>
      <c r="B42" s="109" t="s">
        <v>413</v>
      </c>
      <c r="C42" s="109"/>
      <c r="D42" s="109"/>
      <c r="E42" s="109"/>
      <c r="F42" s="109"/>
      <c r="G42" s="109"/>
      <c r="H42" s="109"/>
      <c r="I42" s="109"/>
      <c r="J42" s="109"/>
    </row>
    <row r="43" customFormat="false" ht="32.25" hidden="false" customHeight="true" outlineLevel="0" collapsed="false">
      <c r="A43" s="108" t="s">
        <v>414</v>
      </c>
      <c r="B43" s="109" t="s">
        <v>415</v>
      </c>
      <c r="C43" s="109"/>
      <c r="D43" s="109"/>
      <c r="E43" s="109"/>
      <c r="F43" s="109"/>
      <c r="G43" s="109"/>
      <c r="H43" s="109"/>
      <c r="I43" s="109"/>
      <c r="J43" s="109"/>
    </row>
    <row r="44" customFormat="false" ht="12.75" hidden="false" customHeight="true" outlineLevel="0" collapsed="false">
      <c r="A44" s="108" t="s">
        <v>364</v>
      </c>
      <c r="B44" s="109" t="s">
        <v>416</v>
      </c>
      <c r="C44" s="109"/>
      <c r="D44" s="109"/>
      <c r="E44" s="109"/>
      <c r="F44" s="109"/>
      <c r="G44" s="109"/>
      <c r="H44" s="109"/>
      <c r="I44" s="109"/>
      <c r="J44" s="109"/>
      <c r="L44" s="113"/>
    </row>
    <row r="45" customFormat="false" ht="12.75" hidden="false" customHeight="true" outlineLevel="0" collapsed="false">
      <c r="A45" s="19" t="s">
        <v>417</v>
      </c>
      <c r="B45" s="21" t="s">
        <v>418</v>
      </c>
      <c r="C45" s="21"/>
      <c r="D45" s="21"/>
      <c r="E45" s="21"/>
      <c r="F45" s="21"/>
      <c r="G45" s="21"/>
      <c r="H45" s="110" t="n">
        <f aca="false">IF('DI, Tri e Pag'!$H$12:$J$12='DI, Tri e Pag'!$L$12,-('DI, Tri e Pag'!$H$23+'DI, Tri e Pag'!$H$24)*'C. F. P. Encarregado'!H41,0)</f>
        <v>0</v>
      </c>
      <c r="I45" s="110"/>
      <c r="J45" s="110"/>
    </row>
    <row r="46" customFormat="false" ht="44.25" hidden="false" customHeight="true" outlineLevel="0" collapsed="false">
      <c r="A46" s="30" t="s">
        <v>419</v>
      </c>
      <c r="B46" s="31" t="s">
        <v>420</v>
      </c>
      <c r="C46" s="31"/>
      <c r="D46" s="31"/>
      <c r="E46" s="31"/>
      <c r="F46" s="31"/>
      <c r="G46" s="31"/>
      <c r="H46" s="31"/>
      <c r="I46" s="31"/>
      <c r="J46" s="31"/>
    </row>
    <row r="47" customFormat="false" ht="12.75" hidden="false" customHeight="true" outlineLevel="0" collapsed="false">
      <c r="A47" s="19" t="s">
        <v>403</v>
      </c>
      <c r="B47" s="111" t="s">
        <v>407</v>
      </c>
      <c r="C47" s="111"/>
      <c r="D47" s="111"/>
      <c r="E47" s="111"/>
      <c r="F47" s="111"/>
      <c r="G47" s="111"/>
      <c r="H47" s="107"/>
      <c r="I47" s="107"/>
      <c r="J47" s="107"/>
    </row>
    <row r="48" customFormat="false" ht="12.75" hidden="false" customHeight="true" outlineLevel="0" collapsed="false">
      <c r="A48" s="108" t="s">
        <v>419</v>
      </c>
      <c r="B48" s="109" t="s">
        <v>408</v>
      </c>
      <c r="C48" s="109"/>
      <c r="D48" s="109"/>
      <c r="E48" s="109"/>
      <c r="F48" s="109"/>
      <c r="G48" s="109"/>
      <c r="H48" s="109"/>
      <c r="I48" s="109"/>
      <c r="J48" s="109"/>
    </row>
    <row r="49" customFormat="false" ht="12.75" hidden="false" customHeight="false" outlineLevel="0" collapsed="false">
      <c r="A49" s="16" t="str">
        <f aca="false">"Total do "&amp;A39</f>
        <v>Total do Módulo2 </v>
      </c>
      <c r="B49" s="16"/>
      <c r="C49" s="16"/>
      <c r="D49" s="16"/>
      <c r="E49" s="16"/>
      <c r="F49" s="16"/>
      <c r="G49" s="16"/>
      <c r="H49" s="112" t="n">
        <f aca="false">SUM(H41,H45,H47)</f>
        <v>86.74</v>
      </c>
      <c r="I49" s="112"/>
      <c r="J49" s="112"/>
    </row>
    <row r="51" customFormat="false" ht="15" hidden="false" customHeight="true" outlineLevel="0" collapsed="false">
      <c r="A51" s="103" t="s">
        <v>421</v>
      </c>
      <c r="B51" s="104" t="s">
        <v>422</v>
      </c>
      <c r="C51" s="104"/>
      <c r="D51" s="104"/>
      <c r="E51" s="104"/>
      <c r="F51" s="104"/>
      <c r="G51" s="104"/>
      <c r="H51" s="104"/>
      <c r="I51" s="104"/>
      <c r="J51" s="104"/>
    </row>
    <row r="52" customFormat="false" ht="12.75" hidden="false" customHeight="true" outlineLevel="0" collapsed="false">
      <c r="A52" s="16" t="n">
        <v>3</v>
      </c>
      <c r="B52" s="105" t="s">
        <v>423</v>
      </c>
      <c r="C52" s="105"/>
      <c r="D52" s="105"/>
      <c r="E52" s="105"/>
      <c r="F52" s="105"/>
      <c r="G52" s="105"/>
      <c r="H52" s="114" t="s">
        <v>424</v>
      </c>
      <c r="I52" s="114" t="s">
        <v>425</v>
      </c>
      <c r="J52" s="114" t="s">
        <v>426</v>
      </c>
    </row>
    <row r="53" customFormat="false" ht="12.75" hidden="false" customHeight="true" outlineLevel="0" collapsed="false">
      <c r="A53" s="19" t="s">
        <v>400</v>
      </c>
      <c r="B53" s="21" t="s">
        <v>427</v>
      </c>
      <c r="C53" s="21"/>
      <c r="D53" s="21"/>
      <c r="E53" s="21"/>
      <c r="F53" s="21"/>
      <c r="G53" s="21"/>
      <c r="H53" s="115" t="n">
        <v>2</v>
      </c>
      <c r="I53" s="116"/>
      <c r="J53" s="117" t="n">
        <f aca="false">H53*I53/12</f>
        <v>0</v>
      </c>
    </row>
    <row r="54" customFormat="false" ht="12.75" hidden="false" customHeight="true" outlineLevel="0" collapsed="false">
      <c r="A54" s="19" t="s">
        <v>403</v>
      </c>
      <c r="B54" s="21" t="s">
        <v>428</v>
      </c>
      <c r="C54" s="21"/>
      <c r="D54" s="21"/>
      <c r="E54" s="21"/>
      <c r="F54" s="21"/>
      <c r="G54" s="21"/>
      <c r="H54" s="115" t="n">
        <v>2</v>
      </c>
      <c r="I54" s="116"/>
      <c r="J54" s="117" t="n">
        <f aca="false">H54*I54/12</f>
        <v>0</v>
      </c>
    </row>
    <row r="55" customFormat="false" ht="12.75" hidden="false" customHeight="true" outlineLevel="0" collapsed="false">
      <c r="A55" s="19" t="s">
        <v>406</v>
      </c>
      <c r="B55" s="21" t="s">
        <v>429</v>
      </c>
      <c r="C55" s="21"/>
      <c r="D55" s="21"/>
      <c r="E55" s="21"/>
      <c r="F55" s="21"/>
      <c r="G55" s="21"/>
      <c r="H55" s="115" t="n">
        <v>2</v>
      </c>
      <c r="I55" s="116"/>
      <c r="J55" s="117" t="n">
        <f aca="false">H55*I55/12</f>
        <v>0</v>
      </c>
    </row>
    <row r="56" customFormat="false" ht="12.75" hidden="false" customHeight="true" outlineLevel="0" collapsed="false">
      <c r="A56" s="19" t="s">
        <v>430</v>
      </c>
      <c r="B56" s="21" t="s">
        <v>431</v>
      </c>
      <c r="C56" s="21"/>
      <c r="D56" s="21"/>
      <c r="E56" s="21"/>
      <c r="F56" s="21"/>
      <c r="G56" s="21"/>
      <c r="H56" s="115" t="n">
        <v>2</v>
      </c>
      <c r="I56" s="116"/>
      <c r="J56" s="117" t="n">
        <f aca="false">H56*I56/12</f>
        <v>0</v>
      </c>
    </row>
    <row r="57" customFormat="false" ht="68.25" hidden="false" customHeight="true" outlineLevel="0" collapsed="false">
      <c r="A57" s="19" t="s">
        <v>432</v>
      </c>
      <c r="B57" s="21" t="s">
        <v>433</v>
      </c>
      <c r="C57" s="21"/>
      <c r="D57" s="21"/>
      <c r="E57" s="21"/>
      <c r="F57" s="21"/>
      <c r="G57" s="21"/>
      <c r="H57" s="115" t="n">
        <v>2</v>
      </c>
      <c r="I57" s="116"/>
      <c r="J57" s="117" t="n">
        <f aca="false">H57*I57/12</f>
        <v>0</v>
      </c>
    </row>
    <row r="58" customFormat="false" ht="12.75" hidden="false" customHeight="true" outlineLevel="0" collapsed="false">
      <c r="A58" s="19" t="s">
        <v>434</v>
      </c>
      <c r="B58" s="111" t="s">
        <v>407</v>
      </c>
      <c r="C58" s="111"/>
      <c r="D58" s="111"/>
      <c r="E58" s="111"/>
      <c r="F58" s="111"/>
      <c r="G58" s="111"/>
      <c r="H58" s="115" t="n">
        <v>2</v>
      </c>
      <c r="I58" s="116"/>
      <c r="J58" s="117" t="n">
        <f aca="false">H58*I58/12</f>
        <v>0</v>
      </c>
    </row>
    <row r="59" customFormat="false" ht="12.75" hidden="false" customHeight="true" outlineLevel="0" collapsed="false">
      <c r="A59" s="30" t="s">
        <v>412</v>
      </c>
      <c r="B59" s="31" t="s">
        <v>435</v>
      </c>
      <c r="C59" s="31"/>
      <c r="D59" s="31"/>
      <c r="E59" s="31"/>
      <c r="F59" s="31"/>
      <c r="G59" s="31"/>
      <c r="H59" s="31"/>
      <c r="I59" s="31"/>
      <c r="J59" s="31"/>
    </row>
    <row r="60" customFormat="false" ht="12.75" hidden="true" customHeight="true" outlineLevel="0" collapsed="false">
      <c r="A60" s="30" t="s">
        <v>414</v>
      </c>
      <c r="B60" s="31" t="s">
        <v>436</v>
      </c>
      <c r="C60" s="31"/>
      <c r="D60" s="31"/>
      <c r="E60" s="31"/>
      <c r="F60" s="31"/>
      <c r="G60" s="31"/>
      <c r="H60" s="31"/>
      <c r="I60" s="31"/>
      <c r="J60" s="31"/>
    </row>
    <row r="61" customFormat="false" ht="12.75" hidden="false" customHeight="true" outlineLevel="0" collapsed="false">
      <c r="A61" s="30" t="s">
        <v>364</v>
      </c>
      <c r="B61" s="31" t="s">
        <v>437</v>
      </c>
      <c r="C61" s="31"/>
      <c r="D61" s="31"/>
      <c r="E61" s="31"/>
      <c r="F61" s="31"/>
      <c r="G61" s="31"/>
      <c r="H61" s="31"/>
      <c r="I61" s="31"/>
      <c r="J61" s="31"/>
    </row>
    <row r="62" customFormat="false" ht="12.75" hidden="false" customHeight="true" outlineLevel="0" collapsed="false">
      <c r="A62" s="19" t="s">
        <v>438</v>
      </c>
      <c r="B62" s="21" t="s">
        <v>418</v>
      </c>
      <c r="C62" s="21"/>
      <c r="D62" s="21"/>
      <c r="E62" s="21"/>
      <c r="F62" s="21"/>
      <c r="G62" s="21"/>
      <c r="H62" s="110" t="n">
        <f aca="false">IF('DI, Tri e Pag'!$H$12:$J$12='DI, Tri e Pag'!$L$12,-('DI, Tri e Pag'!$H$23+'DI, Tri e Pag'!$H$24)*SUM(J53:J58),0)</f>
        <v>0</v>
      </c>
      <c r="I62" s="110"/>
      <c r="J62" s="110"/>
    </row>
    <row r="63" customFormat="false" ht="41.25" hidden="false" customHeight="true" outlineLevel="0" collapsed="false">
      <c r="A63" s="30" t="s">
        <v>419</v>
      </c>
      <c r="B63" s="31" t="str">
        <f aca="false">B46</f>
        <v>Calculado apenas quando o regime de incidência da contribuição para o PIS/COFINS for não cumulativo. Neste regime é permitido o desconto de créditos apurados com base em custos, despesas e encargos sociais. Fundamentação: Lei 10637/2002 e Lei 10.833/2003</v>
      </c>
      <c r="C63" s="31"/>
      <c r="D63" s="31"/>
      <c r="E63" s="31"/>
      <c r="F63" s="31"/>
      <c r="G63" s="31"/>
      <c r="H63" s="31"/>
      <c r="I63" s="31"/>
      <c r="J63" s="31"/>
    </row>
    <row r="64" customFormat="false" ht="12.75" hidden="false" customHeight="false" outlineLevel="0" collapsed="false">
      <c r="A64" s="16" t="str">
        <f aca="false">"Total do "&amp;A51</f>
        <v>Total do Modulo 3</v>
      </c>
      <c r="B64" s="16"/>
      <c r="C64" s="16"/>
      <c r="D64" s="16"/>
      <c r="E64" s="16"/>
      <c r="F64" s="16"/>
      <c r="G64" s="16"/>
      <c r="H64" s="112" t="n">
        <f aca="false">SUM(J53:J58,H62)</f>
        <v>0</v>
      </c>
      <c r="I64" s="112"/>
      <c r="J64" s="112"/>
    </row>
    <row r="66" customFormat="false" ht="15" hidden="false" customHeight="true" outlineLevel="0" collapsed="false">
      <c r="A66" s="103" t="s">
        <v>447</v>
      </c>
      <c r="B66" s="104" t="s">
        <v>448</v>
      </c>
      <c r="C66" s="104"/>
      <c r="D66" s="104"/>
      <c r="E66" s="104"/>
      <c r="F66" s="104"/>
      <c r="G66" s="104"/>
      <c r="H66" s="104"/>
      <c r="I66" s="104"/>
      <c r="J66" s="104"/>
    </row>
    <row r="67" customFormat="false" ht="12.75" hidden="false" customHeight="true" outlineLevel="0" collapsed="false">
      <c r="A67" s="16" t="s">
        <v>449</v>
      </c>
      <c r="B67" s="105" t="s">
        <v>450</v>
      </c>
      <c r="C67" s="105"/>
      <c r="D67" s="105"/>
      <c r="E67" s="105"/>
      <c r="F67" s="105"/>
      <c r="G67" s="105"/>
      <c r="H67" s="122" t="s">
        <v>75</v>
      </c>
      <c r="I67" s="106" t="s">
        <v>399</v>
      </c>
      <c r="J67" s="106"/>
    </row>
    <row r="68" customFormat="false" ht="12.75" hidden="false" customHeight="true" outlineLevel="0" collapsed="false">
      <c r="A68" s="19" t="s">
        <v>400</v>
      </c>
      <c r="B68" s="21" t="s">
        <v>451</v>
      </c>
      <c r="C68" s="21"/>
      <c r="D68" s="21"/>
      <c r="E68" s="21"/>
      <c r="F68" s="21"/>
      <c r="G68" s="21"/>
      <c r="H68" s="123" t="n">
        <v>0.2</v>
      </c>
      <c r="I68" s="124" t="n">
        <f aca="false">H68*$H$37</f>
        <v>268.2</v>
      </c>
      <c r="J68" s="124"/>
    </row>
    <row r="69" customFormat="false" ht="12.75" hidden="false" customHeight="true" outlineLevel="0" collapsed="false">
      <c r="A69" s="30" t="s">
        <v>108</v>
      </c>
      <c r="B69" s="31" t="s">
        <v>452</v>
      </c>
      <c r="C69" s="31"/>
      <c r="D69" s="31"/>
      <c r="E69" s="31"/>
      <c r="F69" s="31"/>
      <c r="G69" s="31"/>
      <c r="H69" s="31"/>
      <c r="I69" s="31"/>
      <c r="J69" s="31"/>
    </row>
    <row r="70" customFormat="false" ht="12.75" hidden="false" customHeight="true" outlineLevel="0" collapsed="false">
      <c r="A70" s="19" t="s">
        <v>403</v>
      </c>
      <c r="B70" s="21" t="s">
        <v>453</v>
      </c>
      <c r="C70" s="21"/>
      <c r="D70" s="21"/>
      <c r="E70" s="21"/>
      <c r="F70" s="21"/>
      <c r="G70" s="21"/>
      <c r="H70" s="123" t="n">
        <f aca="false">IF('DI, Tri e Pag'!$H$14:$J$14='DI, Tri e Pag'!$L$14,0.015,0)</f>
        <v>0.015</v>
      </c>
      <c r="I70" s="124" t="n">
        <f aca="false">H70*$H$37</f>
        <v>20.115</v>
      </c>
      <c r="J70" s="124"/>
    </row>
    <row r="71" customFormat="false" ht="12.75" hidden="false" customHeight="true" outlineLevel="0" collapsed="false">
      <c r="A71" s="30" t="s">
        <v>412</v>
      </c>
      <c r="B71" s="31" t="s">
        <v>454</v>
      </c>
      <c r="C71" s="31"/>
      <c r="D71" s="31"/>
      <c r="E71" s="31"/>
      <c r="F71" s="31"/>
      <c r="G71" s="31"/>
      <c r="H71" s="31"/>
      <c r="I71" s="31"/>
      <c r="J71" s="31"/>
    </row>
    <row r="72" customFormat="false" ht="12.75" hidden="false" customHeight="true" outlineLevel="0" collapsed="false">
      <c r="A72" s="30" t="s">
        <v>414</v>
      </c>
      <c r="B72" s="125" t="s">
        <v>455</v>
      </c>
      <c r="C72" s="125"/>
      <c r="D72" s="125"/>
      <c r="E72" s="125"/>
      <c r="F72" s="125"/>
      <c r="G72" s="125"/>
      <c r="H72" s="125"/>
      <c r="I72" s="125"/>
      <c r="J72" s="125"/>
    </row>
    <row r="73" customFormat="false" ht="12.75" hidden="false" customHeight="true" outlineLevel="0" collapsed="false">
      <c r="A73" s="19" t="s">
        <v>406</v>
      </c>
      <c r="B73" s="21" t="s">
        <v>456</v>
      </c>
      <c r="C73" s="21"/>
      <c r="D73" s="21"/>
      <c r="E73" s="21"/>
      <c r="F73" s="21"/>
      <c r="G73" s="21"/>
      <c r="H73" s="123" t="n">
        <f aca="false">IF('DI, Tri e Pag'!$H$14:$J$14='DI, Tri e Pag'!$L$14,0.01,0)</f>
        <v>0.01</v>
      </c>
      <c r="I73" s="124" t="n">
        <f aca="false">H73*$H$37</f>
        <v>13.41</v>
      </c>
      <c r="J73" s="124"/>
    </row>
    <row r="74" customFormat="false" ht="12.75" hidden="false" customHeight="true" outlineLevel="0" collapsed="false">
      <c r="A74" s="30" t="s">
        <v>412</v>
      </c>
      <c r="B74" s="31" t="s">
        <v>457</v>
      </c>
      <c r="C74" s="31"/>
      <c r="D74" s="31"/>
      <c r="E74" s="31"/>
      <c r="F74" s="31"/>
      <c r="G74" s="31"/>
      <c r="H74" s="31"/>
      <c r="I74" s="31"/>
      <c r="J74" s="31"/>
    </row>
    <row r="75" customFormat="false" ht="12.75" hidden="false" customHeight="true" outlineLevel="0" collapsed="false">
      <c r="A75" s="30" t="s">
        <v>414</v>
      </c>
      <c r="B75" s="125" t="s">
        <v>455</v>
      </c>
      <c r="C75" s="125"/>
      <c r="D75" s="125"/>
      <c r="E75" s="125"/>
      <c r="F75" s="125"/>
      <c r="G75" s="125"/>
      <c r="H75" s="125"/>
      <c r="I75" s="125"/>
      <c r="J75" s="125"/>
    </row>
    <row r="76" customFormat="false" ht="12.75" hidden="false" customHeight="true" outlineLevel="0" collapsed="false">
      <c r="A76" s="19" t="s">
        <v>430</v>
      </c>
      <c r="B76" s="21" t="s">
        <v>458</v>
      </c>
      <c r="C76" s="21"/>
      <c r="D76" s="21"/>
      <c r="E76" s="21"/>
      <c r="F76" s="21"/>
      <c r="G76" s="21"/>
      <c r="H76" s="123" t="n">
        <f aca="false">IF('DI, Tri e Pag'!$H$14:$J$14='DI, Tri e Pag'!$L$14,0.002,0)</f>
        <v>0.002</v>
      </c>
      <c r="I76" s="124" t="n">
        <f aca="false">H76*$H$37</f>
        <v>2.682</v>
      </c>
      <c r="J76" s="124"/>
    </row>
    <row r="77" customFormat="false" ht="12.75" hidden="false" customHeight="true" outlineLevel="0" collapsed="false">
      <c r="A77" s="30" t="s">
        <v>412</v>
      </c>
      <c r="B77" s="31" t="s">
        <v>459</v>
      </c>
      <c r="C77" s="31"/>
      <c r="D77" s="31"/>
      <c r="E77" s="31"/>
      <c r="F77" s="31"/>
      <c r="G77" s="31"/>
      <c r="H77" s="31"/>
      <c r="I77" s="31"/>
      <c r="J77" s="31"/>
    </row>
    <row r="78" customFormat="false" ht="12.75" hidden="false" customHeight="true" outlineLevel="0" collapsed="false">
      <c r="A78" s="30" t="s">
        <v>414</v>
      </c>
      <c r="B78" s="125" t="s">
        <v>455</v>
      </c>
      <c r="C78" s="125"/>
      <c r="D78" s="125"/>
      <c r="E78" s="125"/>
      <c r="F78" s="125"/>
      <c r="G78" s="125"/>
      <c r="H78" s="125"/>
      <c r="I78" s="125"/>
      <c r="J78" s="125"/>
    </row>
    <row r="79" customFormat="false" ht="12.75" hidden="false" customHeight="true" outlineLevel="0" collapsed="false">
      <c r="A79" s="19" t="s">
        <v>432</v>
      </c>
      <c r="B79" s="21" t="s">
        <v>460</v>
      </c>
      <c r="C79" s="21"/>
      <c r="D79" s="21"/>
      <c r="E79" s="21"/>
      <c r="F79" s="21"/>
      <c r="G79" s="21"/>
      <c r="H79" s="123" t="n">
        <f aca="false">IF('DI, Tri e Pag'!$H$14:$J$14='DI, Tri e Pag'!$L$14,0.025,0)</f>
        <v>0.025</v>
      </c>
      <c r="I79" s="124" t="n">
        <f aca="false">H79*$H$37</f>
        <v>33.525</v>
      </c>
      <c r="J79" s="124"/>
    </row>
    <row r="80" customFormat="false" ht="31.5" hidden="false" customHeight="true" outlineLevel="0" collapsed="false">
      <c r="A80" s="30" t="s">
        <v>412</v>
      </c>
      <c r="B80" s="31" t="s">
        <v>461</v>
      </c>
      <c r="C80" s="31"/>
      <c r="D80" s="31"/>
      <c r="E80" s="31"/>
      <c r="F80" s="31"/>
      <c r="G80" s="31"/>
      <c r="H80" s="31"/>
      <c r="I80" s="31"/>
      <c r="J80" s="31"/>
    </row>
    <row r="81" customFormat="false" ht="12.75" hidden="false" customHeight="true" outlineLevel="0" collapsed="false">
      <c r="A81" s="30" t="s">
        <v>414</v>
      </c>
      <c r="B81" s="125" t="s">
        <v>455</v>
      </c>
      <c r="C81" s="125"/>
      <c r="D81" s="125"/>
      <c r="E81" s="125"/>
      <c r="F81" s="125"/>
      <c r="G81" s="125"/>
      <c r="H81" s="125"/>
      <c r="I81" s="125"/>
      <c r="J81" s="125"/>
    </row>
    <row r="82" customFormat="false" ht="12.75" hidden="false" customHeight="true" outlineLevel="0" collapsed="false">
      <c r="A82" s="19" t="s">
        <v>434</v>
      </c>
      <c r="B82" s="21" t="s">
        <v>462</v>
      </c>
      <c r="C82" s="21"/>
      <c r="D82" s="21"/>
      <c r="E82" s="21"/>
      <c r="F82" s="21"/>
      <c r="G82" s="21"/>
      <c r="H82" s="123" t="n">
        <v>0.08</v>
      </c>
      <c r="I82" s="124" t="n">
        <f aca="false">H82*$H$37</f>
        <v>107.28</v>
      </c>
      <c r="J82" s="124"/>
    </row>
    <row r="83" customFormat="false" ht="55.5" hidden="false" customHeight="true" outlineLevel="0" collapsed="false">
      <c r="A83" s="30" t="s">
        <v>108</v>
      </c>
      <c r="B83" s="31" t="s">
        <v>463</v>
      </c>
      <c r="C83" s="31"/>
      <c r="D83" s="31"/>
      <c r="E83" s="31"/>
      <c r="F83" s="31"/>
      <c r="G83" s="31"/>
      <c r="H83" s="31"/>
      <c r="I83" s="31"/>
      <c r="J83" s="31"/>
    </row>
    <row r="84" customFormat="false" ht="12.75" hidden="false" customHeight="true" outlineLevel="0" collapsed="false">
      <c r="A84" s="19" t="s">
        <v>438</v>
      </c>
      <c r="B84" s="21" t="s">
        <v>464</v>
      </c>
      <c r="C84" s="21"/>
      <c r="D84" s="21"/>
      <c r="E84" s="21"/>
      <c r="F84" s="21"/>
      <c r="G84" s="21"/>
      <c r="H84" s="126" t="n">
        <v>0.03</v>
      </c>
      <c r="I84" s="124" t="n">
        <f aca="false">H84*$H$37</f>
        <v>40.23</v>
      </c>
      <c r="J84" s="124"/>
    </row>
    <row r="85" customFormat="false" ht="33" hidden="false" customHeight="true" outlineLevel="0" collapsed="false">
      <c r="A85" s="108" t="s">
        <v>108</v>
      </c>
      <c r="B85" s="109" t="s">
        <v>465</v>
      </c>
      <c r="C85" s="109"/>
      <c r="D85" s="109"/>
      <c r="E85" s="109"/>
      <c r="F85" s="109"/>
      <c r="G85" s="109"/>
      <c r="H85" s="109"/>
      <c r="I85" s="109"/>
      <c r="J85" s="109"/>
    </row>
    <row r="86" customFormat="false" ht="12.75" hidden="false" customHeight="true" outlineLevel="0" collapsed="false">
      <c r="A86" s="108" t="s">
        <v>364</v>
      </c>
      <c r="B86" s="109" t="s">
        <v>466</v>
      </c>
      <c r="C86" s="109"/>
      <c r="D86" s="109"/>
      <c r="E86" s="109"/>
      <c r="F86" s="109"/>
      <c r="G86" s="109"/>
      <c r="H86" s="109"/>
      <c r="I86" s="109"/>
      <c r="J86" s="109"/>
    </row>
    <row r="87" customFormat="false" ht="12.75" hidden="false" customHeight="true" outlineLevel="0" collapsed="false">
      <c r="A87" s="19" t="s">
        <v>467</v>
      </c>
      <c r="B87" s="21" t="s">
        <v>468</v>
      </c>
      <c r="C87" s="21"/>
      <c r="D87" s="21"/>
      <c r="E87" s="21"/>
      <c r="F87" s="21"/>
      <c r="G87" s="21"/>
      <c r="H87" s="123" t="n">
        <f aca="false">IF('DI, Tri e Pag'!$H$14:$J$14='DI, Tri e Pag'!$L$14,0.006,0)</f>
        <v>0.006</v>
      </c>
      <c r="I87" s="124" t="n">
        <f aca="false">H87*$H$37</f>
        <v>8.046</v>
      </c>
      <c r="J87" s="124"/>
    </row>
    <row r="88" customFormat="false" ht="12.75" hidden="false" customHeight="true" outlineLevel="0" collapsed="false">
      <c r="A88" s="30" t="s">
        <v>108</v>
      </c>
      <c r="B88" s="31" t="s">
        <v>469</v>
      </c>
      <c r="C88" s="31"/>
      <c r="D88" s="31"/>
      <c r="E88" s="31"/>
      <c r="F88" s="31"/>
      <c r="G88" s="31"/>
      <c r="H88" s="31"/>
      <c r="I88" s="31"/>
      <c r="J88" s="31"/>
    </row>
    <row r="89" customFormat="false" ht="12.75" hidden="false" customHeight="true" outlineLevel="0" collapsed="false">
      <c r="A89" s="30" t="s">
        <v>414</v>
      </c>
      <c r="B89" s="125" t="s">
        <v>455</v>
      </c>
      <c r="C89" s="125"/>
      <c r="D89" s="125"/>
      <c r="E89" s="125"/>
      <c r="F89" s="125"/>
      <c r="G89" s="125"/>
      <c r="H89" s="125"/>
      <c r="I89" s="125"/>
      <c r="J89" s="125"/>
    </row>
    <row r="90" customFormat="false" ht="12.75" hidden="false" customHeight="false" outlineLevel="0" collapsed="false">
      <c r="A90" s="16" t="str">
        <f aca="false">"Total do Sobmódulo "&amp;A67</f>
        <v>Total do Sobmódulo 4.1</v>
      </c>
      <c r="B90" s="16"/>
      <c r="C90" s="16"/>
      <c r="D90" s="16"/>
      <c r="E90" s="16"/>
      <c r="F90" s="16"/>
      <c r="G90" s="16"/>
      <c r="H90" s="127" t="n">
        <f aca="false">SUM(H68,H70,H73,H76,H79,H82,H84,H87)</f>
        <v>0.368</v>
      </c>
      <c r="I90" s="128" t="n">
        <f aca="false">SUM(I68,I70,I73,I76,I79,I82,I84,I87)</f>
        <v>493.488</v>
      </c>
      <c r="J90" s="128"/>
      <c r="K90" s="129"/>
    </row>
    <row r="92" customFormat="false" ht="12.75" hidden="false" customHeight="true" outlineLevel="0" collapsed="false">
      <c r="A92" s="16" t="s">
        <v>470</v>
      </c>
      <c r="B92" s="105" t="s">
        <v>471</v>
      </c>
      <c r="C92" s="105"/>
      <c r="D92" s="105"/>
      <c r="E92" s="105"/>
      <c r="F92" s="105"/>
      <c r="G92" s="105"/>
      <c r="H92" s="122" t="s">
        <v>75</v>
      </c>
      <c r="I92" s="106" t="s">
        <v>399</v>
      </c>
      <c r="J92" s="106"/>
    </row>
    <row r="93" customFormat="false" ht="12.75" hidden="false" customHeight="true" outlineLevel="0" collapsed="false">
      <c r="A93" s="19" t="s">
        <v>400</v>
      </c>
      <c r="B93" s="21" t="s">
        <v>471</v>
      </c>
      <c r="C93" s="21"/>
      <c r="D93" s="21"/>
      <c r="E93" s="21"/>
      <c r="F93" s="21"/>
      <c r="G93" s="21"/>
      <c r="H93" s="123" t="n">
        <f aca="false">1/12</f>
        <v>0.0833333333333333</v>
      </c>
      <c r="I93" s="130" t="n">
        <f aca="false">$H$37*H93</f>
        <v>111.75</v>
      </c>
      <c r="J93" s="130"/>
    </row>
    <row r="94" customFormat="false" ht="27" hidden="false" customHeight="true" outlineLevel="0" collapsed="false">
      <c r="A94" s="30" t="s">
        <v>108</v>
      </c>
      <c r="B94" s="31" t="s">
        <v>472</v>
      </c>
      <c r="C94" s="31"/>
      <c r="D94" s="31"/>
      <c r="E94" s="31"/>
      <c r="F94" s="31"/>
      <c r="G94" s="31"/>
      <c r="H94" s="31"/>
      <c r="I94" s="31"/>
      <c r="J94" s="31"/>
    </row>
    <row r="95" customFormat="false" ht="12.75" hidden="false" customHeight="true" outlineLevel="0" collapsed="false">
      <c r="A95" s="30" t="s">
        <v>364</v>
      </c>
      <c r="B95" s="31" t="s">
        <v>473</v>
      </c>
      <c r="C95" s="31"/>
      <c r="D95" s="31"/>
      <c r="E95" s="31"/>
      <c r="F95" s="31"/>
      <c r="G95" s="31"/>
      <c r="H95" s="31"/>
      <c r="I95" s="31"/>
      <c r="J95" s="31"/>
    </row>
    <row r="96" customFormat="false" ht="12.75" hidden="false" customHeight="false" outlineLevel="0" collapsed="false">
      <c r="A96" s="19" t="s">
        <v>403</v>
      </c>
      <c r="B96" s="21" t="str">
        <f aca="false">"Incidência do Submódulo "&amp;$A$67&amp;" sobre "&amp;B92</f>
        <v>Incidência do Submódulo 4.1 sobre 13º Salário</v>
      </c>
      <c r="C96" s="21"/>
      <c r="D96" s="21"/>
      <c r="E96" s="21"/>
      <c r="F96" s="21"/>
      <c r="G96" s="21"/>
      <c r="H96" s="123" t="n">
        <f aca="false">$H$90</f>
        <v>0.368</v>
      </c>
      <c r="I96" s="130" t="n">
        <f aca="false">I93*H96</f>
        <v>41.124</v>
      </c>
      <c r="J96" s="130"/>
      <c r="L96" s="131"/>
    </row>
    <row r="97" customFormat="false" ht="12.75" hidden="false" customHeight="false" outlineLevel="0" collapsed="false">
      <c r="A97" s="30" t="s">
        <v>108</v>
      </c>
      <c r="B97" s="31" t="str">
        <f aca="false">"Aplicar percentual do submódulo "&amp;$A$67&amp;" sobre o "&amp;B92</f>
        <v>Aplicar percentual do submódulo 4.1 sobre o 13º Salário</v>
      </c>
      <c r="C97" s="31"/>
      <c r="D97" s="31"/>
      <c r="E97" s="31"/>
      <c r="F97" s="31"/>
      <c r="G97" s="31"/>
      <c r="H97" s="31"/>
      <c r="I97" s="31"/>
      <c r="J97" s="31"/>
    </row>
    <row r="98" customFormat="false" ht="12.75" hidden="false" customHeight="false" outlineLevel="0" collapsed="false">
      <c r="A98" s="16" t="str">
        <f aca="false">"Total do Sobmódulo "&amp;A92</f>
        <v>Total do Sobmódulo 4.2</v>
      </c>
      <c r="B98" s="16"/>
      <c r="C98" s="16"/>
      <c r="D98" s="16"/>
      <c r="E98" s="16"/>
      <c r="F98" s="16"/>
      <c r="G98" s="16"/>
      <c r="H98" s="127" t="n">
        <f aca="false">H93+H93*H96</f>
        <v>0.114</v>
      </c>
      <c r="I98" s="128" t="n">
        <f aca="false">SUM(I93+I96)</f>
        <v>152.874</v>
      </c>
      <c r="J98" s="128"/>
      <c r="K98" s="129"/>
    </row>
    <row r="100" customFormat="false" ht="12.75" hidden="false" customHeight="true" outlineLevel="0" collapsed="false">
      <c r="A100" s="16" t="s">
        <v>474</v>
      </c>
      <c r="B100" s="105" t="s">
        <v>475</v>
      </c>
      <c r="C100" s="105"/>
      <c r="D100" s="105"/>
      <c r="E100" s="105"/>
      <c r="F100" s="105"/>
      <c r="G100" s="105"/>
      <c r="H100" s="122" t="s">
        <v>75</v>
      </c>
      <c r="I100" s="106" t="s">
        <v>399</v>
      </c>
      <c r="J100" s="106"/>
    </row>
    <row r="101" customFormat="false" ht="12.75" hidden="false" customHeight="false" outlineLevel="0" collapsed="false">
      <c r="A101" s="19" t="s">
        <v>400</v>
      </c>
      <c r="B101" s="21" t="str">
        <f aca="false">B100</f>
        <v>Afastamento Maternidade</v>
      </c>
      <c r="C101" s="21"/>
      <c r="D101" s="21"/>
      <c r="E101" s="21"/>
      <c r="F101" s="21"/>
      <c r="G101" s="21"/>
      <c r="H101" s="126" t="n">
        <f aca="false">(1+(1/3))*(4/12)*0.4445*0.0731/12</f>
        <v>0.00120344259259259</v>
      </c>
      <c r="I101" s="130" t="n">
        <f aca="false">$H$37*H101</f>
        <v>1.61381651666667</v>
      </c>
      <c r="J101" s="130"/>
    </row>
    <row r="102" customFormat="false" ht="91.5" hidden="false" customHeight="true" outlineLevel="0" collapsed="false">
      <c r="A102" s="108" t="s">
        <v>476</v>
      </c>
      <c r="B102" s="109" t="s">
        <v>477</v>
      </c>
      <c r="C102" s="109"/>
      <c r="D102" s="109"/>
      <c r="E102" s="109"/>
      <c r="F102" s="109"/>
      <c r="G102" s="109"/>
      <c r="H102" s="109"/>
      <c r="I102" s="109"/>
      <c r="J102" s="109"/>
    </row>
    <row r="103" customFormat="false" ht="76.5" hidden="false" customHeight="true" outlineLevel="0" collapsed="false">
      <c r="A103" s="108" t="s">
        <v>478</v>
      </c>
      <c r="B103" s="109" t="s">
        <v>479</v>
      </c>
      <c r="C103" s="109"/>
      <c r="D103" s="109"/>
      <c r="E103" s="109"/>
      <c r="F103" s="109"/>
      <c r="G103" s="109"/>
      <c r="H103" s="109"/>
      <c r="I103" s="109"/>
      <c r="J103" s="109"/>
    </row>
    <row r="104" customFormat="false" ht="31.5" hidden="false" customHeight="true" outlineLevel="0" collapsed="false">
      <c r="A104" s="108" t="s">
        <v>364</v>
      </c>
      <c r="B104" s="109" t="s">
        <v>480</v>
      </c>
      <c r="C104" s="109"/>
      <c r="D104" s="109"/>
      <c r="E104" s="109"/>
      <c r="F104" s="109"/>
      <c r="G104" s="109"/>
      <c r="H104" s="109"/>
      <c r="I104" s="109"/>
      <c r="J104" s="109"/>
    </row>
    <row r="105" customFormat="false" ht="12.75" hidden="false" customHeight="false" outlineLevel="0" collapsed="false">
      <c r="A105" s="19" t="s">
        <v>403</v>
      </c>
      <c r="B105" s="21" t="str">
        <f aca="false">"Incidência do Submódulo "&amp;$A$67&amp;" sobre "&amp;B100</f>
        <v>Incidência do Submódulo 4.1 sobre Afastamento Maternidade</v>
      </c>
      <c r="C105" s="21"/>
      <c r="D105" s="21"/>
      <c r="E105" s="21"/>
      <c r="F105" s="21"/>
      <c r="G105" s="21"/>
      <c r="H105" s="123" t="n">
        <f aca="false">$H$90</f>
        <v>0.368</v>
      </c>
      <c r="I105" s="130" t="n">
        <f aca="false">I101*H105</f>
        <v>0.593884478133334</v>
      </c>
      <c r="J105" s="130"/>
      <c r="L105" s="131"/>
    </row>
    <row r="106" customFormat="false" ht="12.75" hidden="false" customHeight="false" outlineLevel="0" collapsed="false">
      <c r="A106" s="30" t="s">
        <v>108</v>
      </c>
      <c r="B106" s="31" t="str">
        <f aca="false">"Aplicar percentual do submódulo "&amp;$A$67&amp;" sobre o "&amp;B100</f>
        <v>Aplicar percentual do submódulo 4.1 sobre o Afastamento Maternidade</v>
      </c>
      <c r="C106" s="31"/>
      <c r="D106" s="31"/>
      <c r="E106" s="31"/>
      <c r="F106" s="31"/>
      <c r="G106" s="31"/>
      <c r="H106" s="31"/>
      <c r="I106" s="31"/>
      <c r="J106" s="31"/>
    </row>
    <row r="107" customFormat="false" ht="12.75" hidden="false" customHeight="false" outlineLevel="0" collapsed="false">
      <c r="A107" s="16" t="str">
        <f aca="false">"Total do Sobmódulo "&amp;A100</f>
        <v>Total do Sobmódulo 4.3</v>
      </c>
      <c r="B107" s="16"/>
      <c r="C107" s="16"/>
      <c r="D107" s="16"/>
      <c r="E107" s="16"/>
      <c r="F107" s="16"/>
      <c r="G107" s="16"/>
      <c r="H107" s="127" t="n">
        <f aca="false">H101+H101*H105</f>
        <v>0.00164630946666667</v>
      </c>
      <c r="I107" s="128" t="n">
        <f aca="false">SUM(I101+I105)</f>
        <v>2.2077009948</v>
      </c>
      <c r="J107" s="128"/>
      <c r="K107" s="129"/>
    </row>
    <row r="109" customFormat="false" ht="12.75" hidden="false" customHeight="true" outlineLevel="0" collapsed="false">
      <c r="A109" s="16" t="s">
        <v>481</v>
      </c>
      <c r="B109" s="105" t="s">
        <v>482</v>
      </c>
      <c r="C109" s="105"/>
      <c r="D109" s="105"/>
      <c r="E109" s="105"/>
      <c r="F109" s="105"/>
      <c r="G109" s="105"/>
      <c r="H109" s="122" t="s">
        <v>75</v>
      </c>
      <c r="I109" s="106" t="s">
        <v>399</v>
      </c>
      <c r="J109" s="106"/>
    </row>
    <row r="110" customFormat="false" ht="12.75" hidden="false" customHeight="true" outlineLevel="0" collapsed="false">
      <c r="A110" s="19" t="s">
        <v>400</v>
      </c>
      <c r="B110" s="21" t="s">
        <v>483</v>
      </c>
      <c r="C110" s="21"/>
      <c r="D110" s="21"/>
      <c r="E110" s="21"/>
      <c r="F110" s="21"/>
      <c r="G110" s="21"/>
      <c r="H110" s="126" t="n">
        <f aca="false">(1/12)*0.55*0.9</f>
        <v>0.04125</v>
      </c>
      <c r="I110" s="130" t="n">
        <f aca="false">$H$37*H110</f>
        <v>55.31625</v>
      </c>
      <c r="J110" s="130"/>
      <c r="K110" s="113"/>
    </row>
    <row r="111" customFormat="false" ht="39.75" hidden="false" customHeight="true" outlineLevel="0" collapsed="false">
      <c r="A111" s="108" t="s">
        <v>412</v>
      </c>
      <c r="B111" s="109" t="s">
        <v>484</v>
      </c>
      <c r="C111" s="109"/>
      <c r="D111" s="109"/>
      <c r="E111" s="109"/>
      <c r="F111" s="109"/>
      <c r="G111" s="109"/>
      <c r="H111" s="109"/>
      <c r="I111" s="109"/>
      <c r="J111" s="109"/>
    </row>
    <row r="112" customFormat="false" ht="40.5" hidden="false" customHeight="true" outlineLevel="0" collapsed="false">
      <c r="A112" s="108" t="s">
        <v>414</v>
      </c>
      <c r="B112" s="109" t="s">
        <v>485</v>
      </c>
      <c r="C112" s="109"/>
      <c r="D112" s="109"/>
      <c r="E112" s="109"/>
      <c r="F112" s="109"/>
      <c r="G112" s="109"/>
      <c r="H112" s="109"/>
      <c r="I112" s="109"/>
      <c r="J112" s="109"/>
    </row>
    <row r="113" customFormat="false" ht="12.75" hidden="false" customHeight="true" outlineLevel="0" collapsed="false">
      <c r="A113" s="108" t="s">
        <v>486</v>
      </c>
      <c r="B113" s="109" t="s">
        <v>487</v>
      </c>
      <c r="C113" s="109"/>
      <c r="D113" s="109"/>
      <c r="E113" s="109"/>
      <c r="F113" s="109"/>
      <c r="G113" s="109"/>
      <c r="H113" s="109"/>
      <c r="I113" s="109"/>
      <c r="J113" s="109"/>
    </row>
    <row r="114" customFormat="false" ht="32.25" hidden="false" customHeight="true" outlineLevel="0" collapsed="false">
      <c r="A114" s="108" t="s">
        <v>364</v>
      </c>
      <c r="B114" s="109" t="s">
        <v>488</v>
      </c>
      <c r="C114" s="109"/>
      <c r="D114" s="109"/>
      <c r="E114" s="109"/>
      <c r="F114" s="109"/>
      <c r="G114" s="109"/>
      <c r="H114" s="109"/>
      <c r="I114" s="109"/>
      <c r="J114" s="109"/>
    </row>
    <row r="115" customFormat="false" ht="12.75" hidden="false" customHeight="false" outlineLevel="0" collapsed="false">
      <c r="A115" s="19" t="s">
        <v>403</v>
      </c>
      <c r="B115" s="21" t="str">
        <f aca="false">"Incidência do FGTS sobre o "&amp;B110</f>
        <v>Incidência do FGTS sobre o Aviso prévio indenizado</v>
      </c>
      <c r="C115" s="21"/>
      <c r="D115" s="21"/>
      <c r="E115" s="21"/>
      <c r="F115" s="21"/>
      <c r="G115" s="21"/>
      <c r="H115" s="123" t="n">
        <f aca="false">H82</f>
        <v>0.08</v>
      </c>
      <c r="I115" s="130" t="n">
        <f aca="false">I110*H115</f>
        <v>4.4253</v>
      </c>
      <c r="J115" s="130"/>
      <c r="K115" s="113"/>
    </row>
    <row r="116" customFormat="false" ht="12.75" hidden="false" customHeight="false" outlineLevel="0" collapsed="false">
      <c r="A116" s="30" t="s">
        <v>108</v>
      </c>
      <c r="B116" s="31" t="str">
        <f aca="false">"Aplicar percentual do FGTS sobre o "&amp;B110</f>
        <v>Aplicar percentual do FGTS sobre o Aviso prévio indenizado</v>
      </c>
      <c r="C116" s="31"/>
      <c r="D116" s="31"/>
      <c r="E116" s="31"/>
      <c r="F116" s="31"/>
      <c r="G116" s="31"/>
      <c r="H116" s="31"/>
      <c r="I116" s="31"/>
      <c r="J116" s="31"/>
    </row>
    <row r="117" customFormat="false" ht="12.75" hidden="false" customHeight="true" outlineLevel="0" collapsed="false">
      <c r="A117" s="19" t="s">
        <v>406</v>
      </c>
      <c r="B117" s="21" t="s">
        <v>489</v>
      </c>
      <c r="C117" s="21"/>
      <c r="D117" s="21"/>
      <c r="E117" s="21"/>
      <c r="F117" s="21"/>
      <c r="G117" s="21"/>
      <c r="H117" s="126" t="n">
        <f aca="false">0.4*$H$82*0.55*0.9+0.1*$H$82*0.55*0.9</f>
        <v>0.0198</v>
      </c>
      <c r="I117" s="130" t="n">
        <f aca="false">H117*$H$37</f>
        <v>26.5518</v>
      </c>
      <c r="J117" s="130"/>
      <c r="K117" s="113"/>
    </row>
    <row r="118" customFormat="false" ht="28.5" hidden="false" customHeight="true" outlineLevel="0" collapsed="false">
      <c r="A118" s="108" t="s">
        <v>108</v>
      </c>
      <c r="B118" s="109" t="s">
        <v>490</v>
      </c>
      <c r="C118" s="109"/>
      <c r="D118" s="109"/>
      <c r="E118" s="109"/>
      <c r="F118" s="109"/>
      <c r="G118" s="109"/>
      <c r="H118" s="109"/>
      <c r="I118" s="109"/>
      <c r="J118" s="109"/>
      <c r="K118" s="113"/>
    </row>
    <row r="119" customFormat="false" ht="69.75" hidden="false" customHeight="true" outlineLevel="0" collapsed="false">
      <c r="A119" s="108" t="s">
        <v>364</v>
      </c>
      <c r="B119" s="109" t="s">
        <v>491</v>
      </c>
      <c r="C119" s="109"/>
      <c r="D119" s="109"/>
      <c r="E119" s="109"/>
      <c r="F119" s="109"/>
      <c r="G119" s="109"/>
      <c r="H119" s="109"/>
      <c r="I119" s="109"/>
      <c r="J119" s="109"/>
    </row>
    <row r="120" customFormat="false" ht="12.75" hidden="false" customHeight="true" outlineLevel="0" collapsed="false">
      <c r="A120" s="19" t="s">
        <v>430</v>
      </c>
      <c r="B120" s="21" t="s">
        <v>492</v>
      </c>
      <c r="C120" s="21"/>
      <c r="D120" s="21"/>
      <c r="E120" s="21"/>
      <c r="F120" s="21"/>
      <c r="G120" s="21"/>
      <c r="H120" s="126" t="n">
        <f aca="false">7*0.55*0.1/360</f>
        <v>0.00106944444444444</v>
      </c>
      <c r="I120" s="130" t="n">
        <f aca="false">H120*$H$37</f>
        <v>1.434125</v>
      </c>
      <c r="J120" s="130"/>
      <c r="K120" s="113"/>
    </row>
    <row r="121" customFormat="false" ht="60.75" hidden="false" customHeight="true" outlineLevel="0" collapsed="false">
      <c r="A121" s="108" t="s">
        <v>108</v>
      </c>
      <c r="B121" s="109" t="s">
        <v>493</v>
      </c>
      <c r="C121" s="109"/>
      <c r="D121" s="109"/>
      <c r="E121" s="109"/>
      <c r="F121" s="109"/>
      <c r="G121" s="109"/>
      <c r="H121" s="109"/>
      <c r="I121" s="109"/>
      <c r="J121" s="109"/>
    </row>
    <row r="122" customFormat="false" ht="33" hidden="false" customHeight="true" outlineLevel="0" collapsed="false">
      <c r="A122" s="108" t="s">
        <v>364</v>
      </c>
      <c r="B122" s="109" t="s">
        <v>494</v>
      </c>
      <c r="C122" s="109"/>
      <c r="D122" s="109"/>
      <c r="E122" s="109"/>
      <c r="F122" s="109"/>
      <c r="G122" s="109"/>
      <c r="H122" s="109"/>
      <c r="I122" s="109"/>
      <c r="J122" s="109"/>
    </row>
    <row r="123" customFormat="false" ht="12.75" hidden="false" customHeight="true" outlineLevel="0" collapsed="false">
      <c r="A123" s="19" t="s">
        <v>432</v>
      </c>
      <c r="B123" s="21" t="s">
        <v>495</v>
      </c>
      <c r="C123" s="21"/>
      <c r="D123" s="21"/>
      <c r="E123" s="21"/>
      <c r="F123" s="21"/>
      <c r="G123" s="21"/>
      <c r="H123" s="126" t="n">
        <f aca="false">0.4*$H$82*0.55*0.1+0.1*$H$82*0.55*0.1</f>
        <v>0.0022</v>
      </c>
      <c r="I123" s="130" t="n">
        <f aca="false">H123*$H$37</f>
        <v>2.9502</v>
      </c>
      <c r="J123" s="130"/>
      <c r="K123" s="113"/>
    </row>
    <row r="124" customFormat="false" ht="68.25" hidden="false" customHeight="true" outlineLevel="0" collapsed="false">
      <c r="A124" s="108" t="s">
        <v>364</v>
      </c>
      <c r="B124" s="109" t="s">
        <v>496</v>
      </c>
      <c r="C124" s="109"/>
      <c r="D124" s="109"/>
      <c r="E124" s="109"/>
      <c r="F124" s="109"/>
      <c r="G124" s="109"/>
      <c r="H124" s="109"/>
      <c r="I124" s="109"/>
      <c r="J124" s="109"/>
    </row>
    <row r="125" customFormat="false" ht="12.75" hidden="false" customHeight="false" outlineLevel="0" collapsed="false">
      <c r="A125" s="19" t="s">
        <v>434</v>
      </c>
      <c r="B125" s="21" t="str">
        <f aca="false">"Incidência do Submódulo "&amp;$A$67&amp;" sobre "&amp;B110</f>
        <v>Incidência do Submódulo 4.1 sobre Aviso prévio indenizado</v>
      </c>
      <c r="C125" s="21"/>
      <c r="D125" s="21"/>
      <c r="E125" s="21"/>
      <c r="F125" s="21"/>
      <c r="G125" s="21"/>
      <c r="H125" s="123" t="n">
        <f aca="false">$H$90</f>
        <v>0.368</v>
      </c>
      <c r="I125" s="130" t="n">
        <f aca="false">H125*I110</f>
        <v>20.35638</v>
      </c>
      <c r="J125" s="130"/>
      <c r="L125" s="131"/>
    </row>
    <row r="126" customFormat="false" ht="12.75" hidden="false" customHeight="false" outlineLevel="0" collapsed="false">
      <c r="A126" s="30" t="s">
        <v>108</v>
      </c>
      <c r="B126" s="31" t="str">
        <f aca="false">"Aplicar percentual do submódulo "&amp;$A$67&amp;" sobre o "&amp;B110</f>
        <v>Aplicar percentual do submódulo 4.1 sobre o Aviso prévio indenizado</v>
      </c>
      <c r="C126" s="31"/>
      <c r="D126" s="31"/>
      <c r="E126" s="31"/>
      <c r="F126" s="31"/>
      <c r="G126" s="31"/>
      <c r="H126" s="31"/>
      <c r="I126" s="31"/>
      <c r="J126" s="31"/>
    </row>
    <row r="127" customFormat="false" ht="12.75" hidden="false" customHeight="false" outlineLevel="0" collapsed="false">
      <c r="A127" s="16" t="str">
        <f aca="false">"Total do Sobmódulo "&amp;A109</f>
        <v>Total do Sobmódulo 4.4</v>
      </c>
      <c r="B127" s="16"/>
      <c r="C127" s="16"/>
      <c r="D127" s="16"/>
      <c r="E127" s="16"/>
      <c r="F127" s="16"/>
      <c r="G127" s="16"/>
      <c r="H127" s="127" t="n">
        <f aca="false">H110+H110*H115+H117+H120+H123+H125*H110</f>
        <v>0.0827994444444444</v>
      </c>
      <c r="I127" s="128" t="n">
        <f aca="false">SUM(I110,I115,I117,I120,I123,I125)</f>
        <v>111.034055</v>
      </c>
      <c r="J127" s="128"/>
      <c r="K127" s="129"/>
    </row>
    <row r="129" customFormat="false" ht="12.75" hidden="false" customHeight="true" outlineLevel="0" collapsed="false">
      <c r="A129" s="16" t="s">
        <v>497</v>
      </c>
      <c r="B129" s="105" t="s">
        <v>498</v>
      </c>
      <c r="C129" s="105"/>
      <c r="D129" s="105"/>
      <c r="E129" s="105"/>
      <c r="F129" s="105"/>
      <c r="G129" s="105"/>
      <c r="H129" s="122" t="s">
        <v>75</v>
      </c>
      <c r="I129" s="106" t="s">
        <v>399</v>
      </c>
      <c r="J129" s="106"/>
    </row>
    <row r="130" customFormat="false" ht="12.75" hidden="false" customHeight="true" outlineLevel="0" collapsed="false">
      <c r="A130" s="19" t="s">
        <v>400</v>
      </c>
      <c r="B130" s="21" t="s">
        <v>499</v>
      </c>
      <c r="C130" s="21"/>
      <c r="D130" s="21"/>
      <c r="E130" s="21"/>
      <c r="F130" s="21"/>
      <c r="G130" s="21"/>
      <c r="H130" s="123" t="n">
        <f aca="false">1/12</f>
        <v>0.0833333333333333</v>
      </c>
      <c r="I130" s="130" t="n">
        <f aca="false">H130*$H$37</f>
        <v>111.75</v>
      </c>
      <c r="J130" s="130"/>
      <c r="K130" s="113"/>
    </row>
    <row r="131" customFormat="false" ht="42" hidden="false" customHeight="true" outlineLevel="0" collapsed="false">
      <c r="A131" s="30" t="s">
        <v>108</v>
      </c>
      <c r="B131" s="132" t="s">
        <v>500</v>
      </c>
      <c r="C131" s="132"/>
      <c r="D131" s="132"/>
      <c r="E131" s="132"/>
      <c r="F131" s="132"/>
      <c r="G131" s="132"/>
      <c r="H131" s="132"/>
      <c r="I131" s="132"/>
      <c r="J131" s="132"/>
      <c r="L131" s="131"/>
    </row>
    <row r="132" customFormat="false" ht="12.75" hidden="false" customHeight="true" outlineLevel="0" collapsed="false">
      <c r="A132" s="30" t="s">
        <v>364</v>
      </c>
      <c r="B132" s="31" t="s">
        <v>501</v>
      </c>
      <c r="C132" s="31"/>
      <c r="D132" s="31"/>
      <c r="E132" s="31"/>
      <c r="F132" s="31"/>
      <c r="G132" s="31"/>
      <c r="H132" s="31"/>
      <c r="I132" s="31"/>
      <c r="J132" s="31"/>
      <c r="L132" s="131"/>
      <c r="N132" s="113"/>
      <c r="O132" s="113"/>
      <c r="P132" s="113"/>
    </row>
    <row r="133" customFormat="false" ht="12.75" hidden="false" customHeight="true" outlineLevel="0" collapsed="false">
      <c r="A133" s="19" t="s">
        <v>403</v>
      </c>
      <c r="B133" s="21" t="s">
        <v>502</v>
      </c>
      <c r="C133" s="21"/>
      <c r="D133" s="21"/>
      <c r="E133" s="21"/>
      <c r="F133" s="21"/>
      <c r="G133" s="21"/>
      <c r="H133" s="123" t="n">
        <f aca="false">1/(12*3)</f>
        <v>0.0277777777777778</v>
      </c>
      <c r="I133" s="130" t="n">
        <f aca="false">H133*$H$37</f>
        <v>37.25</v>
      </c>
      <c r="J133" s="130"/>
      <c r="K133" s="113"/>
      <c r="L133" s="131"/>
      <c r="N133" s="113"/>
      <c r="O133" s="113"/>
      <c r="P133" s="113"/>
    </row>
    <row r="134" customFormat="false" ht="27.75" hidden="false" customHeight="true" outlineLevel="0" collapsed="false">
      <c r="A134" s="30" t="s">
        <v>108</v>
      </c>
      <c r="B134" s="132" t="s">
        <v>503</v>
      </c>
      <c r="C134" s="132"/>
      <c r="D134" s="132"/>
      <c r="E134" s="132"/>
      <c r="F134" s="132"/>
      <c r="G134" s="132"/>
      <c r="H134" s="132"/>
      <c r="I134" s="132"/>
      <c r="J134" s="132"/>
      <c r="L134" s="131"/>
      <c r="N134" s="113"/>
      <c r="O134" s="113"/>
      <c r="P134" s="113"/>
    </row>
    <row r="135" customFormat="false" ht="12.75" hidden="false" customHeight="true" outlineLevel="0" collapsed="false">
      <c r="A135" s="30" t="s">
        <v>364</v>
      </c>
      <c r="B135" s="31" t="s">
        <v>504</v>
      </c>
      <c r="C135" s="31"/>
      <c r="D135" s="31"/>
      <c r="E135" s="31"/>
      <c r="F135" s="31"/>
      <c r="G135" s="31"/>
      <c r="H135" s="31"/>
      <c r="I135" s="31"/>
      <c r="J135" s="31"/>
      <c r="L135" s="131"/>
      <c r="N135" s="113"/>
      <c r="O135" s="113"/>
      <c r="P135" s="113"/>
    </row>
    <row r="136" customFormat="false" ht="12.75" hidden="false" customHeight="true" outlineLevel="0" collapsed="false">
      <c r="A136" s="19" t="s">
        <v>406</v>
      </c>
      <c r="B136" s="21" t="s">
        <v>505</v>
      </c>
      <c r="C136" s="21"/>
      <c r="D136" s="21"/>
      <c r="E136" s="21"/>
      <c r="F136" s="21"/>
      <c r="G136" s="21"/>
      <c r="H136" s="126" t="n">
        <f aca="false">5.96/(30*12)</f>
        <v>0.0165555555555556</v>
      </c>
      <c r="I136" s="130" t="n">
        <f aca="false">H136*$H$37</f>
        <v>22.201</v>
      </c>
      <c r="J136" s="130"/>
      <c r="K136" s="113"/>
      <c r="L136" s="131"/>
      <c r="N136" s="113"/>
      <c r="O136" s="113"/>
      <c r="P136" s="113"/>
      <c r="Q136" s="113"/>
    </row>
    <row r="137" customFormat="false" ht="54" hidden="false" customHeight="true" outlineLevel="0" collapsed="false">
      <c r="A137" s="108" t="s">
        <v>108</v>
      </c>
      <c r="B137" s="133" t="s">
        <v>506</v>
      </c>
      <c r="C137" s="133"/>
      <c r="D137" s="133"/>
      <c r="E137" s="133"/>
      <c r="F137" s="133"/>
      <c r="G137" s="133"/>
      <c r="H137" s="133"/>
      <c r="I137" s="133"/>
      <c r="J137" s="133"/>
      <c r="L137" s="131"/>
      <c r="N137" s="113"/>
      <c r="O137" s="113"/>
      <c r="P137" s="113"/>
      <c r="Q137" s="113"/>
    </row>
    <row r="138" customFormat="false" ht="12.75" hidden="false" customHeight="true" outlineLevel="0" collapsed="false">
      <c r="A138" s="108" t="s">
        <v>364</v>
      </c>
      <c r="B138" s="109" t="s">
        <v>507</v>
      </c>
      <c r="C138" s="109"/>
      <c r="D138" s="109"/>
      <c r="E138" s="109"/>
      <c r="F138" s="109"/>
      <c r="G138" s="109"/>
      <c r="H138" s="109"/>
      <c r="I138" s="109"/>
      <c r="J138" s="109"/>
      <c r="L138" s="131"/>
      <c r="N138" s="113"/>
      <c r="O138" s="113"/>
      <c r="P138" s="113"/>
      <c r="Q138" s="113"/>
    </row>
    <row r="139" customFormat="false" ht="12.75" hidden="false" customHeight="true" outlineLevel="0" collapsed="false">
      <c r="A139" s="19" t="s">
        <v>430</v>
      </c>
      <c r="B139" s="21" t="s">
        <v>508</v>
      </c>
      <c r="C139" s="21"/>
      <c r="D139" s="21"/>
      <c r="E139" s="21"/>
      <c r="F139" s="21"/>
      <c r="G139" s="21"/>
      <c r="H139" s="126" t="n">
        <f aca="false">5*0.0731*0.5555/(30*12)</f>
        <v>0.000563986805555556</v>
      </c>
      <c r="I139" s="130" t="n">
        <f aca="false">H139*$H$37</f>
        <v>0.75630630625</v>
      </c>
      <c r="J139" s="130"/>
      <c r="K139" s="113"/>
      <c r="N139" s="113"/>
      <c r="O139" s="113"/>
      <c r="P139" s="113"/>
    </row>
    <row r="140" customFormat="false" ht="94.5" hidden="false" customHeight="true" outlineLevel="0" collapsed="false">
      <c r="A140" s="108" t="s">
        <v>108</v>
      </c>
      <c r="B140" s="133" t="s">
        <v>509</v>
      </c>
      <c r="C140" s="133"/>
      <c r="D140" s="133"/>
      <c r="E140" s="133"/>
      <c r="F140" s="133"/>
      <c r="G140" s="133"/>
      <c r="H140" s="133"/>
      <c r="I140" s="133"/>
      <c r="J140" s="133"/>
      <c r="M140" s="113"/>
      <c r="N140" s="113"/>
      <c r="O140" s="113"/>
      <c r="P140" s="113"/>
      <c r="Q140" s="113"/>
    </row>
    <row r="141" customFormat="false" ht="12.75" hidden="false" customHeight="true" outlineLevel="0" collapsed="false">
      <c r="A141" s="108" t="s">
        <v>364</v>
      </c>
      <c r="B141" s="109" t="s">
        <v>510</v>
      </c>
      <c r="C141" s="109"/>
      <c r="D141" s="109"/>
      <c r="E141" s="109"/>
      <c r="F141" s="109"/>
      <c r="G141" s="109"/>
      <c r="H141" s="109"/>
      <c r="I141" s="109"/>
      <c r="J141" s="109"/>
      <c r="P141" s="113"/>
    </row>
    <row r="142" customFormat="false" ht="12.75" hidden="false" customHeight="true" outlineLevel="0" collapsed="false">
      <c r="A142" s="19" t="s">
        <v>432</v>
      </c>
      <c r="B142" s="21" t="s">
        <v>511</v>
      </c>
      <c r="C142" s="21"/>
      <c r="D142" s="21"/>
      <c r="E142" s="21"/>
      <c r="F142" s="21"/>
      <c r="G142" s="21"/>
      <c r="H142" s="126" t="n">
        <f aca="false">2.96/(30*12)</f>
        <v>0.00822222222222222</v>
      </c>
      <c r="I142" s="130" t="n">
        <f aca="false">H142*$H$37</f>
        <v>11.026</v>
      </c>
      <c r="J142" s="130"/>
      <c r="K142" s="113"/>
    </row>
    <row r="143" customFormat="false" ht="93" hidden="false" customHeight="true" outlineLevel="0" collapsed="false">
      <c r="A143" s="108" t="s">
        <v>108</v>
      </c>
      <c r="B143" s="133" t="s">
        <v>512</v>
      </c>
      <c r="C143" s="133"/>
      <c r="D143" s="133"/>
      <c r="E143" s="133"/>
      <c r="F143" s="133"/>
      <c r="G143" s="133"/>
      <c r="H143" s="133"/>
      <c r="I143" s="133"/>
      <c r="J143" s="133"/>
    </row>
    <row r="144" customFormat="false" ht="12.75" hidden="false" customHeight="true" outlineLevel="0" collapsed="false">
      <c r="A144" s="108" t="s">
        <v>364</v>
      </c>
      <c r="B144" s="109" t="s">
        <v>513</v>
      </c>
      <c r="C144" s="109"/>
      <c r="D144" s="109"/>
      <c r="E144" s="109"/>
      <c r="F144" s="109"/>
      <c r="G144" s="109"/>
      <c r="H144" s="109"/>
      <c r="I144" s="109"/>
      <c r="J144" s="109"/>
    </row>
    <row r="145" customFormat="false" ht="12.75" hidden="false" customHeight="true" outlineLevel="0" collapsed="false">
      <c r="A145" s="19" t="s">
        <v>434</v>
      </c>
      <c r="B145" s="21" t="s">
        <v>514</v>
      </c>
      <c r="C145" s="21"/>
      <c r="D145" s="21"/>
      <c r="E145" s="21"/>
      <c r="F145" s="21"/>
      <c r="G145" s="21"/>
      <c r="H145" s="126" t="n">
        <f aca="false">0.91/(30*12)</f>
        <v>0.00252777777777778</v>
      </c>
      <c r="I145" s="130" t="n">
        <f aca="false">H145*$H$37</f>
        <v>3.38975</v>
      </c>
      <c r="J145" s="130"/>
      <c r="K145" s="113"/>
    </row>
    <row r="146" customFormat="false" ht="66" hidden="false" customHeight="true" outlineLevel="0" collapsed="false">
      <c r="A146" s="108" t="s">
        <v>108</v>
      </c>
      <c r="B146" s="133" t="s">
        <v>515</v>
      </c>
      <c r="C146" s="133"/>
      <c r="D146" s="133"/>
      <c r="E146" s="133"/>
      <c r="F146" s="133"/>
      <c r="G146" s="133"/>
      <c r="H146" s="133"/>
      <c r="I146" s="133"/>
      <c r="J146" s="133"/>
    </row>
    <row r="147" customFormat="false" ht="12.75" hidden="false" customHeight="true" outlineLevel="0" collapsed="false">
      <c r="A147" s="108" t="s">
        <v>364</v>
      </c>
      <c r="B147" s="109" t="s">
        <v>516</v>
      </c>
      <c r="C147" s="109"/>
      <c r="D147" s="109"/>
      <c r="E147" s="109"/>
      <c r="F147" s="109"/>
      <c r="G147" s="109"/>
      <c r="H147" s="109"/>
      <c r="I147" s="109"/>
      <c r="J147" s="109"/>
    </row>
    <row r="148" customFormat="false" ht="12.75" hidden="false" customHeight="true" outlineLevel="0" collapsed="false">
      <c r="A148" s="19" t="s">
        <v>438</v>
      </c>
      <c r="B148" s="111" t="s">
        <v>444</v>
      </c>
      <c r="C148" s="111"/>
      <c r="D148" s="111"/>
      <c r="E148" s="111"/>
      <c r="F148" s="111"/>
      <c r="G148" s="111"/>
      <c r="H148" s="126"/>
      <c r="I148" s="130" t="n">
        <f aca="false">H148*$H$37</f>
        <v>0</v>
      </c>
      <c r="J148" s="130"/>
      <c r="K148" s="113"/>
    </row>
    <row r="149" customFormat="false" ht="12.75" hidden="false" customHeight="true" outlineLevel="0" collapsed="false">
      <c r="A149" s="108" t="s">
        <v>108</v>
      </c>
      <c r="B149" s="109" t="s">
        <v>517</v>
      </c>
      <c r="C149" s="109"/>
      <c r="D149" s="109"/>
      <c r="E149" s="109"/>
      <c r="F149" s="109"/>
      <c r="G149" s="109"/>
      <c r="H149" s="109"/>
      <c r="I149" s="109"/>
      <c r="J149" s="109"/>
    </row>
    <row r="150" customFormat="false" ht="12.75" hidden="false" customHeight="true" outlineLevel="0" collapsed="false">
      <c r="A150" s="108" t="s">
        <v>364</v>
      </c>
      <c r="B150" s="109" t="s">
        <v>518</v>
      </c>
      <c r="C150" s="109"/>
      <c r="D150" s="109"/>
      <c r="E150" s="109"/>
      <c r="F150" s="109"/>
      <c r="G150" s="109"/>
      <c r="H150" s="109"/>
      <c r="I150" s="109"/>
      <c r="J150" s="109"/>
    </row>
    <row r="151" customFormat="false" ht="12.75" hidden="false" customHeight="false" outlineLevel="0" collapsed="false">
      <c r="A151" s="16" t="str">
        <f aca="false">"Total do Sobmódulo "&amp;A129</f>
        <v>Total do Sobmódulo 4.5</v>
      </c>
      <c r="B151" s="16"/>
      <c r="C151" s="16"/>
      <c r="D151" s="16"/>
      <c r="E151" s="16"/>
      <c r="F151" s="16"/>
      <c r="G151" s="16"/>
      <c r="H151" s="127" t="n">
        <f aca="false">SUM(H130,H133,H136,H139,H142,H145,H148)</f>
        <v>0.138980653472222</v>
      </c>
      <c r="I151" s="128" t="n">
        <f aca="false">SUM(I130,I133,I136,I139,I142,I145,I148)</f>
        <v>186.37305630625</v>
      </c>
      <c r="J151" s="128"/>
      <c r="K151" s="129"/>
    </row>
    <row r="152" customFormat="false" ht="12.75" hidden="false" customHeight="false" outlineLevel="0" collapsed="false">
      <c r="K152" s="113"/>
    </row>
    <row r="153" customFormat="false" ht="12.75" hidden="false" customHeight="false" outlineLevel="0" collapsed="false">
      <c r="A153" s="8" t="s">
        <v>519</v>
      </c>
      <c r="B153" s="8"/>
      <c r="C153" s="8"/>
      <c r="D153" s="8"/>
      <c r="E153" s="8"/>
      <c r="F153" s="8"/>
      <c r="G153" s="8"/>
      <c r="H153" s="8"/>
      <c r="I153" s="8"/>
      <c r="J153" s="8"/>
    </row>
    <row r="154" customFormat="false" ht="12.75" hidden="false" customHeight="true" outlineLevel="0" collapsed="false">
      <c r="A154" s="28" t="s">
        <v>520</v>
      </c>
      <c r="B154" s="104" t="s">
        <v>521</v>
      </c>
      <c r="C154" s="104"/>
      <c r="D154" s="104"/>
      <c r="E154" s="104"/>
      <c r="F154" s="104"/>
      <c r="G154" s="104"/>
      <c r="H154" s="134" t="s">
        <v>75</v>
      </c>
      <c r="I154" s="135" t="s">
        <v>522</v>
      </c>
      <c r="J154" s="135"/>
    </row>
    <row r="155" customFormat="false" ht="12.75" hidden="false" customHeight="false" outlineLevel="0" collapsed="false">
      <c r="A155" s="19" t="n">
        <v>1</v>
      </c>
      <c r="B155" s="10" t="str">
        <f aca="false">$B$31</f>
        <v> Remuneração</v>
      </c>
      <c r="C155" s="10"/>
      <c r="D155" s="10"/>
      <c r="E155" s="10"/>
      <c r="F155" s="10"/>
      <c r="G155" s="10"/>
      <c r="H155" s="24"/>
      <c r="I155" s="136" t="n">
        <f aca="false">H33+$H$35</f>
        <v>1341</v>
      </c>
      <c r="J155" s="136"/>
      <c r="P155" s="137"/>
      <c r="Q155" s="137"/>
    </row>
    <row r="156" customFormat="false" ht="12.75" hidden="false" customHeight="false" outlineLevel="0" collapsed="false">
      <c r="A156" s="19" t="n">
        <v>2</v>
      </c>
      <c r="B156" s="10" t="str">
        <f aca="false">$B$39</f>
        <v>Benefícios mensais e diários</v>
      </c>
      <c r="C156" s="10"/>
      <c r="D156" s="10"/>
      <c r="E156" s="10"/>
      <c r="F156" s="10"/>
      <c r="G156" s="10"/>
      <c r="H156" s="19"/>
      <c r="I156" s="136" t="n">
        <f aca="false">H49</f>
        <v>86.74</v>
      </c>
      <c r="J156" s="136"/>
    </row>
    <row r="157" customFormat="false" ht="12.75" hidden="false" customHeight="false" outlineLevel="0" collapsed="false">
      <c r="A157" s="19" t="n">
        <v>3</v>
      </c>
      <c r="B157" s="10" t="str">
        <f aca="false">$B$51</f>
        <v> Uniformes E EPI's</v>
      </c>
      <c r="C157" s="10"/>
      <c r="D157" s="10"/>
      <c r="E157" s="10"/>
      <c r="F157" s="10"/>
      <c r="G157" s="10"/>
      <c r="H157" s="19"/>
      <c r="I157" s="136" t="n">
        <f aca="false">$H$64</f>
        <v>0</v>
      </c>
      <c r="J157" s="136"/>
    </row>
    <row r="158" customFormat="false" ht="12.75" hidden="false" customHeight="false" outlineLevel="0" collapsed="false">
      <c r="A158" s="19" t="n">
        <v>4</v>
      </c>
      <c r="B158" s="10" t="str">
        <f aca="false">$B$66</f>
        <v>Encargos Sociais e Trabalhistas</v>
      </c>
      <c r="C158" s="10"/>
      <c r="D158" s="10"/>
      <c r="E158" s="10"/>
      <c r="F158" s="10"/>
      <c r="G158" s="10"/>
      <c r="H158" s="138" t="n">
        <f aca="false">SUM($H$90,$H$98,$H$107,$H$127,$H$151)</f>
        <v>0.705426407383333</v>
      </c>
      <c r="I158" s="136" t="n">
        <f aca="false">H158*I155</f>
        <v>945.97681230105</v>
      </c>
      <c r="J158" s="136"/>
      <c r="K158" s="129"/>
    </row>
    <row r="159" customFormat="false" ht="12.75" hidden="false" customHeight="false" outlineLevel="0" collapsed="false">
      <c r="A159" s="19" t="n">
        <v>5</v>
      </c>
      <c r="B159" s="10" t="s">
        <v>444</v>
      </c>
      <c r="C159" s="10"/>
      <c r="D159" s="10"/>
      <c r="E159" s="10"/>
      <c r="F159" s="10"/>
      <c r="G159" s="10"/>
      <c r="H159" s="138"/>
      <c r="I159" s="136"/>
      <c r="J159" s="136"/>
    </row>
    <row r="160" customFormat="false" ht="12.75" hidden="false" customHeight="false" outlineLevel="0" collapsed="false">
      <c r="A160" s="16" t="s">
        <v>68</v>
      </c>
      <c r="B160" s="16"/>
      <c r="C160" s="16"/>
      <c r="D160" s="16"/>
      <c r="E160" s="16"/>
      <c r="F160" s="16"/>
      <c r="G160" s="16"/>
      <c r="H160" s="16"/>
      <c r="I160" s="128" t="n">
        <f aca="false">SUM(I155:J159)</f>
        <v>2373.71681230105</v>
      </c>
      <c r="J160" s="128"/>
    </row>
    <row r="162" customFormat="false" ht="26.25" hidden="false" customHeight="true" outlineLevel="0" collapsed="false">
      <c r="A162" s="83" t="s">
        <v>523</v>
      </c>
      <c r="B162" s="83"/>
      <c r="C162" s="83"/>
      <c r="D162" s="83"/>
      <c r="E162" s="83"/>
      <c r="F162" s="83"/>
      <c r="G162" s="83"/>
      <c r="H162" s="83"/>
      <c r="I162" s="83"/>
      <c r="J162" s="83"/>
    </row>
    <row r="164" customFormat="false" ht="12.75" hidden="false" customHeight="false" outlineLevel="0" collapsed="false">
      <c r="A164" s="8" t="s">
        <v>524</v>
      </c>
      <c r="B164" s="8"/>
      <c r="C164" s="8"/>
      <c r="D164" s="8"/>
      <c r="E164" s="8"/>
      <c r="F164" s="8"/>
      <c r="G164" s="8"/>
      <c r="H164" s="8"/>
      <c r="I164" s="8"/>
      <c r="J164" s="8"/>
    </row>
    <row r="165" customFormat="false" ht="12.75" hidden="false" customHeight="true" outlineLevel="0" collapsed="false">
      <c r="A165" s="28" t="s">
        <v>520</v>
      </c>
      <c r="B165" s="104" t="s">
        <v>521</v>
      </c>
      <c r="C165" s="104"/>
      <c r="D165" s="104"/>
      <c r="E165" s="104"/>
      <c r="F165" s="104"/>
      <c r="G165" s="104"/>
      <c r="H165" s="134" t="s">
        <v>75</v>
      </c>
      <c r="I165" s="135" t="s">
        <v>522</v>
      </c>
      <c r="J165" s="135"/>
    </row>
    <row r="166" customFormat="false" ht="12.75" hidden="false" customHeight="false" outlineLevel="0" collapsed="false">
      <c r="A166" s="19" t="n">
        <v>1</v>
      </c>
      <c r="B166" s="10" t="str">
        <f aca="false">$B$31</f>
        <v> Remuneração</v>
      </c>
      <c r="C166" s="10"/>
      <c r="D166" s="10"/>
      <c r="E166" s="10"/>
      <c r="F166" s="10"/>
      <c r="G166" s="10"/>
      <c r="H166" s="24"/>
      <c r="I166" s="136" t="n">
        <f aca="false">I155*1.062+$H$35</f>
        <v>1424.142</v>
      </c>
      <c r="J166" s="136"/>
    </row>
    <row r="167" customFormat="false" ht="12.75" hidden="false" customHeight="false" outlineLevel="0" collapsed="false">
      <c r="A167" s="19" t="n">
        <v>2</v>
      </c>
      <c r="B167" s="10" t="str">
        <f aca="false">$B$39</f>
        <v>Benefícios mensais e diários</v>
      </c>
      <c r="C167" s="10"/>
      <c r="D167" s="10"/>
      <c r="E167" s="10"/>
      <c r="F167" s="10"/>
      <c r="G167" s="10"/>
      <c r="H167" s="19"/>
      <c r="I167" s="136" t="n">
        <f aca="false">SUM(H168,H169,H170)</f>
        <v>81.75148</v>
      </c>
      <c r="J167" s="136"/>
    </row>
    <row r="168" customFormat="false" ht="15" hidden="true" customHeight="true" outlineLevel="0" collapsed="false">
      <c r="A168" s="19" t="s">
        <v>400</v>
      </c>
      <c r="B168" s="21" t="s">
        <v>411</v>
      </c>
      <c r="C168" s="21"/>
      <c r="D168" s="21"/>
      <c r="E168" s="21"/>
      <c r="F168" s="21"/>
      <c r="G168" s="21"/>
      <c r="H168" s="124" t="n">
        <f aca="false">IF((3.8*2*22-0.06*I166)&gt;0,3.8*2*22-0.06*I166,0)</f>
        <v>81.75148</v>
      </c>
      <c r="I168" s="124"/>
      <c r="J168" s="124"/>
      <c r="K168" s="129"/>
    </row>
    <row r="169" customFormat="false" ht="12.75" hidden="true" customHeight="true" outlineLevel="0" collapsed="false">
      <c r="A169" s="19" t="s">
        <v>417</v>
      </c>
      <c r="B169" s="21" t="s">
        <v>418</v>
      </c>
      <c r="C169" s="21"/>
      <c r="D169" s="21"/>
      <c r="E169" s="21"/>
      <c r="F169" s="21"/>
      <c r="G169" s="21"/>
      <c r="H169" s="124" t="n">
        <f aca="false">IF('DI, Tri e Pag'!$H$12:$J$12='DI, Tri e Pag'!$L$12,-('DI, Tri e Pag'!$H$23+'DI, Tri e Pag'!$H$24)*H168,0)</f>
        <v>0</v>
      </c>
      <c r="I169" s="124"/>
      <c r="J169" s="124"/>
      <c r="K169" s="139"/>
    </row>
    <row r="170" customFormat="false" ht="15" hidden="true" customHeight="true" outlineLevel="0" collapsed="false">
      <c r="A170" s="19" t="s">
        <v>403</v>
      </c>
      <c r="B170" s="21" t="s">
        <v>407</v>
      </c>
      <c r="C170" s="21"/>
      <c r="D170" s="21"/>
      <c r="E170" s="21"/>
      <c r="F170" s="21"/>
      <c r="G170" s="21"/>
      <c r="H170" s="124" t="n">
        <f aca="false">$H$47</f>
        <v>0</v>
      </c>
      <c r="I170" s="124"/>
      <c r="J170" s="124"/>
    </row>
    <row r="171" customFormat="false" ht="12.75" hidden="false" customHeight="false" outlineLevel="0" collapsed="false">
      <c r="A171" s="19" t="n">
        <v>3</v>
      </c>
      <c r="B171" s="10" t="str">
        <f aca="false">$B$51</f>
        <v> Uniformes E EPI's</v>
      </c>
      <c r="C171" s="10"/>
      <c r="D171" s="10"/>
      <c r="E171" s="10"/>
      <c r="F171" s="10"/>
      <c r="G171" s="10"/>
      <c r="H171" s="19"/>
      <c r="I171" s="136" t="n">
        <f aca="false">$H$64</f>
        <v>0</v>
      </c>
      <c r="J171" s="136"/>
    </row>
    <row r="172" customFormat="false" ht="12.75" hidden="false" customHeight="false" outlineLevel="0" collapsed="false">
      <c r="A172" s="19" t="n">
        <v>4</v>
      </c>
      <c r="B172" s="10" t="str">
        <f aca="false">$B$66</f>
        <v>Encargos Sociais e Trabalhistas</v>
      </c>
      <c r="C172" s="10"/>
      <c r="D172" s="10"/>
      <c r="E172" s="10"/>
      <c r="F172" s="10"/>
      <c r="G172" s="10"/>
      <c r="H172" s="138" t="n">
        <f aca="false">SUM($H$90,$H$98,$H$107,$H$127,$H$151)</f>
        <v>0.705426407383333</v>
      </c>
      <c r="I172" s="136" t="n">
        <f aca="false">H172*I166</f>
        <v>1004.62737466372</v>
      </c>
      <c r="J172" s="136"/>
    </row>
    <row r="173" customFormat="false" ht="12.75" hidden="false" customHeight="false" outlineLevel="0" collapsed="false">
      <c r="A173" s="19" t="n">
        <v>5</v>
      </c>
      <c r="B173" s="10" t="str">
        <f aca="false">B159</f>
        <v>Outro (Especificar)</v>
      </c>
      <c r="C173" s="10"/>
      <c r="D173" s="10"/>
      <c r="E173" s="10"/>
      <c r="F173" s="10"/>
      <c r="G173" s="10"/>
      <c r="H173" s="138"/>
      <c r="I173" s="136"/>
      <c r="J173" s="136"/>
    </row>
    <row r="174" customFormat="false" ht="12.75" hidden="false" customHeight="false" outlineLevel="0" collapsed="false">
      <c r="A174" s="16" t="s">
        <v>68</v>
      </c>
      <c r="B174" s="16"/>
      <c r="C174" s="16"/>
      <c r="D174" s="16"/>
      <c r="E174" s="16"/>
      <c r="F174" s="16"/>
      <c r="G174" s="16"/>
      <c r="H174" s="16"/>
      <c r="I174" s="128" t="n">
        <f aca="false">SUM(I166,I167,I171,I172,I173)</f>
        <v>2510.52085466371</v>
      </c>
      <c r="J174" s="128"/>
    </row>
    <row r="176" customFormat="false" ht="12.75" hidden="false" customHeight="false" outlineLevel="0" collapsed="false">
      <c r="A176" s="8" t="s">
        <v>525</v>
      </c>
      <c r="B176" s="8"/>
      <c r="C176" s="8"/>
      <c r="D176" s="8"/>
      <c r="E176" s="8"/>
      <c r="F176" s="8"/>
      <c r="G176" s="8"/>
      <c r="H176" s="8"/>
      <c r="I176" s="8"/>
      <c r="J176" s="8"/>
    </row>
    <row r="177" customFormat="false" ht="12.75" hidden="false" customHeight="true" outlineLevel="0" collapsed="false">
      <c r="A177" s="28" t="s">
        <v>520</v>
      </c>
      <c r="B177" s="104" t="s">
        <v>521</v>
      </c>
      <c r="C177" s="104"/>
      <c r="D177" s="104"/>
      <c r="E177" s="104"/>
      <c r="F177" s="104"/>
      <c r="G177" s="104"/>
      <c r="H177" s="134" t="s">
        <v>75</v>
      </c>
      <c r="I177" s="135" t="s">
        <v>522</v>
      </c>
      <c r="J177" s="135"/>
    </row>
    <row r="178" customFormat="false" ht="12.75" hidden="false" customHeight="false" outlineLevel="0" collapsed="false">
      <c r="A178" s="19" t="n">
        <v>1</v>
      </c>
      <c r="B178" s="10" t="str">
        <f aca="false">$B$31</f>
        <v> Remuneração</v>
      </c>
      <c r="C178" s="10"/>
      <c r="D178" s="10"/>
      <c r="E178" s="10"/>
      <c r="F178" s="10"/>
      <c r="G178" s="10"/>
      <c r="H178" s="24"/>
      <c r="I178" s="136" t="n">
        <f aca="false">I166*1.062+$H$35</f>
        <v>1512.438804</v>
      </c>
      <c r="J178" s="136"/>
    </row>
    <row r="179" customFormat="false" ht="12.75" hidden="false" customHeight="false" outlineLevel="0" collapsed="false">
      <c r="A179" s="19" t="n">
        <v>2</v>
      </c>
      <c r="B179" s="10" t="str">
        <f aca="false">$B$39</f>
        <v>Benefícios mensais e diários</v>
      </c>
      <c r="C179" s="10"/>
      <c r="D179" s="10"/>
      <c r="E179" s="10"/>
      <c r="F179" s="10"/>
      <c r="G179" s="10"/>
      <c r="H179" s="19"/>
      <c r="I179" s="136" t="n">
        <f aca="false">SUM(H180,H181,H182)</f>
        <v>76.45367176</v>
      </c>
      <c r="J179" s="136"/>
    </row>
    <row r="180" customFormat="false" ht="15" hidden="true" customHeight="true" outlineLevel="0" collapsed="false">
      <c r="A180" s="19" t="s">
        <v>400</v>
      </c>
      <c r="B180" s="21" t="s">
        <v>411</v>
      </c>
      <c r="C180" s="21"/>
      <c r="D180" s="21"/>
      <c r="E180" s="21"/>
      <c r="F180" s="21"/>
      <c r="G180" s="21"/>
      <c r="H180" s="124" t="n">
        <f aca="false">IF((3.8*2*22-0.06*I178)&gt;0,3.8*2*22-0.06*I178,0)</f>
        <v>76.45367176</v>
      </c>
      <c r="I180" s="124"/>
      <c r="J180" s="124"/>
      <c r="K180" s="129"/>
    </row>
    <row r="181" customFormat="false" ht="12.75" hidden="true" customHeight="true" outlineLevel="0" collapsed="false">
      <c r="A181" s="19" t="s">
        <v>417</v>
      </c>
      <c r="B181" s="21" t="s">
        <v>418</v>
      </c>
      <c r="C181" s="21"/>
      <c r="D181" s="21"/>
      <c r="E181" s="21"/>
      <c r="F181" s="21"/>
      <c r="G181" s="21"/>
      <c r="H181" s="124" t="n">
        <f aca="false">IF('DI, Tri e Pag'!$H$12:$J$12='DI, Tri e Pag'!$L$12,-('DI, Tri e Pag'!$H$23+'DI, Tri e Pag'!$H$24)*H180,0)</f>
        <v>0</v>
      </c>
      <c r="I181" s="124"/>
      <c r="J181" s="124"/>
      <c r="K181" s="139"/>
    </row>
    <row r="182" customFormat="false" ht="15" hidden="true" customHeight="true" outlineLevel="0" collapsed="false">
      <c r="A182" s="19" t="s">
        <v>403</v>
      </c>
      <c r="B182" s="21" t="s">
        <v>407</v>
      </c>
      <c r="C182" s="21"/>
      <c r="D182" s="21"/>
      <c r="E182" s="21"/>
      <c r="F182" s="21"/>
      <c r="G182" s="21"/>
      <c r="H182" s="124" t="n">
        <f aca="false">$H$47</f>
        <v>0</v>
      </c>
      <c r="I182" s="124"/>
      <c r="J182" s="124"/>
    </row>
    <row r="183" customFormat="false" ht="12.75" hidden="false" customHeight="false" outlineLevel="0" collapsed="false">
      <c r="A183" s="19" t="n">
        <v>3</v>
      </c>
      <c r="B183" s="10" t="str">
        <f aca="false">$B$51</f>
        <v> Uniformes E EPI's</v>
      </c>
      <c r="C183" s="10"/>
      <c r="D183" s="10"/>
      <c r="E183" s="10"/>
      <c r="F183" s="10"/>
      <c r="G183" s="10"/>
      <c r="H183" s="19"/>
      <c r="I183" s="136" t="n">
        <f aca="false">$H$64</f>
        <v>0</v>
      </c>
      <c r="J183" s="136"/>
    </row>
    <row r="184" customFormat="false" ht="12.75" hidden="false" customHeight="false" outlineLevel="0" collapsed="false">
      <c r="A184" s="19" t="n">
        <v>4</v>
      </c>
      <c r="B184" s="10" t="str">
        <f aca="false">$B$66</f>
        <v>Encargos Sociais e Trabalhistas</v>
      </c>
      <c r="C184" s="10"/>
      <c r="D184" s="10"/>
      <c r="E184" s="10"/>
      <c r="F184" s="10"/>
      <c r="G184" s="10"/>
      <c r="H184" s="138" t="n">
        <f aca="false">SUM($H$90,$H$98,$H$107,$H$127,$H$151)</f>
        <v>0.705426407383333</v>
      </c>
      <c r="I184" s="136" t="n">
        <f aca="false">H184*I178</f>
        <v>1066.91427189287</v>
      </c>
      <c r="J184" s="136"/>
    </row>
    <row r="185" customFormat="false" ht="12.75" hidden="false" customHeight="false" outlineLevel="0" collapsed="false">
      <c r="A185" s="19" t="n">
        <v>5</v>
      </c>
      <c r="B185" s="10" t="str">
        <f aca="false">B173</f>
        <v>Outro (Especificar)</v>
      </c>
      <c r="C185" s="10"/>
      <c r="D185" s="10"/>
      <c r="E185" s="10"/>
      <c r="F185" s="10"/>
      <c r="G185" s="10"/>
      <c r="H185" s="138"/>
      <c r="I185" s="136"/>
      <c r="J185" s="136"/>
    </row>
    <row r="186" customFormat="false" ht="12.75" hidden="false" customHeight="false" outlineLevel="0" collapsed="false">
      <c r="A186" s="16" t="s">
        <v>68</v>
      </c>
      <c r="B186" s="16"/>
      <c r="C186" s="16"/>
      <c r="D186" s="16"/>
      <c r="E186" s="16"/>
      <c r="F186" s="16"/>
      <c r="G186" s="16"/>
      <c r="H186" s="16"/>
      <c r="I186" s="128" t="n">
        <f aca="false">SUM(I178,I179,I183,I184,I185)</f>
        <v>2655.80674765287</v>
      </c>
      <c r="J186" s="128"/>
    </row>
    <row r="188" customFormat="false" ht="12.75" hidden="false" customHeight="false" outlineLevel="0" collapsed="false">
      <c r="A188" s="8" t="s">
        <v>526</v>
      </c>
      <c r="B188" s="8"/>
      <c r="C188" s="8"/>
      <c r="D188" s="8"/>
      <c r="E188" s="8"/>
      <c r="F188" s="8"/>
      <c r="G188" s="8"/>
      <c r="H188" s="8"/>
      <c r="I188" s="8"/>
      <c r="J188" s="8"/>
    </row>
    <row r="189" customFormat="false" ht="12.75" hidden="false" customHeight="true" outlineLevel="0" collapsed="false">
      <c r="A189" s="28" t="s">
        <v>520</v>
      </c>
      <c r="B189" s="104" t="s">
        <v>521</v>
      </c>
      <c r="C189" s="104"/>
      <c r="D189" s="104"/>
      <c r="E189" s="104"/>
      <c r="F189" s="104"/>
      <c r="G189" s="104"/>
      <c r="H189" s="134" t="s">
        <v>75</v>
      </c>
      <c r="I189" s="135" t="s">
        <v>522</v>
      </c>
      <c r="J189" s="135"/>
    </row>
    <row r="190" customFormat="false" ht="12.75" hidden="false" customHeight="false" outlineLevel="0" collapsed="false">
      <c r="A190" s="19" t="n">
        <v>1</v>
      </c>
      <c r="B190" s="10" t="str">
        <f aca="false">$B$31</f>
        <v> Remuneração</v>
      </c>
      <c r="C190" s="10"/>
      <c r="D190" s="10"/>
      <c r="E190" s="10"/>
      <c r="F190" s="10"/>
      <c r="G190" s="10"/>
      <c r="H190" s="24"/>
      <c r="I190" s="136" t="n">
        <f aca="false">I178*1.062+$H$35</f>
        <v>1606.210009848</v>
      </c>
      <c r="J190" s="136"/>
    </row>
    <row r="191" customFormat="false" ht="12.75" hidden="false" customHeight="false" outlineLevel="0" collapsed="false">
      <c r="A191" s="19" t="n">
        <v>2</v>
      </c>
      <c r="B191" s="10" t="str">
        <f aca="false">$B$39</f>
        <v>Benefícios mensais e diários</v>
      </c>
      <c r="C191" s="10"/>
      <c r="D191" s="10"/>
      <c r="E191" s="10"/>
      <c r="F191" s="10"/>
      <c r="G191" s="10"/>
      <c r="H191" s="19"/>
      <c r="I191" s="136" t="n">
        <f aca="false">SUM(H192,H193,H194)</f>
        <v>70.82739940912</v>
      </c>
      <c r="J191" s="136"/>
    </row>
    <row r="192" customFormat="false" ht="15" hidden="true" customHeight="true" outlineLevel="0" collapsed="false">
      <c r="A192" s="19" t="s">
        <v>400</v>
      </c>
      <c r="B192" s="21" t="s">
        <v>411</v>
      </c>
      <c r="C192" s="21"/>
      <c r="D192" s="21"/>
      <c r="E192" s="21"/>
      <c r="F192" s="21"/>
      <c r="G192" s="21"/>
      <c r="H192" s="124" t="n">
        <f aca="false">IF((3.8*2*22-0.06*I190)&gt;0,3.8*2*22-0.06*I190,0)</f>
        <v>70.82739940912</v>
      </c>
      <c r="I192" s="124"/>
      <c r="J192" s="124"/>
      <c r="K192" s="129"/>
    </row>
    <row r="193" customFormat="false" ht="12.75" hidden="true" customHeight="true" outlineLevel="0" collapsed="false">
      <c r="A193" s="19" t="s">
        <v>417</v>
      </c>
      <c r="B193" s="21" t="s">
        <v>418</v>
      </c>
      <c r="C193" s="21"/>
      <c r="D193" s="21"/>
      <c r="E193" s="21"/>
      <c r="F193" s="21"/>
      <c r="G193" s="21"/>
      <c r="H193" s="124" t="n">
        <f aca="false">IF('DI, Tri e Pag'!$H$12:$J$12='DI, Tri e Pag'!$L$12,-('DI, Tri e Pag'!$H$23+'DI, Tri e Pag'!$H$24)*H192,0)</f>
        <v>0</v>
      </c>
      <c r="I193" s="124"/>
      <c r="J193" s="124"/>
      <c r="K193" s="139"/>
    </row>
    <row r="194" customFormat="false" ht="15" hidden="true" customHeight="true" outlineLevel="0" collapsed="false">
      <c r="A194" s="19" t="s">
        <v>403</v>
      </c>
      <c r="B194" s="21" t="s">
        <v>407</v>
      </c>
      <c r="C194" s="21"/>
      <c r="D194" s="21"/>
      <c r="E194" s="21"/>
      <c r="F194" s="21"/>
      <c r="G194" s="21"/>
      <c r="H194" s="124" t="n">
        <f aca="false">$H$47</f>
        <v>0</v>
      </c>
      <c r="I194" s="124"/>
      <c r="J194" s="124"/>
    </row>
    <row r="195" customFormat="false" ht="12.75" hidden="false" customHeight="false" outlineLevel="0" collapsed="false">
      <c r="A195" s="19" t="n">
        <v>3</v>
      </c>
      <c r="B195" s="10" t="str">
        <f aca="false">$B$51</f>
        <v> Uniformes E EPI's</v>
      </c>
      <c r="C195" s="10"/>
      <c r="D195" s="10"/>
      <c r="E195" s="10"/>
      <c r="F195" s="10"/>
      <c r="G195" s="10"/>
      <c r="H195" s="19"/>
      <c r="I195" s="136" t="n">
        <f aca="false">$H$64</f>
        <v>0</v>
      </c>
      <c r="J195" s="136"/>
    </row>
    <row r="196" customFormat="false" ht="12.75" hidden="false" customHeight="false" outlineLevel="0" collapsed="false">
      <c r="A196" s="19" t="n">
        <v>4</v>
      </c>
      <c r="B196" s="10" t="str">
        <f aca="false">$B$66</f>
        <v>Encargos Sociais e Trabalhistas</v>
      </c>
      <c r="C196" s="10"/>
      <c r="D196" s="10"/>
      <c r="E196" s="10"/>
      <c r="F196" s="10"/>
      <c r="G196" s="10"/>
      <c r="H196" s="138" t="n">
        <f aca="false">SUM($H$90,$H$98,$H$107,$H$127,$H$151)</f>
        <v>0.705426407383333</v>
      </c>
      <c r="I196" s="136" t="n">
        <f aca="false">H196*I190</f>
        <v>1133.06295675022</v>
      </c>
      <c r="J196" s="136"/>
    </row>
    <row r="197" customFormat="false" ht="12.75" hidden="false" customHeight="false" outlineLevel="0" collapsed="false">
      <c r="A197" s="19" t="n">
        <v>5</v>
      </c>
      <c r="B197" s="10" t="str">
        <f aca="false">B185</f>
        <v>Outro (Especificar)</v>
      </c>
      <c r="C197" s="10"/>
      <c r="D197" s="10"/>
      <c r="E197" s="10"/>
      <c r="F197" s="10"/>
      <c r="G197" s="10"/>
      <c r="H197" s="138"/>
      <c r="I197" s="136"/>
      <c r="J197" s="136"/>
    </row>
    <row r="198" customFormat="false" ht="12.75" hidden="false" customHeight="false" outlineLevel="0" collapsed="false">
      <c r="A198" s="16" t="s">
        <v>68</v>
      </c>
      <c r="B198" s="16"/>
      <c r="C198" s="16"/>
      <c r="D198" s="16"/>
      <c r="E198" s="16"/>
      <c r="F198" s="16"/>
      <c r="G198" s="16"/>
      <c r="H198" s="16"/>
      <c r="I198" s="128" t="n">
        <f aca="false">SUM(I190,I191,I195,I196,I197)</f>
        <v>2810.10036600734</v>
      </c>
      <c r="J198" s="128"/>
    </row>
    <row r="200" customFormat="false" ht="12.75" hidden="false" customHeight="false" outlineLevel="0" collapsed="false">
      <c r="A200" s="8" t="s">
        <v>527</v>
      </c>
      <c r="B200" s="8"/>
      <c r="C200" s="8"/>
      <c r="D200" s="8"/>
      <c r="E200" s="8"/>
      <c r="F200" s="8"/>
      <c r="G200" s="8"/>
      <c r="H200" s="8"/>
      <c r="I200" s="8"/>
      <c r="J200" s="8"/>
    </row>
    <row r="201" customFormat="false" ht="12.75" hidden="false" customHeight="true" outlineLevel="0" collapsed="false">
      <c r="A201" s="28" t="s">
        <v>520</v>
      </c>
      <c r="B201" s="104" t="s">
        <v>521</v>
      </c>
      <c r="C201" s="104"/>
      <c r="D201" s="104"/>
      <c r="E201" s="104"/>
      <c r="F201" s="104"/>
      <c r="G201" s="104"/>
      <c r="H201" s="134" t="s">
        <v>75</v>
      </c>
      <c r="I201" s="135" t="s">
        <v>522</v>
      </c>
      <c r="J201" s="135"/>
    </row>
    <row r="202" customFormat="false" ht="12.75" hidden="false" customHeight="false" outlineLevel="0" collapsed="false">
      <c r="A202" s="19" t="n">
        <v>1</v>
      </c>
      <c r="B202" s="10" t="str">
        <f aca="false">$B$31</f>
        <v> Remuneração</v>
      </c>
      <c r="C202" s="10"/>
      <c r="D202" s="10"/>
      <c r="E202" s="10"/>
      <c r="F202" s="10"/>
      <c r="G202" s="10"/>
      <c r="H202" s="24"/>
      <c r="I202" s="136" t="n">
        <f aca="false">I190*1.062+$H$35</f>
        <v>1705.79503045858</v>
      </c>
      <c r="J202" s="136"/>
    </row>
    <row r="203" customFormat="false" ht="12.75" hidden="false" customHeight="false" outlineLevel="0" collapsed="false">
      <c r="A203" s="19" t="n">
        <v>2</v>
      </c>
      <c r="B203" s="10" t="str">
        <f aca="false">$B$39</f>
        <v>Benefícios mensais e diários</v>
      </c>
      <c r="C203" s="10"/>
      <c r="D203" s="10"/>
      <c r="E203" s="10"/>
      <c r="F203" s="10"/>
      <c r="G203" s="10"/>
      <c r="H203" s="19"/>
      <c r="I203" s="136" t="n">
        <f aca="false">SUM(H204,H205,H206)</f>
        <v>64.8522981724854</v>
      </c>
      <c r="J203" s="136"/>
    </row>
    <row r="204" customFormat="false" ht="15" hidden="true" customHeight="true" outlineLevel="0" collapsed="false">
      <c r="A204" s="19" t="s">
        <v>400</v>
      </c>
      <c r="B204" s="21" t="s">
        <v>411</v>
      </c>
      <c r="C204" s="21"/>
      <c r="D204" s="21"/>
      <c r="E204" s="21"/>
      <c r="F204" s="21"/>
      <c r="G204" s="21"/>
      <c r="H204" s="124" t="n">
        <f aca="false">IF((3.8*2*22-0.06*I202)&gt;0,3.8*2*22-0.06*I202,0)</f>
        <v>64.8522981724854</v>
      </c>
      <c r="I204" s="124"/>
      <c r="J204" s="124"/>
      <c r="K204" s="129"/>
    </row>
    <row r="205" customFormat="false" ht="12.75" hidden="true" customHeight="true" outlineLevel="0" collapsed="false">
      <c r="A205" s="19" t="s">
        <v>417</v>
      </c>
      <c r="B205" s="21" t="s">
        <v>418</v>
      </c>
      <c r="C205" s="21"/>
      <c r="D205" s="21"/>
      <c r="E205" s="21"/>
      <c r="F205" s="21"/>
      <c r="G205" s="21"/>
      <c r="H205" s="124" t="n">
        <f aca="false">IF('DI, Tri e Pag'!$H$12:$J$12='DI, Tri e Pag'!$L$12,-('DI, Tri e Pag'!$H$23+'DI, Tri e Pag'!$H$24)*H204,0)</f>
        <v>0</v>
      </c>
      <c r="I205" s="124"/>
      <c r="J205" s="124"/>
      <c r="K205" s="139"/>
    </row>
    <row r="206" customFormat="false" ht="15" hidden="true" customHeight="true" outlineLevel="0" collapsed="false">
      <c r="A206" s="19" t="s">
        <v>403</v>
      </c>
      <c r="B206" s="21" t="s">
        <v>407</v>
      </c>
      <c r="C206" s="21"/>
      <c r="D206" s="21"/>
      <c r="E206" s="21"/>
      <c r="F206" s="21"/>
      <c r="G206" s="21"/>
      <c r="H206" s="124" t="n">
        <f aca="false">$H$47</f>
        <v>0</v>
      </c>
      <c r="I206" s="124"/>
      <c r="J206" s="124"/>
    </row>
    <row r="207" customFormat="false" ht="12.75" hidden="false" customHeight="false" outlineLevel="0" collapsed="false">
      <c r="A207" s="19" t="n">
        <v>3</v>
      </c>
      <c r="B207" s="10" t="str">
        <f aca="false">$B$51</f>
        <v> Uniformes E EPI's</v>
      </c>
      <c r="C207" s="10"/>
      <c r="D207" s="10"/>
      <c r="E207" s="10"/>
      <c r="F207" s="10"/>
      <c r="G207" s="10"/>
      <c r="H207" s="19"/>
      <c r="I207" s="136" t="n">
        <f aca="false">$H$64</f>
        <v>0</v>
      </c>
      <c r="J207" s="136"/>
    </row>
    <row r="208" customFormat="false" ht="12.75" hidden="false" customHeight="false" outlineLevel="0" collapsed="false">
      <c r="A208" s="19" t="n">
        <v>4</v>
      </c>
      <c r="B208" s="10" t="str">
        <f aca="false">$B$66</f>
        <v>Encargos Sociais e Trabalhistas</v>
      </c>
      <c r="C208" s="10"/>
      <c r="D208" s="10"/>
      <c r="E208" s="10"/>
      <c r="F208" s="10"/>
      <c r="G208" s="10"/>
      <c r="H208" s="138" t="n">
        <f aca="false">SUM($H$90,$H$98,$H$107,$H$127,$H$151)</f>
        <v>0.705426407383333</v>
      </c>
      <c r="I208" s="136" t="n">
        <f aca="false">H208*I202</f>
        <v>1203.31286006874</v>
      </c>
      <c r="J208" s="136"/>
    </row>
    <row r="209" customFormat="false" ht="12.75" hidden="false" customHeight="false" outlineLevel="0" collapsed="false">
      <c r="A209" s="19" t="n">
        <v>5</v>
      </c>
      <c r="B209" s="10" t="str">
        <f aca="false">B197</f>
        <v>Outro (Especificar)</v>
      </c>
      <c r="C209" s="10"/>
      <c r="D209" s="10"/>
      <c r="E209" s="10"/>
      <c r="F209" s="10"/>
      <c r="G209" s="10"/>
      <c r="H209" s="138"/>
      <c r="I209" s="136"/>
      <c r="J209" s="136"/>
    </row>
    <row r="210" customFormat="false" ht="12.75" hidden="false" customHeight="false" outlineLevel="0" collapsed="false">
      <c r="A210" s="16" t="s">
        <v>68</v>
      </c>
      <c r="B210" s="16"/>
      <c r="C210" s="16"/>
      <c r="D210" s="16"/>
      <c r="E210" s="16"/>
      <c r="F210" s="16"/>
      <c r="G210" s="16"/>
      <c r="H210" s="16"/>
      <c r="I210" s="128" t="n">
        <f aca="false">SUM(I202,I203,I207,I208,I209)</f>
        <v>2973.9601886998</v>
      </c>
      <c r="J210" s="128"/>
    </row>
    <row r="212" customFormat="false" ht="12.75" hidden="false" customHeight="false" outlineLevel="0" collapsed="false">
      <c r="A212" s="8" t="s">
        <v>528</v>
      </c>
      <c r="B212" s="8"/>
      <c r="C212" s="8"/>
      <c r="D212" s="8"/>
      <c r="E212" s="8"/>
      <c r="F212" s="8"/>
      <c r="G212" s="8"/>
      <c r="H212" s="8"/>
      <c r="I212" s="8"/>
      <c r="J212" s="8"/>
    </row>
    <row r="213" customFormat="false" ht="12.75" hidden="false" customHeight="true" outlineLevel="0" collapsed="false">
      <c r="A213" s="28" t="s">
        <v>520</v>
      </c>
      <c r="B213" s="104" t="s">
        <v>521</v>
      </c>
      <c r="C213" s="104"/>
      <c r="D213" s="104"/>
      <c r="E213" s="104"/>
      <c r="F213" s="104"/>
      <c r="G213" s="104"/>
      <c r="H213" s="134" t="s">
        <v>75</v>
      </c>
      <c r="I213" s="135" t="s">
        <v>522</v>
      </c>
      <c r="J213" s="135"/>
    </row>
    <row r="214" customFormat="false" ht="12.75" hidden="false" customHeight="false" outlineLevel="0" collapsed="false">
      <c r="A214" s="19" t="n">
        <v>1</v>
      </c>
      <c r="B214" s="10" t="str">
        <f aca="false">$B$31</f>
        <v> Remuneração</v>
      </c>
      <c r="C214" s="10"/>
      <c r="D214" s="10"/>
      <c r="E214" s="10"/>
      <c r="F214" s="10"/>
      <c r="G214" s="10"/>
      <c r="H214" s="24"/>
      <c r="I214" s="136" t="n">
        <f aca="false">I202*1.062+$H$35</f>
        <v>1811.55432234701</v>
      </c>
      <c r="J214" s="136"/>
    </row>
    <row r="215" customFormat="false" ht="12.75" hidden="false" customHeight="false" outlineLevel="0" collapsed="false">
      <c r="A215" s="19" t="n">
        <v>2</v>
      </c>
      <c r="B215" s="10" t="str">
        <f aca="false">$B$39</f>
        <v>Benefícios mensais e diários</v>
      </c>
      <c r="C215" s="10"/>
      <c r="D215" s="10"/>
      <c r="E215" s="10"/>
      <c r="F215" s="10"/>
      <c r="G215" s="10"/>
      <c r="H215" s="19"/>
      <c r="I215" s="136" t="n">
        <f aca="false">SUM(H216,H217,H218)</f>
        <v>58.8534605915305</v>
      </c>
      <c r="J215" s="136"/>
    </row>
    <row r="216" customFormat="false" ht="15" hidden="true" customHeight="true" outlineLevel="0" collapsed="false">
      <c r="A216" s="19" t="s">
        <v>400</v>
      </c>
      <c r="B216" s="21" t="s">
        <v>411</v>
      </c>
      <c r="C216" s="21"/>
      <c r="D216" s="21"/>
      <c r="E216" s="21"/>
      <c r="F216" s="21"/>
      <c r="G216" s="21"/>
      <c r="H216" s="124" t="n">
        <v>58.8534605915305</v>
      </c>
      <c r="I216" s="124"/>
      <c r="J216" s="124"/>
      <c r="K216" s="129"/>
    </row>
    <row r="217" customFormat="false" ht="12.75" hidden="true" customHeight="true" outlineLevel="0" collapsed="false">
      <c r="A217" s="19" t="s">
        <v>417</v>
      </c>
      <c r="B217" s="21" t="s">
        <v>418</v>
      </c>
      <c r="C217" s="21"/>
      <c r="D217" s="21"/>
      <c r="E217" s="21"/>
      <c r="F217" s="21"/>
      <c r="G217" s="21"/>
      <c r="H217" s="124" t="n">
        <f aca="false">IF('DI, Tri e Pag'!$H$12:$J$12='DI, Tri e Pag'!$L$12,-('DI, Tri e Pag'!$H$23+'DI, Tri e Pag'!$H$24)*H216,0)</f>
        <v>0</v>
      </c>
      <c r="I217" s="124"/>
      <c r="J217" s="124"/>
      <c r="K217" s="139"/>
    </row>
    <row r="218" customFormat="false" ht="15" hidden="true" customHeight="true" outlineLevel="0" collapsed="false">
      <c r="A218" s="19" t="s">
        <v>403</v>
      </c>
      <c r="B218" s="21" t="s">
        <v>407</v>
      </c>
      <c r="C218" s="21"/>
      <c r="D218" s="21"/>
      <c r="E218" s="21"/>
      <c r="F218" s="21"/>
      <c r="G218" s="21"/>
      <c r="H218" s="124" t="n">
        <f aca="false">$H$47</f>
        <v>0</v>
      </c>
      <c r="I218" s="124"/>
      <c r="J218" s="124"/>
    </row>
    <row r="219" customFormat="false" ht="12.75" hidden="false" customHeight="false" outlineLevel="0" collapsed="false">
      <c r="A219" s="19" t="n">
        <v>3</v>
      </c>
      <c r="B219" s="10" t="str">
        <f aca="false">$B$51</f>
        <v> Uniformes E EPI's</v>
      </c>
      <c r="C219" s="10"/>
      <c r="D219" s="10"/>
      <c r="E219" s="10"/>
      <c r="F219" s="10"/>
      <c r="G219" s="10"/>
      <c r="H219" s="19"/>
      <c r="I219" s="136" t="n">
        <f aca="false">$H$64</f>
        <v>0</v>
      </c>
      <c r="J219" s="136"/>
    </row>
    <row r="220" customFormat="false" ht="12.75" hidden="false" customHeight="false" outlineLevel="0" collapsed="false">
      <c r="A220" s="19" t="n">
        <v>4</v>
      </c>
      <c r="B220" s="10" t="str">
        <f aca="false">$B$66</f>
        <v>Encargos Sociais e Trabalhistas</v>
      </c>
      <c r="C220" s="10"/>
      <c r="D220" s="10"/>
      <c r="E220" s="10"/>
      <c r="F220" s="10"/>
      <c r="G220" s="10"/>
      <c r="H220" s="138" t="n">
        <f aca="false">SUM($H$90,$H$98,$H$107,$H$127,$H$151)</f>
        <v>0.705426407383333</v>
      </c>
      <c r="I220" s="136" t="n">
        <f aca="false">H220*I214</f>
        <v>1277.918257393</v>
      </c>
      <c r="J220" s="136"/>
    </row>
    <row r="221" customFormat="false" ht="12.75" hidden="false" customHeight="false" outlineLevel="0" collapsed="false">
      <c r="A221" s="19" t="n">
        <v>5</v>
      </c>
      <c r="B221" s="10" t="str">
        <f aca="false">B209</f>
        <v>Outro (Especificar)</v>
      </c>
      <c r="C221" s="10"/>
      <c r="D221" s="10"/>
      <c r="E221" s="10"/>
      <c r="F221" s="10"/>
      <c r="G221" s="10"/>
      <c r="H221" s="138"/>
      <c r="I221" s="136"/>
      <c r="J221" s="136"/>
    </row>
    <row r="222" customFormat="false" ht="12.75" hidden="false" customHeight="false" outlineLevel="0" collapsed="false">
      <c r="A222" s="16" t="s">
        <v>68</v>
      </c>
      <c r="B222" s="16"/>
      <c r="C222" s="16"/>
      <c r="D222" s="16"/>
      <c r="E222" s="16"/>
      <c r="F222" s="16"/>
      <c r="G222" s="16"/>
      <c r="H222" s="16"/>
      <c r="I222" s="128" t="n">
        <f aca="false">SUM(I214,I215,I219,I220,I221)</f>
        <v>3148.32604033154</v>
      </c>
      <c r="J222" s="128"/>
    </row>
  </sheetData>
  <sheetProtection sheet="true" password="e536" objects="true" scenarios="true" formatColumns="false" formatRows="false"/>
  <mergeCells count="299">
    <mergeCell ref="A7:J7"/>
    <mergeCell ref="A11:J11"/>
    <mergeCell ref="A18:J18"/>
    <mergeCell ref="A20:J20"/>
    <mergeCell ref="B21:G21"/>
    <mergeCell ref="H21:J21"/>
    <mergeCell ref="B22:G22"/>
    <mergeCell ref="H22:J22"/>
    <mergeCell ref="B23:J23"/>
    <mergeCell ref="B24:G24"/>
    <mergeCell ref="H24:J24"/>
    <mergeCell ref="B25:J25"/>
    <mergeCell ref="B26:G26"/>
    <mergeCell ref="H26:J26"/>
    <mergeCell ref="B27:J27"/>
    <mergeCell ref="B28:G28"/>
    <mergeCell ref="H28:J28"/>
    <mergeCell ref="B29:J29"/>
    <mergeCell ref="B31:J31"/>
    <mergeCell ref="B32:G32"/>
    <mergeCell ref="H32:J32"/>
    <mergeCell ref="B33:G33"/>
    <mergeCell ref="H33:J33"/>
    <mergeCell ref="B34:J34"/>
    <mergeCell ref="B35:G35"/>
    <mergeCell ref="H35:J35"/>
    <mergeCell ref="B36:J36"/>
    <mergeCell ref="A37:G37"/>
    <mergeCell ref="H37:J37"/>
    <mergeCell ref="B39:J39"/>
    <mergeCell ref="B40:G40"/>
    <mergeCell ref="H40:J40"/>
    <mergeCell ref="B41:G41"/>
    <mergeCell ref="H41:J41"/>
    <mergeCell ref="B42:J42"/>
    <mergeCell ref="B43:J43"/>
    <mergeCell ref="B44:J44"/>
    <mergeCell ref="B45:G45"/>
    <mergeCell ref="H45:J45"/>
    <mergeCell ref="B46:J46"/>
    <mergeCell ref="B47:G47"/>
    <mergeCell ref="H47:J47"/>
    <mergeCell ref="B48:J48"/>
    <mergeCell ref="A49:G49"/>
    <mergeCell ref="H49:J49"/>
    <mergeCell ref="B51:J51"/>
    <mergeCell ref="B52:G52"/>
    <mergeCell ref="B53:G53"/>
    <mergeCell ref="B54:G54"/>
    <mergeCell ref="B55:G55"/>
    <mergeCell ref="B56:G56"/>
    <mergeCell ref="B57:G57"/>
    <mergeCell ref="B58:G58"/>
    <mergeCell ref="B59:J59"/>
    <mergeCell ref="B60:J60"/>
    <mergeCell ref="B61:J61"/>
    <mergeCell ref="B62:G62"/>
    <mergeCell ref="H62:J62"/>
    <mergeCell ref="B63:J63"/>
    <mergeCell ref="A64:G64"/>
    <mergeCell ref="H64:J64"/>
    <mergeCell ref="B66:J66"/>
    <mergeCell ref="B67:G67"/>
    <mergeCell ref="I67:J67"/>
    <mergeCell ref="B68:G68"/>
    <mergeCell ref="I68:J68"/>
    <mergeCell ref="B69:J69"/>
    <mergeCell ref="B70:G70"/>
    <mergeCell ref="I70:J70"/>
    <mergeCell ref="B71:J71"/>
    <mergeCell ref="B72:J72"/>
    <mergeCell ref="B73:G73"/>
    <mergeCell ref="I73:J73"/>
    <mergeCell ref="B74:J74"/>
    <mergeCell ref="B75:J75"/>
    <mergeCell ref="B76:G76"/>
    <mergeCell ref="I76:J76"/>
    <mergeCell ref="B77:J77"/>
    <mergeCell ref="B78:J78"/>
    <mergeCell ref="B79:G79"/>
    <mergeCell ref="I79:J79"/>
    <mergeCell ref="B80:J80"/>
    <mergeCell ref="B81:J81"/>
    <mergeCell ref="B82:G82"/>
    <mergeCell ref="I82:J82"/>
    <mergeCell ref="B83:J83"/>
    <mergeCell ref="B84:G84"/>
    <mergeCell ref="I84:J84"/>
    <mergeCell ref="B85:J85"/>
    <mergeCell ref="B86:J86"/>
    <mergeCell ref="B87:G87"/>
    <mergeCell ref="I87:J87"/>
    <mergeCell ref="B88:J88"/>
    <mergeCell ref="B89:J89"/>
    <mergeCell ref="A90:G90"/>
    <mergeCell ref="I90:J90"/>
    <mergeCell ref="B92:G92"/>
    <mergeCell ref="I92:J92"/>
    <mergeCell ref="B93:G93"/>
    <mergeCell ref="I93:J93"/>
    <mergeCell ref="B94:J94"/>
    <mergeCell ref="B95:J95"/>
    <mergeCell ref="B96:G96"/>
    <mergeCell ref="I96:J96"/>
    <mergeCell ref="B97:J97"/>
    <mergeCell ref="A98:G98"/>
    <mergeCell ref="I98:J98"/>
    <mergeCell ref="B100:G100"/>
    <mergeCell ref="I100:J100"/>
    <mergeCell ref="B101:G101"/>
    <mergeCell ref="I101:J101"/>
    <mergeCell ref="B102:J102"/>
    <mergeCell ref="B103:J103"/>
    <mergeCell ref="B104:J104"/>
    <mergeCell ref="B105:G105"/>
    <mergeCell ref="I105:J105"/>
    <mergeCell ref="B106:J106"/>
    <mergeCell ref="A107:G107"/>
    <mergeCell ref="I107:J107"/>
    <mergeCell ref="B109:G109"/>
    <mergeCell ref="I109:J109"/>
    <mergeCell ref="B110:G110"/>
    <mergeCell ref="I110:J110"/>
    <mergeCell ref="B111:J111"/>
    <mergeCell ref="B112:J112"/>
    <mergeCell ref="B113:J113"/>
    <mergeCell ref="B114:J114"/>
    <mergeCell ref="B115:G115"/>
    <mergeCell ref="I115:J115"/>
    <mergeCell ref="B116:J116"/>
    <mergeCell ref="B117:G117"/>
    <mergeCell ref="I117:J117"/>
    <mergeCell ref="B118:J118"/>
    <mergeCell ref="B119:J119"/>
    <mergeCell ref="B120:G120"/>
    <mergeCell ref="I120:J120"/>
    <mergeCell ref="B121:J121"/>
    <mergeCell ref="B122:J122"/>
    <mergeCell ref="B123:G123"/>
    <mergeCell ref="I123:J123"/>
    <mergeCell ref="B124:J124"/>
    <mergeCell ref="B125:G125"/>
    <mergeCell ref="I125:J125"/>
    <mergeCell ref="B126:J126"/>
    <mergeCell ref="A127:G127"/>
    <mergeCell ref="I127:J127"/>
    <mergeCell ref="B129:G129"/>
    <mergeCell ref="I129:J129"/>
    <mergeCell ref="B130:G130"/>
    <mergeCell ref="I130:J130"/>
    <mergeCell ref="B131:J131"/>
    <mergeCell ref="B132:J132"/>
    <mergeCell ref="B133:G133"/>
    <mergeCell ref="I133:J133"/>
    <mergeCell ref="B134:J134"/>
    <mergeCell ref="B135:J135"/>
    <mergeCell ref="B136:G136"/>
    <mergeCell ref="I136:J136"/>
    <mergeCell ref="B137:J137"/>
    <mergeCell ref="B138:J138"/>
    <mergeCell ref="B139:G139"/>
    <mergeCell ref="I139:J139"/>
    <mergeCell ref="B140:J140"/>
    <mergeCell ref="B141:J141"/>
    <mergeCell ref="B142:G142"/>
    <mergeCell ref="I142:J142"/>
    <mergeCell ref="B143:J143"/>
    <mergeCell ref="B144:J144"/>
    <mergeCell ref="B145:G145"/>
    <mergeCell ref="I145:J145"/>
    <mergeCell ref="B146:J146"/>
    <mergeCell ref="B147:J147"/>
    <mergeCell ref="B148:G148"/>
    <mergeCell ref="I148:J148"/>
    <mergeCell ref="B149:J149"/>
    <mergeCell ref="B150:J150"/>
    <mergeCell ref="A151:G151"/>
    <mergeCell ref="I151:J151"/>
    <mergeCell ref="A153:J153"/>
    <mergeCell ref="B154:G154"/>
    <mergeCell ref="I154:J154"/>
    <mergeCell ref="B155:G155"/>
    <mergeCell ref="I155:J155"/>
    <mergeCell ref="B156:G156"/>
    <mergeCell ref="I156:J156"/>
    <mergeCell ref="B157:G157"/>
    <mergeCell ref="I157:J157"/>
    <mergeCell ref="B158:G158"/>
    <mergeCell ref="I158:J158"/>
    <mergeCell ref="B159:G159"/>
    <mergeCell ref="I159:J159"/>
    <mergeCell ref="A160:H160"/>
    <mergeCell ref="I160:J160"/>
    <mergeCell ref="A162:J162"/>
    <mergeCell ref="A164:J164"/>
    <mergeCell ref="B165:G165"/>
    <mergeCell ref="I165:J165"/>
    <mergeCell ref="B166:G166"/>
    <mergeCell ref="I166:J166"/>
    <mergeCell ref="B167:G167"/>
    <mergeCell ref="I167:J167"/>
    <mergeCell ref="B168:G168"/>
    <mergeCell ref="H168:J168"/>
    <mergeCell ref="B169:G169"/>
    <mergeCell ref="H169:J169"/>
    <mergeCell ref="B170:G170"/>
    <mergeCell ref="H170:J170"/>
    <mergeCell ref="B171:G171"/>
    <mergeCell ref="I171:J171"/>
    <mergeCell ref="B172:G172"/>
    <mergeCell ref="I172:J172"/>
    <mergeCell ref="B173:G173"/>
    <mergeCell ref="I173:J173"/>
    <mergeCell ref="A174:H174"/>
    <mergeCell ref="I174:J174"/>
    <mergeCell ref="A176:J176"/>
    <mergeCell ref="B177:G177"/>
    <mergeCell ref="I177:J177"/>
    <mergeCell ref="B178:G178"/>
    <mergeCell ref="I178:J178"/>
    <mergeCell ref="B179:G179"/>
    <mergeCell ref="I179:J179"/>
    <mergeCell ref="B180:G180"/>
    <mergeCell ref="H180:J180"/>
    <mergeCell ref="B181:G181"/>
    <mergeCell ref="H181:J181"/>
    <mergeCell ref="B182:G182"/>
    <mergeCell ref="H182:J182"/>
    <mergeCell ref="B183:G183"/>
    <mergeCell ref="I183:J183"/>
    <mergeCell ref="B184:G184"/>
    <mergeCell ref="I184:J184"/>
    <mergeCell ref="B185:G185"/>
    <mergeCell ref="I185:J185"/>
    <mergeCell ref="A186:H186"/>
    <mergeCell ref="I186:J186"/>
    <mergeCell ref="A188:J188"/>
    <mergeCell ref="B189:G189"/>
    <mergeCell ref="I189:J189"/>
    <mergeCell ref="B190:G190"/>
    <mergeCell ref="I190:J190"/>
    <mergeCell ref="B191:G191"/>
    <mergeCell ref="I191:J191"/>
    <mergeCell ref="B192:G192"/>
    <mergeCell ref="H192:J192"/>
    <mergeCell ref="B193:G193"/>
    <mergeCell ref="H193:J193"/>
    <mergeCell ref="B194:G194"/>
    <mergeCell ref="H194:J194"/>
    <mergeCell ref="B195:G195"/>
    <mergeCell ref="I195:J195"/>
    <mergeCell ref="B196:G196"/>
    <mergeCell ref="I196:J196"/>
    <mergeCell ref="B197:G197"/>
    <mergeCell ref="I197:J197"/>
    <mergeCell ref="A198:H198"/>
    <mergeCell ref="I198:J198"/>
    <mergeCell ref="A200:J200"/>
    <mergeCell ref="B201:G201"/>
    <mergeCell ref="I201:J201"/>
    <mergeCell ref="B202:G202"/>
    <mergeCell ref="I202:J202"/>
    <mergeCell ref="B203:G203"/>
    <mergeCell ref="I203:J203"/>
    <mergeCell ref="B204:G204"/>
    <mergeCell ref="H204:J204"/>
    <mergeCell ref="B205:G205"/>
    <mergeCell ref="H205:J205"/>
    <mergeCell ref="B206:G206"/>
    <mergeCell ref="H206:J206"/>
    <mergeCell ref="B207:G207"/>
    <mergeCell ref="I207:J207"/>
    <mergeCell ref="B208:G208"/>
    <mergeCell ref="I208:J208"/>
    <mergeCell ref="B209:G209"/>
    <mergeCell ref="I209:J209"/>
    <mergeCell ref="A210:H210"/>
    <mergeCell ref="I210:J210"/>
    <mergeCell ref="A212:J212"/>
    <mergeCell ref="B213:G213"/>
    <mergeCell ref="I213:J213"/>
    <mergeCell ref="B214:G214"/>
    <mergeCell ref="I214:J214"/>
    <mergeCell ref="B215:G215"/>
    <mergeCell ref="I215:J215"/>
    <mergeCell ref="B216:G216"/>
    <mergeCell ref="H216:J216"/>
    <mergeCell ref="B217:G217"/>
    <mergeCell ref="H217:J217"/>
    <mergeCell ref="B218:G218"/>
    <mergeCell ref="H218:J218"/>
    <mergeCell ref="B219:G219"/>
    <mergeCell ref="I219:J219"/>
    <mergeCell ref="B220:G220"/>
    <mergeCell ref="I220:J220"/>
    <mergeCell ref="B221:G221"/>
    <mergeCell ref="I221:J221"/>
    <mergeCell ref="A222:H222"/>
    <mergeCell ref="I222:J222"/>
  </mergeCells>
  <hyperlinks>
    <hyperlink ref="K7" location="Início!A7" display="Início"/>
    <hyperlink ref="L7" location="'C. F. P. Supervisor'!A7" display="Voltar"/>
    <hyperlink ref="M7" location="'C. F. P. Vigia Diurno'!A7" display="Avançar"/>
    <hyperlink ref="B111" r:id="rId2" display="Os dados de rotatividade da mão de obra para este estudo foram obtidos no CAGED –&#10;Cadastro Geral de Empregados e Desempregados, e podem ser consultados em: http://bi.mte.gov.br/cagedestabelecimento/pages/consulta.xhtml"/>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 F. P. - ENCARREGADO&amp;C&amp;"Times New Roman,Normal"&amp;10&lt;Inserir nome da empresa&gt;
&lt;Inserir endereço da empresa&gt;
&lt;Inserir telefone da empresa&gt;
&lt;Inserir correio eletrônico da empresa&gt;&amp;R&amp;"Times New Roman,Normal"&amp;10&amp;P/&amp;N</oddFooter>
  </headerFooter>
  <legacyDrawing r:id="rId3"/>
</worksheet>
</file>

<file path=xl/worksheets/sheet12.xml><?xml version="1.0" encoding="utf-8"?>
<worksheet xmlns="http://schemas.openxmlformats.org/spreadsheetml/2006/main" xmlns:r="http://schemas.openxmlformats.org/officeDocument/2006/relationships">
  <sheetPr filterMode="false">
    <pageSetUpPr fitToPage="false"/>
  </sheetPr>
  <dimension ref="A1:R248"/>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7" activeCellId="0" sqref="A7"/>
    </sheetView>
  </sheetViews>
  <sheetFormatPr defaultRowHeight="12.75"/>
  <cols>
    <col collapsed="false" hidden="false" max="1" min="1" style="1" width="8.77551020408163"/>
    <col collapsed="false" hidden="false" max="7" min="2" style="1" width="9.04591836734694"/>
    <col collapsed="false" hidden="false" max="8" min="8" style="1" width="9.44897959183673"/>
    <col collapsed="false" hidden="false" max="9" min="9" style="1" width="10.1224489795918"/>
    <col collapsed="false" hidden="false" max="1025" min="10"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544</v>
      </c>
      <c r="B7" s="3"/>
      <c r="C7" s="3"/>
      <c r="D7" s="3"/>
      <c r="E7" s="3"/>
      <c r="F7" s="3"/>
      <c r="G7" s="3"/>
      <c r="H7" s="3"/>
      <c r="I7" s="3"/>
      <c r="J7" s="3"/>
      <c r="K7" s="26" t="s">
        <v>12</v>
      </c>
      <c r="L7" s="13" t="s">
        <v>45</v>
      </c>
      <c r="M7" s="5" t="s">
        <v>6</v>
      </c>
    </row>
    <row r="9" customFormat="false" ht="12.75" hidden="false" customHeight="false" outlineLevel="0" collapsed="false">
      <c r="A9" s="12" t="s">
        <v>374</v>
      </c>
    </row>
    <row r="10" customFormat="false" ht="12.75" hidden="false" customHeight="false" outlineLevel="0" collapsed="false">
      <c r="A10" s="1" t="s">
        <v>375</v>
      </c>
    </row>
    <row r="11" customFormat="false" ht="30" hidden="false" customHeight="true" outlineLevel="0" collapsed="false">
      <c r="A11" s="99" t="s">
        <v>376</v>
      </c>
      <c r="B11" s="99"/>
      <c r="C11" s="99"/>
      <c r="D11" s="99"/>
      <c r="E11" s="99"/>
      <c r="F11" s="99"/>
      <c r="G11" s="99"/>
      <c r="H11" s="99"/>
      <c r="I11" s="99"/>
      <c r="J11" s="99"/>
    </row>
    <row r="12" customFormat="false" ht="12.75" hidden="false" customHeight="false" outlineLevel="0" collapsed="false">
      <c r="B12" s="1" t="s">
        <v>377</v>
      </c>
    </row>
    <row r="13" customFormat="false" ht="12.75" hidden="false" customHeight="false" outlineLevel="0" collapsed="false">
      <c r="B13" s="1" t="s">
        <v>378</v>
      </c>
    </row>
    <row r="14" customFormat="false" ht="12.75" hidden="false" customHeight="false" outlineLevel="0" collapsed="false">
      <c r="B14" s="1" t="s">
        <v>379</v>
      </c>
    </row>
    <row r="15" customFormat="false" ht="12.75" hidden="false" customHeight="false" outlineLevel="0" collapsed="false">
      <c r="B15" s="1" t="s">
        <v>380</v>
      </c>
    </row>
    <row r="16" customFormat="false" ht="12.75" hidden="false" customHeight="false" outlineLevel="0" collapsed="false">
      <c r="B16" s="1" t="s">
        <v>381</v>
      </c>
    </row>
    <row r="18" customFormat="false" ht="12.75" hidden="false" customHeight="false" outlineLevel="0" collapsed="false">
      <c r="A18" s="27" t="s">
        <v>104</v>
      </c>
      <c r="B18" s="27"/>
      <c r="C18" s="27"/>
      <c r="D18" s="27"/>
      <c r="E18" s="27"/>
      <c r="F18" s="27"/>
      <c r="G18" s="27"/>
      <c r="H18" s="27"/>
      <c r="I18" s="27"/>
      <c r="J18" s="27"/>
    </row>
    <row r="20" customFormat="false" ht="12.75" hidden="false" customHeight="false" outlineLevel="0" collapsed="false">
      <c r="A20" s="28" t="s">
        <v>382</v>
      </c>
      <c r="B20" s="28"/>
      <c r="C20" s="28"/>
      <c r="D20" s="28"/>
      <c r="E20" s="28"/>
      <c r="F20" s="28"/>
      <c r="G20" s="28"/>
      <c r="H20" s="28"/>
      <c r="I20" s="28"/>
      <c r="J20" s="28"/>
    </row>
    <row r="21" customFormat="false" ht="25.5" hidden="false" customHeight="true" outlineLevel="0" collapsed="false">
      <c r="A21" s="19" t="n">
        <v>1</v>
      </c>
      <c r="B21" s="21" t="s">
        <v>383</v>
      </c>
      <c r="C21" s="21"/>
      <c r="D21" s="21"/>
      <c r="E21" s="21"/>
      <c r="F21" s="21"/>
      <c r="G21" s="21"/>
      <c r="H21" s="100" t="s">
        <v>545</v>
      </c>
      <c r="I21" s="100"/>
      <c r="J21" s="100"/>
    </row>
    <row r="22" customFormat="false" ht="12.75" hidden="false" customHeight="true" outlineLevel="0" collapsed="false">
      <c r="A22" s="19" t="n">
        <v>2</v>
      </c>
      <c r="B22" s="21" t="s">
        <v>385</v>
      </c>
      <c r="C22" s="21"/>
      <c r="D22" s="21"/>
      <c r="E22" s="21"/>
      <c r="F22" s="21"/>
      <c r="G22" s="21"/>
      <c r="H22" s="101" t="n">
        <v>1137</v>
      </c>
      <c r="I22" s="101"/>
      <c r="J22" s="101"/>
    </row>
    <row r="23" customFormat="false" ht="12.75" hidden="false" customHeight="true" outlineLevel="0" collapsed="false">
      <c r="A23" s="30" t="s">
        <v>108</v>
      </c>
      <c r="B23" s="31" t="s">
        <v>386</v>
      </c>
      <c r="C23" s="31"/>
      <c r="D23" s="31"/>
      <c r="E23" s="31"/>
      <c r="F23" s="31"/>
      <c r="G23" s="31"/>
      <c r="H23" s="31"/>
      <c r="I23" s="31"/>
      <c r="J23" s="31"/>
    </row>
    <row r="24" customFormat="false" ht="12.75" hidden="false" customHeight="true" outlineLevel="0" collapsed="false">
      <c r="A24" s="19" t="n">
        <v>3</v>
      </c>
      <c r="B24" s="21" t="s">
        <v>387</v>
      </c>
      <c r="C24" s="21"/>
      <c r="D24" s="21"/>
      <c r="E24" s="21"/>
      <c r="F24" s="21"/>
      <c r="G24" s="21"/>
      <c r="H24" s="102" t="s">
        <v>388</v>
      </c>
      <c r="I24" s="102"/>
      <c r="J24" s="102"/>
    </row>
    <row r="25" customFormat="false" ht="12.75" hidden="false" customHeight="true" outlineLevel="0" collapsed="false">
      <c r="A25" s="30" t="s">
        <v>108</v>
      </c>
      <c r="B25" s="31" t="s">
        <v>389</v>
      </c>
      <c r="C25" s="31"/>
      <c r="D25" s="31"/>
      <c r="E25" s="31"/>
      <c r="F25" s="31"/>
      <c r="G25" s="31"/>
      <c r="H25" s="31"/>
      <c r="I25" s="31"/>
      <c r="J25" s="31"/>
    </row>
    <row r="26" customFormat="false" ht="12.75" hidden="false" customHeight="true" outlineLevel="0" collapsed="false">
      <c r="A26" s="19" t="n">
        <v>4</v>
      </c>
      <c r="B26" s="21" t="s">
        <v>390</v>
      </c>
      <c r="C26" s="21"/>
      <c r="D26" s="21"/>
      <c r="E26" s="21"/>
      <c r="F26" s="21"/>
      <c r="G26" s="21"/>
      <c r="H26" s="102" t="s">
        <v>546</v>
      </c>
      <c r="I26" s="102"/>
      <c r="J26" s="102"/>
    </row>
    <row r="27" customFormat="false" ht="24.75" hidden="false" customHeight="true" outlineLevel="0" collapsed="false">
      <c r="A27" s="30" t="s">
        <v>108</v>
      </c>
      <c r="B27" s="31" t="s">
        <v>392</v>
      </c>
      <c r="C27" s="31"/>
      <c r="D27" s="31"/>
      <c r="E27" s="31"/>
      <c r="F27" s="31"/>
      <c r="G27" s="31"/>
      <c r="H27" s="31"/>
      <c r="I27" s="31"/>
      <c r="J27" s="31"/>
    </row>
    <row r="28" customFormat="false" ht="12.75" hidden="false" customHeight="true" outlineLevel="0" collapsed="false">
      <c r="A28" s="19" t="n">
        <v>5</v>
      </c>
      <c r="B28" s="21" t="s">
        <v>393</v>
      </c>
      <c r="C28" s="21"/>
      <c r="D28" s="21"/>
      <c r="E28" s="21"/>
      <c r="F28" s="21"/>
      <c r="G28" s="21"/>
      <c r="H28" s="102" t="s">
        <v>394</v>
      </c>
      <c r="I28" s="102"/>
      <c r="J28" s="102"/>
    </row>
    <row r="29" customFormat="false" ht="24.75" hidden="false" customHeight="true" outlineLevel="0" collapsed="false">
      <c r="A29" s="30" t="s">
        <v>108</v>
      </c>
      <c r="B29" s="31" t="s">
        <v>395</v>
      </c>
      <c r="C29" s="31"/>
      <c r="D29" s="31"/>
      <c r="E29" s="31"/>
      <c r="F29" s="31"/>
      <c r="G29" s="31"/>
      <c r="H29" s="31"/>
      <c r="I29" s="31"/>
      <c r="J29" s="31"/>
    </row>
    <row r="31" customFormat="false" ht="13.5" hidden="false" customHeight="true" outlineLevel="0" collapsed="false">
      <c r="A31" s="103" t="s">
        <v>396</v>
      </c>
      <c r="B31" s="104" t="s">
        <v>397</v>
      </c>
      <c r="C31" s="104"/>
      <c r="D31" s="104"/>
      <c r="E31" s="104"/>
      <c r="F31" s="104"/>
      <c r="G31" s="104"/>
      <c r="H31" s="104"/>
      <c r="I31" s="104"/>
      <c r="J31" s="104"/>
    </row>
    <row r="32" customFormat="false" ht="12.75" hidden="false" customHeight="true" outlineLevel="0" collapsed="false">
      <c r="A32" s="16" t="n">
        <v>1</v>
      </c>
      <c r="B32" s="105" t="s">
        <v>398</v>
      </c>
      <c r="C32" s="105"/>
      <c r="D32" s="105"/>
      <c r="E32" s="105"/>
      <c r="F32" s="105"/>
      <c r="G32" s="105"/>
      <c r="H32" s="106" t="s">
        <v>399</v>
      </c>
      <c r="I32" s="106"/>
      <c r="J32" s="106"/>
    </row>
    <row r="33" customFormat="false" ht="12.75" hidden="false" customHeight="true" outlineLevel="0" collapsed="false">
      <c r="A33" s="19" t="s">
        <v>400</v>
      </c>
      <c r="B33" s="21" t="s">
        <v>401</v>
      </c>
      <c r="C33" s="21"/>
      <c r="D33" s="21"/>
      <c r="E33" s="21"/>
      <c r="F33" s="21"/>
      <c r="G33" s="21"/>
      <c r="H33" s="107" t="n">
        <v>1137</v>
      </c>
      <c r="I33" s="107"/>
      <c r="J33" s="107"/>
    </row>
    <row r="34" customFormat="false" ht="12.75" hidden="false" customHeight="true" outlineLevel="0" collapsed="false">
      <c r="A34" s="108" t="s">
        <v>108</v>
      </c>
      <c r="B34" s="109" t="s">
        <v>402</v>
      </c>
      <c r="C34" s="109"/>
      <c r="D34" s="109"/>
      <c r="E34" s="109"/>
      <c r="F34" s="109"/>
      <c r="G34" s="109"/>
      <c r="H34" s="109"/>
      <c r="I34" s="109"/>
      <c r="J34" s="109"/>
    </row>
    <row r="35" customFormat="false" ht="12.75" hidden="false" customHeight="true" outlineLevel="0" collapsed="false">
      <c r="A35" s="19" t="s">
        <v>403</v>
      </c>
      <c r="B35" s="111" t="s">
        <v>407</v>
      </c>
      <c r="C35" s="111"/>
      <c r="D35" s="111"/>
      <c r="E35" s="111"/>
      <c r="F35" s="111"/>
      <c r="G35" s="111"/>
      <c r="H35" s="107" t="n">
        <v>0</v>
      </c>
      <c r="I35" s="107"/>
      <c r="J35" s="107"/>
    </row>
    <row r="36" customFormat="false" ht="12.75" hidden="false" customHeight="true" outlineLevel="0" collapsed="false">
      <c r="A36" s="108" t="s">
        <v>108</v>
      </c>
      <c r="B36" s="109" t="s">
        <v>408</v>
      </c>
      <c r="C36" s="109"/>
      <c r="D36" s="109"/>
      <c r="E36" s="109"/>
      <c r="F36" s="109"/>
      <c r="G36" s="109"/>
      <c r="H36" s="109"/>
      <c r="I36" s="109"/>
      <c r="J36" s="109"/>
    </row>
    <row r="37" customFormat="false" ht="12.75" hidden="false" customHeight="false" outlineLevel="0" collapsed="false">
      <c r="A37" s="16" t="str">
        <f aca="false">"Total do "&amp;A31</f>
        <v>Total do Módulo1</v>
      </c>
      <c r="B37" s="16"/>
      <c r="C37" s="16"/>
      <c r="D37" s="16"/>
      <c r="E37" s="16"/>
      <c r="F37" s="16"/>
      <c r="G37" s="16"/>
      <c r="H37" s="112" t="n">
        <f aca="false">SUM(H33,H35)</f>
        <v>1137</v>
      </c>
      <c r="I37" s="112"/>
      <c r="J37" s="112"/>
    </row>
    <row r="39" customFormat="false" ht="13.5" hidden="false" customHeight="true" outlineLevel="0" collapsed="false">
      <c r="A39" s="103" t="s">
        <v>409</v>
      </c>
      <c r="B39" s="104" t="s">
        <v>410</v>
      </c>
      <c r="C39" s="104"/>
      <c r="D39" s="104"/>
      <c r="E39" s="104"/>
      <c r="F39" s="104"/>
      <c r="G39" s="104"/>
      <c r="H39" s="104"/>
      <c r="I39" s="104"/>
      <c r="J39" s="104"/>
    </row>
    <row r="40" customFormat="false" ht="12.75" hidden="false" customHeight="true" outlineLevel="0" collapsed="false">
      <c r="A40" s="16" t="n">
        <v>2</v>
      </c>
      <c r="B40" s="105" t="s">
        <v>410</v>
      </c>
      <c r="C40" s="105"/>
      <c r="D40" s="105"/>
      <c r="E40" s="105"/>
      <c r="F40" s="105"/>
      <c r="G40" s="105"/>
      <c r="H40" s="106" t="s">
        <v>399</v>
      </c>
      <c r="I40" s="106"/>
      <c r="J40" s="106"/>
    </row>
    <row r="41" customFormat="false" ht="12.75" hidden="false" customHeight="true" outlineLevel="0" collapsed="false">
      <c r="A41" s="19" t="s">
        <v>400</v>
      </c>
      <c r="B41" s="21" t="s">
        <v>411</v>
      </c>
      <c r="C41" s="21"/>
      <c r="D41" s="21"/>
      <c r="E41" s="21"/>
      <c r="F41" s="21"/>
      <c r="G41" s="21"/>
      <c r="H41" s="107" t="n">
        <f aca="false">IF((3.8*2*22-0.06*$H$37)&gt;0,3.8*2*22-0.06*$H$37,0)</f>
        <v>98.98</v>
      </c>
      <c r="I41" s="107"/>
      <c r="J41" s="107"/>
      <c r="L41" s="129"/>
    </row>
    <row r="42" customFormat="false" ht="12.75" hidden="false" customHeight="true" outlineLevel="0" collapsed="false">
      <c r="A42" s="108" t="s">
        <v>412</v>
      </c>
      <c r="B42" s="109" t="s">
        <v>413</v>
      </c>
      <c r="C42" s="109"/>
      <c r="D42" s="109"/>
      <c r="E42" s="109"/>
      <c r="F42" s="109"/>
      <c r="G42" s="109"/>
      <c r="H42" s="109"/>
      <c r="I42" s="109"/>
      <c r="J42" s="109"/>
    </row>
    <row r="43" customFormat="false" ht="32.25" hidden="false" customHeight="true" outlineLevel="0" collapsed="false">
      <c r="A43" s="108" t="s">
        <v>414</v>
      </c>
      <c r="B43" s="109" t="s">
        <v>415</v>
      </c>
      <c r="C43" s="109"/>
      <c r="D43" s="109"/>
      <c r="E43" s="109"/>
      <c r="F43" s="109"/>
      <c r="G43" s="109"/>
      <c r="H43" s="109"/>
      <c r="I43" s="109"/>
      <c r="J43" s="109"/>
    </row>
    <row r="44" customFormat="false" ht="12.75" hidden="false" customHeight="true" outlineLevel="0" collapsed="false">
      <c r="A44" s="108" t="s">
        <v>364</v>
      </c>
      <c r="B44" s="109" t="s">
        <v>416</v>
      </c>
      <c r="C44" s="109"/>
      <c r="D44" s="109"/>
      <c r="E44" s="109"/>
      <c r="F44" s="109"/>
      <c r="G44" s="109"/>
      <c r="H44" s="109"/>
      <c r="I44" s="109"/>
      <c r="J44" s="109"/>
      <c r="M44" s="113"/>
    </row>
    <row r="45" customFormat="false" ht="12.75" hidden="false" customHeight="true" outlineLevel="0" collapsed="false">
      <c r="A45" s="19" t="s">
        <v>417</v>
      </c>
      <c r="B45" s="21" t="s">
        <v>418</v>
      </c>
      <c r="C45" s="21"/>
      <c r="D45" s="21"/>
      <c r="E45" s="21"/>
      <c r="F45" s="21"/>
      <c r="G45" s="21"/>
      <c r="H45" s="110" t="n">
        <f aca="false">IF('DI, Tri e Pag'!$H$12:$J$12='DI, Tri e Pag'!$L$12,-('DI, Tri e Pag'!$H$23+'DI, Tri e Pag'!$H$24)*'C. F. P. Vigia Diurno'!H41,0)</f>
        <v>0</v>
      </c>
      <c r="I45" s="110"/>
      <c r="J45" s="110"/>
    </row>
    <row r="46" customFormat="false" ht="44.25" hidden="false" customHeight="true" outlineLevel="0" collapsed="false">
      <c r="A46" s="30" t="s">
        <v>419</v>
      </c>
      <c r="B46" s="31" t="s">
        <v>420</v>
      </c>
      <c r="C46" s="31"/>
      <c r="D46" s="31"/>
      <c r="E46" s="31"/>
      <c r="F46" s="31"/>
      <c r="G46" s="31"/>
      <c r="H46" s="31"/>
      <c r="I46" s="31"/>
      <c r="J46" s="31"/>
    </row>
    <row r="47" customFormat="false" ht="12.75" hidden="false" customHeight="true" outlineLevel="0" collapsed="false">
      <c r="A47" s="19" t="s">
        <v>403</v>
      </c>
      <c r="B47" s="111" t="s">
        <v>407</v>
      </c>
      <c r="C47" s="111"/>
      <c r="D47" s="111"/>
      <c r="E47" s="111"/>
      <c r="F47" s="111"/>
      <c r="G47" s="111"/>
      <c r="H47" s="107"/>
      <c r="I47" s="107"/>
      <c r="J47" s="107"/>
    </row>
    <row r="48" customFormat="false" ht="12.75" hidden="false" customHeight="true" outlineLevel="0" collapsed="false">
      <c r="A48" s="108" t="s">
        <v>419</v>
      </c>
      <c r="B48" s="109" t="s">
        <v>408</v>
      </c>
      <c r="C48" s="109"/>
      <c r="D48" s="109"/>
      <c r="E48" s="109"/>
      <c r="F48" s="109"/>
      <c r="G48" s="109"/>
      <c r="H48" s="109"/>
      <c r="I48" s="109"/>
      <c r="J48" s="109"/>
    </row>
    <row r="49" customFormat="false" ht="12.75" hidden="false" customHeight="false" outlineLevel="0" collapsed="false">
      <c r="A49" s="16" t="str">
        <f aca="false">"Total do "&amp;A39</f>
        <v>Total do Módulo2 </v>
      </c>
      <c r="B49" s="16"/>
      <c r="C49" s="16"/>
      <c r="D49" s="16"/>
      <c r="E49" s="16"/>
      <c r="F49" s="16"/>
      <c r="G49" s="16"/>
      <c r="H49" s="112" t="n">
        <f aca="false">SUM(H41,H45,H47)</f>
        <v>98.98</v>
      </c>
      <c r="I49" s="112"/>
      <c r="J49" s="112"/>
    </row>
    <row r="51" customFormat="false" ht="15" hidden="false" customHeight="true" outlineLevel="0" collapsed="false">
      <c r="A51" s="103" t="s">
        <v>421</v>
      </c>
      <c r="B51" s="104" t="s">
        <v>547</v>
      </c>
      <c r="C51" s="104"/>
      <c r="D51" s="104"/>
      <c r="E51" s="104"/>
      <c r="F51" s="104"/>
      <c r="G51" s="104"/>
      <c r="H51" s="104"/>
      <c r="I51" s="104"/>
      <c r="J51" s="104"/>
    </row>
    <row r="52" customFormat="false" ht="12.75" hidden="false" customHeight="true" outlineLevel="0" collapsed="false">
      <c r="A52" s="16" t="s">
        <v>348</v>
      </c>
      <c r="B52" s="105" t="s">
        <v>532</v>
      </c>
      <c r="C52" s="105"/>
      <c r="D52" s="105"/>
      <c r="E52" s="105"/>
      <c r="F52" s="105"/>
      <c r="G52" s="105"/>
      <c r="H52" s="114" t="s">
        <v>424</v>
      </c>
      <c r="I52" s="114" t="s">
        <v>425</v>
      </c>
      <c r="J52" s="114" t="s">
        <v>426</v>
      </c>
    </row>
    <row r="53" customFormat="false" ht="12.75" hidden="false" customHeight="true" outlineLevel="0" collapsed="false">
      <c r="A53" s="19" t="s">
        <v>400</v>
      </c>
      <c r="B53" s="21" t="s">
        <v>548</v>
      </c>
      <c r="C53" s="21"/>
      <c r="D53" s="21"/>
      <c r="E53" s="21"/>
      <c r="F53" s="21"/>
      <c r="G53" s="21"/>
      <c r="H53" s="115" t="n">
        <v>2</v>
      </c>
      <c r="I53" s="116"/>
      <c r="J53" s="117" t="n">
        <f aca="false">H53*I53/12</f>
        <v>0</v>
      </c>
    </row>
    <row r="54" customFormat="false" ht="12.75" hidden="false" customHeight="true" outlineLevel="0" collapsed="false">
      <c r="A54" s="19" t="s">
        <v>403</v>
      </c>
      <c r="B54" s="21" t="s">
        <v>549</v>
      </c>
      <c r="C54" s="21"/>
      <c r="D54" s="21"/>
      <c r="E54" s="21"/>
      <c r="F54" s="21"/>
      <c r="G54" s="21"/>
      <c r="H54" s="115" t="n">
        <v>2</v>
      </c>
      <c r="I54" s="116"/>
      <c r="J54" s="117" t="n">
        <f aca="false">H54*I54/12</f>
        <v>0</v>
      </c>
    </row>
    <row r="55" customFormat="false" ht="12.75" hidden="false" customHeight="true" outlineLevel="0" collapsed="false">
      <c r="A55" s="19" t="s">
        <v>406</v>
      </c>
      <c r="B55" s="21" t="s">
        <v>550</v>
      </c>
      <c r="C55" s="21"/>
      <c r="D55" s="21"/>
      <c r="E55" s="21"/>
      <c r="F55" s="21"/>
      <c r="G55" s="21"/>
      <c r="H55" s="115" t="n">
        <v>2</v>
      </c>
      <c r="I55" s="116"/>
      <c r="J55" s="117" t="n">
        <f aca="false">H55*I55/12</f>
        <v>0</v>
      </c>
    </row>
    <row r="56" customFormat="false" ht="12.75" hidden="false" customHeight="true" outlineLevel="0" collapsed="false">
      <c r="A56" s="19" t="s">
        <v>430</v>
      </c>
      <c r="B56" s="21" t="s">
        <v>429</v>
      </c>
      <c r="C56" s="21"/>
      <c r="D56" s="21"/>
      <c r="E56" s="21"/>
      <c r="F56" s="21"/>
      <c r="G56" s="21"/>
      <c r="H56" s="115" t="n">
        <v>2</v>
      </c>
      <c r="I56" s="116"/>
      <c r="J56" s="117" t="n">
        <f aca="false">H56*I56/12</f>
        <v>0</v>
      </c>
    </row>
    <row r="57" customFormat="false" ht="12.75" hidden="false" customHeight="true" outlineLevel="0" collapsed="false">
      <c r="A57" s="19" t="s">
        <v>432</v>
      </c>
      <c r="B57" s="21" t="s">
        <v>431</v>
      </c>
      <c r="C57" s="21"/>
      <c r="D57" s="21"/>
      <c r="E57" s="21"/>
      <c r="F57" s="21"/>
      <c r="G57" s="21"/>
      <c r="H57" s="115" t="n">
        <v>2</v>
      </c>
      <c r="I57" s="116"/>
      <c r="J57" s="117" t="n">
        <f aca="false">H57*I57/12</f>
        <v>0</v>
      </c>
      <c r="N57" s="119"/>
    </row>
    <row r="58" customFormat="false" ht="12.75" hidden="false" customHeight="true" outlineLevel="0" collapsed="false">
      <c r="A58" s="19" t="s">
        <v>434</v>
      </c>
      <c r="B58" s="21" t="s">
        <v>533</v>
      </c>
      <c r="C58" s="21"/>
      <c r="D58" s="21"/>
      <c r="E58" s="21"/>
      <c r="F58" s="21"/>
      <c r="G58" s="21"/>
      <c r="H58" s="115" t="n">
        <v>2</v>
      </c>
      <c r="I58" s="116"/>
      <c r="J58" s="117" t="n">
        <f aca="false">H58*I58/12</f>
        <v>0</v>
      </c>
      <c r="N58" s="119"/>
    </row>
    <row r="59" customFormat="false" ht="12.75" hidden="false" customHeight="true" outlineLevel="0" collapsed="false">
      <c r="A59" s="19" t="s">
        <v>438</v>
      </c>
      <c r="B59" s="21" t="s">
        <v>534</v>
      </c>
      <c r="C59" s="21"/>
      <c r="D59" s="21"/>
      <c r="E59" s="21"/>
      <c r="F59" s="21"/>
      <c r="G59" s="21"/>
      <c r="H59" s="115" t="n">
        <v>2</v>
      </c>
      <c r="I59" s="116"/>
      <c r="J59" s="117" t="n">
        <f aca="false">H59*I59/12</f>
        <v>0</v>
      </c>
      <c r="N59" s="119"/>
    </row>
    <row r="60" customFormat="false" ht="12.75" hidden="false" customHeight="true" outlineLevel="0" collapsed="false">
      <c r="A60" s="19" t="s">
        <v>467</v>
      </c>
      <c r="B60" s="21" t="s">
        <v>535</v>
      </c>
      <c r="C60" s="21"/>
      <c r="D60" s="21"/>
      <c r="E60" s="21"/>
      <c r="F60" s="21"/>
      <c r="G60" s="21"/>
      <c r="H60" s="115" t="n">
        <v>2</v>
      </c>
      <c r="I60" s="116"/>
      <c r="J60" s="117" t="n">
        <f aca="false">H60*I60/12</f>
        <v>0</v>
      </c>
      <c r="N60" s="119"/>
    </row>
    <row r="61" customFormat="false" ht="71.25" hidden="false" customHeight="true" outlineLevel="0" collapsed="false">
      <c r="A61" s="19" t="s">
        <v>536</v>
      </c>
      <c r="B61" s="21" t="s">
        <v>433</v>
      </c>
      <c r="C61" s="21"/>
      <c r="D61" s="21"/>
      <c r="E61" s="21"/>
      <c r="F61" s="21"/>
      <c r="G61" s="21"/>
      <c r="H61" s="115" t="n">
        <v>2</v>
      </c>
      <c r="I61" s="116"/>
      <c r="J61" s="117" t="n">
        <f aca="false">H61*I61/12</f>
        <v>0</v>
      </c>
    </row>
    <row r="62" customFormat="false" ht="12.75" hidden="false" customHeight="true" outlineLevel="0" collapsed="false">
      <c r="A62" s="19" t="s">
        <v>551</v>
      </c>
      <c r="B62" s="111" t="s">
        <v>444</v>
      </c>
      <c r="C62" s="111"/>
      <c r="D62" s="111"/>
      <c r="E62" s="111"/>
      <c r="F62" s="111"/>
      <c r="G62" s="111"/>
      <c r="H62" s="115" t="n">
        <v>2</v>
      </c>
      <c r="I62" s="116"/>
      <c r="J62" s="117" t="n">
        <f aca="false">H62*I62/12</f>
        <v>0</v>
      </c>
    </row>
    <row r="63" customFormat="false" ht="12.75" hidden="false" customHeight="true" outlineLevel="0" collapsed="false">
      <c r="A63" s="30" t="s">
        <v>412</v>
      </c>
      <c r="B63" s="31" t="s">
        <v>435</v>
      </c>
      <c r="C63" s="31"/>
      <c r="D63" s="31"/>
      <c r="E63" s="31"/>
      <c r="F63" s="31"/>
      <c r="G63" s="31"/>
      <c r="H63" s="31"/>
      <c r="I63" s="31"/>
      <c r="J63" s="31"/>
    </row>
    <row r="64" customFormat="false" ht="12.75" hidden="true" customHeight="true" outlineLevel="0" collapsed="false">
      <c r="A64" s="30" t="s">
        <v>414</v>
      </c>
      <c r="B64" s="31" t="s">
        <v>436</v>
      </c>
      <c r="C64" s="31"/>
      <c r="D64" s="31"/>
      <c r="E64" s="31"/>
      <c r="F64" s="31"/>
      <c r="G64" s="31"/>
      <c r="H64" s="31"/>
      <c r="I64" s="31"/>
      <c r="J64" s="31"/>
    </row>
    <row r="65" customFormat="false" ht="12.75" hidden="false" customHeight="true" outlineLevel="0" collapsed="false">
      <c r="A65" s="30" t="s">
        <v>364</v>
      </c>
      <c r="B65" s="31" t="s">
        <v>437</v>
      </c>
      <c r="C65" s="31"/>
      <c r="D65" s="31"/>
      <c r="E65" s="31"/>
      <c r="F65" s="31"/>
      <c r="G65" s="31"/>
      <c r="H65" s="31"/>
      <c r="I65" s="31"/>
      <c r="J65" s="31"/>
    </row>
    <row r="66" customFormat="false" ht="12.75" hidden="false" customHeight="true" outlineLevel="0" collapsed="false">
      <c r="A66" s="19" t="s">
        <v>438</v>
      </c>
      <c r="B66" s="21" t="s">
        <v>418</v>
      </c>
      <c r="C66" s="21"/>
      <c r="D66" s="21"/>
      <c r="E66" s="21"/>
      <c r="F66" s="21"/>
      <c r="G66" s="21"/>
      <c r="H66" s="110" t="n">
        <f aca="false">IF('DI, Tri e Pag'!$H$12:$J$12='DI, Tri e Pag'!$L$12,-('DI, Tri e Pag'!$H$23+'DI, Tri e Pag'!$H$24)*SUM(J53:J62),0)</f>
        <v>0</v>
      </c>
      <c r="I66" s="110"/>
      <c r="J66" s="110"/>
    </row>
    <row r="67" customFormat="false" ht="41.25" hidden="false" customHeight="true" outlineLevel="0" collapsed="false">
      <c r="A67" s="30" t="s">
        <v>419</v>
      </c>
      <c r="B67" s="31" t="str">
        <f aca="false">B46</f>
        <v>Calculado apenas quando o regime de incidência da contribuição para o PIS/COFINS for não cumulativo. Neste regime é permitido o desconto de créditos apurados com base em custos, despesas e encargos sociais. Fundamentação: Lei 10637/2002 e Lei 10.833/2003</v>
      </c>
      <c r="C67" s="31"/>
      <c r="D67" s="31"/>
      <c r="E67" s="31"/>
      <c r="F67" s="31"/>
      <c r="G67" s="31"/>
      <c r="H67" s="31"/>
      <c r="I67" s="31"/>
      <c r="J67" s="31"/>
    </row>
    <row r="68" customFormat="false" ht="12.75" hidden="false" customHeight="false" outlineLevel="0" collapsed="false">
      <c r="A68" s="16" t="str">
        <f aca="false">"Total do Submósulo "&amp;A52</f>
        <v>Total do Submósulo 3.1</v>
      </c>
      <c r="B68" s="16"/>
      <c r="C68" s="16"/>
      <c r="D68" s="16"/>
      <c r="E68" s="16"/>
      <c r="F68" s="16"/>
      <c r="G68" s="16"/>
      <c r="H68" s="112" t="n">
        <f aca="false">SUM(J53:J62,H66)</f>
        <v>0</v>
      </c>
      <c r="I68" s="112"/>
      <c r="J68" s="112"/>
      <c r="L68" s="129"/>
    </row>
    <row r="70" customFormat="false" ht="12.75" hidden="false" customHeight="true" outlineLevel="0" collapsed="false">
      <c r="A70" s="16" t="s">
        <v>439</v>
      </c>
      <c r="B70" s="83" t="s">
        <v>440</v>
      </c>
      <c r="C70" s="83"/>
      <c r="D70" s="83"/>
      <c r="E70" s="83"/>
      <c r="F70" s="18" t="s">
        <v>441</v>
      </c>
      <c r="G70" s="18" t="s">
        <v>442</v>
      </c>
      <c r="H70" s="18"/>
      <c r="I70" s="114" t="s">
        <v>425</v>
      </c>
      <c r="J70" s="114" t="s">
        <v>426</v>
      </c>
    </row>
    <row r="71" customFormat="false" ht="16.5" hidden="false" customHeight="true" outlineLevel="0" collapsed="false">
      <c r="A71" s="19" t="s">
        <v>400</v>
      </c>
      <c r="B71" s="11" t="s">
        <v>552</v>
      </c>
      <c r="C71" s="11"/>
      <c r="D71" s="11"/>
      <c r="E71" s="11"/>
      <c r="F71" s="118" t="n">
        <v>0.25</v>
      </c>
      <c r="G71" s="33" t="n">
        <f aca="false">30</f>
        <v>30</v>
      </c>
      <c r="H71" s="33"/>
      <c r="I71" s="116"/>
      <c r="J71" s="117" t="n">
        <f aca="false">IFERROR(F71*I71/G71," ")</f>
        <v>0</v>
      </c>
    </row>
    <row r="72" customFormat="false" ht="16.5" hidden="false" customHeight="true" outlineLevel="0" collapsed="false">
      <c r="A72" s="19" t="s">
        <v>403</v>
      </c>
      <c r="B72" s="11" t="s">
        <v>553</v>
      </c>
      <c r="C72" s="11"/>
      <c r="D72" s="11"/>
      <c r="E72" s="11"/>
      <c r="F72" s="118" t="n">
        <v>0.25</v>
      </c>
      <c r="G72" s="33" t="n">
        <f aca="false">30</f>
        <v>30</v>
      </c>
      <c r="H72" s="33"/>
      <c r="I72" s="116"/>
      <c r="J72" s="117" t="n">
        <f aca="false">IFERROR(F72*I72/G72," ")</f>
        <v>0</v>
      </c>
    </row>
    <row r="73" customFormat="false" ht="16.5" hidden="false" customHeight="true" outlineLevel="0" collapsed="false">
      <c r="A73" s="19" t="s">
        <v>406</v>
      </c>
      <c r="B73" s="11" t="s">
        <v>554</v>
      </c>
      <c r="C73" s="11"/>
      <c r="D73" s="11"/>
      <c r="E73" s="11"/>
      <c r="F73" s="118" t="n">
        <v>0.25</v>
      </c>
      <c r="G73" s="33" t="n">
        <v>60</v>
      </c>
      <c r="H73" s="33"/>
      <c r="I73" s="116"/>
      <c r="J73" s="117" t="n">
        <f aca="false">IFERROR(F73*I73/G73," ")</f>
        <v>0</v>
      </c>
    </row>
    <row r="74" customFormat="false" ht="16.5" hidden="false" customHeight="true" outlineLevel="0" collapsed="false">
      <c r="A74" s="19" t="s">
        <v>430</v>
      </c>
      <c r="B74" s="11" t="s">
        <v>443</v>
      </c>
      <c r="C74" s="11"/>
      <c r="D74" s="11"/>
      <c r="E74" s="11"/>
      <c r="F74" s="118" t="n">
        <v>0.25</v>
      </c>
      <c r="G74" s="33" t="n">
        <v>60</v>
      </c>
      <c r="H74" s="33"/>
      <c r="I74" s="116"/>
      <c r="J74" s="117" t="n">
        <f aca="false">IFERROR(F74*I74/G74," ")</f>
        <v>0</v>
      </c>
      <c r="N74" s="119"/>
    </row>
    <row r="75" customFormat="false" ht="16.5" hidden="false" customHeight="true" outlineLevel="0" collapsed="false">
      <c r="A75" s="19" t="s">
        <v>432</v>
      </c>
      <c r="B75" s="11" t="s">
        <v>555</v>
      </c>
      <c r="C75" s="11"/>
      <c r="D75" s="11"/>
      <c r="E75" s="11"/>
      <c r="F75" s="118" t="n">
        <v>0.6</v>
      </c>
      <c r="G75" s="33" t="n">
        <v>120</v>
      </c>
      <c r="H75" s="33"/>
      <c r="I75" s="116"/>
      <c r="J75" s="117" t="n">
        <f aca="false">IFERROR(F75*I75/G75," ")</f>
        <v>0</v>
      </c>
      <c r="N75" s="119"/>
    </row>
    <row r="76" customFormat="false" ht="16.5" hidden="false" customHeight="true" outlineLevel="0" collapsed="false">
      <c r="A76" s="19" t="s">
        <v>434</v>
      </c>
      <c r="B76" s="11" t="s">
        <v>556</v>
      </c>
      <c r="C76" s="11"/>
      <c r="D76" s="11"/>
      <c r="E76" s="11"/>
      <c r="F76" s="118" t="n">
        <v>0.6</v>
      </c>
      <c r="G76" s="33" t="n">
        <v>30</v>
      </c>
      <c r="H76" s="33"/>
      <c r="I76" s="116"/>
      <c r="J76" s="117" t="n">
        <f aca="false">IFERROR(F76*I76/G76," ")</f>
        <v>0</v>
      </c>
      <c r="N76" s="119"/>
    </row>
    <row r="77" customFormat="false" ht="16.5" hidden="false" customHeight="true" outlineLevel="0" collapsed="false">
      <c r="A77" s="19" t="s">
        <v>438</v>
      </c>
      <c r="B77" s="11" t="s">
        <v>557</v>
      </c>
      <c r="C77" s="11"/>
      <c r="D77" s="11"/>
      <c r="E77" s="11"/>
      <c r="F77" s="118" t="n">
        <v>0.6</v>
      </c>
      <c r="G77" s="33" t="n">
        <v>30</v>
      </c>
      <c r="H77" s="33"/>
      <c r="I77" s="116"/>
      <c r="J77" s="117" t="n">
        <f aca="false">IFERROR(F77*I77/G77," ")</f>
        <v>0</v>
      </c>
      <c r="N77" s="119"/>
    </row>
    <row r="78" customFormat="false" ht="16.5" hidden="false" customHeight="true" outlineLevel="0" collapsed="false">
      <c r="A78" s="19" t="s">
        <v>467</v>
      </c>
      <c r="B78" s="11" t="s">
        <v>558</v>
      </c>
      <c r="C78" s="11"/>
      <c r="D78" s="11"/>
      <c r="E78" s="11"/>
      <c r="F78" s="118" t="n">
        <v>0.6</v>
      </c>
      <c r="G78" s="33" t="n">
        <v>1</v>
      </c>
      <c r="H78" s="33"/>
      <c r="I78" s="116"/>
      <c r="J78" s="117" t="n">
        <f aca="false">IFERROR(F78*I78/G78," ")</f>
        <v>0</v>
      </c>
    </row>
    <row r="79" customFormat="false" ht="16.5" hidden="false" customHeight="true" outlineLevel="0" collapsed="false">
      <c r="A79" s="19" t="s">
        <v>536</v>
      </c>
      <c r="B79" s="11" t="s">
        <v>559</v>
      </c>
      <c r="C79" s="11"/>
      <c r="D79" s="11"/>
      <c r="E79" s="11"/>
      <c r="F79" s="118" t="n">
        <v>1</v>
      </c>
      <c r="G79" s="33" t="n">
        <v>60</v>
      </c>
      <c r="H79" s="33"/>
      <c r="I79" s="116"/>
      <c r="J79" s="117" t="n">
        <f aca="false">IFERROR(F79*I79/G79," ")</f>
        <v>0</v>
      </c>
    </row>
    <row r="80" customFormat="false" ht="16.5" hidden="false" customHeight="true" outlineLevel="0" collapsed="false">
      <c r="A80" s="19" t="s">
        <v>551</v>
      </c>
      <c r="B80" s="11" t="s">
        <v>560</v>
      </c>
      <c r="C80" s="11"/>
      <c r="D80" s="11"/>
      <c r="E80" s="11"/>
      <c r="F80" s="118" t="n">
        <v>1</v>
      </c>
      <c r="G80" s="33" t="n">
        <v>30</v>
      </c>
      <c r="H80" s="33"/>
      <c r="I80" s="116"/>
      <c r="J80" s="117" t="n">
        <f aca="false">IFERROR(F80*I80/G80," ")</f>
        <v>0</v>
      </c>
    </row>
    <row r="81" customFormat="false" ht="12.75" hidden="false" customHeight="true" outlineLevel="0" collapsed="false">
      <c r="A81" s="19" t="s">
        <v>561</v>
      </c>
      <c r="B81" s="95" t="s">
        <v>444</v>
      </c>
      <c r="C81" s="95"/>
      <c r="D81" s="95"/>
      <c r="E81" s="95"/>
      <c r="F81" s="120"/>
      <c r="G81" s="121"/>
      <c r="H81" s="121"/>
      <c r="I81" s="116"/>
      <c r="J81" s="117" t="str">
        <f aca="false">IFERROR(F81*I81/G81," ")</f>
        <v> </v>
      </c>
    </row>
    <row r="82" customFormat="false" ht="12.75" hidden="false" customHeight="true" outlineLevel="0" collapsed="false">
      <c r="A82" s="30" t="s">
        <v>412</v>
      </c>
      <c r="B82" s="31" t="s">
        <v>435</v>
      </c>
      <c r="C82" s="31"/>
      <c r="D82" s="31"/>
      <c r="E82" s="31"/>
      <c r="F82" s="31"/>
      <c r="G82" s="31"/>
      <c r="H82" s="31"/>
      <c r="I82" s="31"/>
      <c r="J82" s="31"/>
    </row>
    <row r="83" customFormat="false" ht="12.75" hidden="true" customHeight="true" outlineLevel="0" collapsed="false">
      <c r="A83" s="30" t="s">
        <v>414</v>
      </c>
      <c r="B83" s="31" t="s">
        <v>436</v>
      </c>
      <c r="C83" s="31"/>
      <c r="D83" s="31"/>
      <c r="E83" s="31"/>
      <c r="F83" s="31"/>
      <c r="G83" s="31"/>
      <c r="H83" s="31"/>
      <c r="I83" s="31"/>
      <c r="J83" s="31"/>
    </row>
    <row r="84" customFormat="false" ht="42" hidden="false" customHeight="true" outlineLevel="0" collapsed="false">
      <c r="A84" s="30" t="s">
        <v>445</v>
      </c>
      <c r="B84" s="31" t="str">
        <f aca="false">"Para os equipamentos dos itens "&amp;A71&amp;", "&amp;A72&amp;", "&amp;A73&amp;" e "&amp;A74&amp;" estimou a quantidade de 1 por posto. Visto que para o regime de trabalha de 12x36 há 4 funcionários por posto, foi considerado uma taxa de utilização de 25%"</f>
        <v>Para os equipamentos dos itens A, B, C e D estimou a quantidade de 1 por posto. Visto que para o regime de trabalha de 12x36 há 4 funcionários por posto, foi considerado uma taxa de utilização de 25%</v>
      </c>
      <c r="C84" s="31"/>
      <c r="D84" s="31"/>
      <c r="E84" s="31"/>
      <c r="F84" s="31"/>
      <c r="G84" s="31"/>
      <c r="H84" s="31"/>
      <c r="I84" s="31"/>
      <c r="J84" s="31"/>
    </row>
    <row r="85" customFormat="false" ht="42" hidden="false" customHeight="true" outlineLevel="0" collapsed="false">
      <c r="A85" s="30" t="s">
        <v>538</v>
      </c>
      <c r="B85" s="31" t="str">
        <f aca="false">"Para os equipamentos dos itens "&amp;A75&amp;", "&amp;A76&amp;", "&amp;A77&amp;" e "&amp;A78&amp;" foi considerado uma taxa de utilização de 60%, visto que a legislação vigente prevê o número de armas em poder das empresas de segurança deve ser equivalente a 50% do efetivo de vigilantes, acrescido de reserva de 20% sobre o número resultante."</f>
        <v>Para os equipamentos dos itens E, F, G e H foi considerado uma taxa de utilização de 60%, visto que a legislação vigente prevê o número de armas em poder das empresas de segurança deve ser equivalente a 50% do efetivo de vigilantes, acrescido de reserva de 20% sobre o número resultante.</v>
      </c>
      <c r="C85" s="31"/>
      <c r="D85" s="31"/>
      <c r="E85" s="31"/>
      <c r="F85" s="31"/>
      <c r="G85" s="31"/>
      <c r="H85" s="31"/>
      <c r="I85" s="31"/>
      <c r="J85" s="31"/>
    </row>
    <row r="86" customFormat="false" ht="30" hidden="false" customHeight="true" outlineLevel="0" collapsed="false">
      <c r="A86" s="30" t="s">
        <v>562</v>
      </c>
      <c r="B86" s="31" t="str">
        <f aca="false">"Para os equipamentos dos itens "&amp;A79&amp;" e "&amp;A80&amp;" foi considerado uma taxa de utilização de 100%, por se tratar de equipamentos de uso individual."</f>
        <v>Para os equipamentos dos itens I e J foi considerado uma taxa de utilização de 100%, por se tratar de equipamentos de uso individual.</v>
      </c>
      <c r="C86" s="31"/>
      <c r="D86" s="31"/>
      <c r="E86" s="31"/>
      <c r="F86" s="31"/>
      <c r="G86" s="31"/>
      <c r="H86" s="31"/>
      <c r="I86" s="31"/>
      <c r="J86" s="31"/>
    </row>
    <row r="87" customFormat="false" ht="12.75" hidden="false" customHeight="true" outlineLevel="0" collapsed="false">
      <c r="A87" s="30" t="s">
        <v>364</v>
      </c>
      <c r="B87" s="31" t="s">
        <v>446</v>
      </c>
      <c r="C87" s="31"/>
      <c r="D87" s="31"/>
      <c r="E87" s="31"/>
      <c r="F87" s="31"/>
      <c r="G87" s="31"/>
      <c r="H87" s="31"/>
      <c r="I87" s="31"/>
      <c r="J87" s="31"/>
    </row>
    <row r="88" customFormat="false" ht="12.75" hidden="false" customHeight="true" outlineLevel="0" collapsed="false">
      <c r="A88" s="19" t="s">
        <v>438</v>
      </c>
      <c r="B88" s="21" t="s">
        <v>418</v>
      </c>
      <c r="C88" s="21"/>
      <c r="D88" s="21"/>
      <c r="E88" s="21"/>
      <c r="F88" s="21"/>
      <c r="G88" s="21"/>
      <c r="H88" s="110" t="n">
        <f aca="false">IF('DI, Tri e Pag'!$H$12:$J$12='DI, Tri e Pag'!$L$12,-('DI, Tri e Pag'!$H$23+'DI, Tri e Pag'!$H$24)*SUM(J71:J81),0)</f>
        <v>0</v>
      </c>
      <c r="I88" s="110"/>
      <c r="J88" s="110"/>
    </row>
    <row r="89" customFormat="false" ht="41.25" hidden="false" customHeight="true" outlineLevel="0" collapsed="false">
      <c r="A89" s="30" t="s">
        <v>419</v>
      </c>
      <c r="B89" s="31" t="str">
        <f aca="false">B67</f>
        <v>Calculado apenas quando o regime de incidência da contribuição para o PIS/COFINS for não cumulativo. Neste regime é permitido o desconto de créditos apurados com base em custos, despesas e encargos sociais. Fundamentação: Lei 10637/2002 e Lei 10.833/2003</v>
      </c>
      <c r="C89" s="31"/>
      <c r="D89" s="31"/>
      <c r="E89" s="31"/>
      <c r="F89" s="31"/>
      <c r="G89" s="31"/>
      <c r="H89" s="31"/>
      <c r="I89" s="31"/>
      <c r="J89" s="31"/>
    </row>
    <row r="90" customFormat="false" ht="12.75" hidden="false" customHeight="false" outlineLevel="0" collapsed="false">
      <c r="A90" s="16" t="str">
        <f aca="false">"Total do Submódulo"&amp;A70</f>
        <v>Total do Submódulo3.2</v>
      </c>
      <c r="B90" s="16"/>
      <c r="C90" s="16"/>
      <c r="D90" s="16"/>
      <c r="E90" s="16"/>
      <c r="F90" s="16"/>
      <c r="G90" s="16"/>
      <c r="H90" s="112" t="n">
        <f aca="false">SUM(J71:J78,H88)</f>
        <v>0</v>
      </c>
      <c r="I90" s="112"/>
      <c r="J90" s="112"/>
      <c r="L90" s="129"/>
    </row>
    <row r="91" customFormat="false" ht="12.75" hidden="false" customHeight="false" outlineLevel="0" collapsed="false">
      <c r="A91" s="141"/>
      <c r="B91" s="142"/>
      <c r="C91" s="141"/>
      <c r="D91" s="141"/>
      <c r="E91" s="141"/>
      <c r="F91" s="141"/>
      <c r="G91" s="141"/>
      <c r="H91" s="143"/>
      <c r="I91" s="144"/>
      <c r="J91" s="144"/>
      <c r="L91" s="129"/>
    </row>
    <row r="92" customFormat="false" ht="15" hidden="false" customHeight="true" outlineLevel="0" collapsed="false">
      <c r="A92" s="103" t="s">
        <v>447</v>
      </c>
      <c r="B92" s="104" t="s">
        <v>448</v>
      </c>
      <c r="C92" s="104"/>
      <c r="D92" s="104"/>
      <c r="E92" s="104"/>
      <c r="F92" s="104"/>
      <c r="G92" s="104"/>
      <c r="H92" s="104"/>
      <c r="I92" s="104"/>
      <c r="J92" s="104"/>
    </row>
    <row r="93" customFormat="false" ht="12.75" hidden="false" customHeight="true" outlineLevel="0" collapsed="false">
      <c r="A93" s="16" t="s">
        <v>449</v>
      </c>
      <c r="B93" s="105" t="s">
        <v>450</v>
      </c>
      <c r="C93" s="105"/>
      <c r="D93" s="105"/>
      <c r="E93" s="105"/>
      <c r="F93" s="105"/>
      <c r="G93" s="105"/>
      <c r="H93" s="122" t="s">
        <v>75</v>
      </c>
      <c r="I93" s="106" t="s">
        <v>399</v>
      </c>
      <c r="J93" s="106"/>
    </row>
    <row r="94" customFormat="false" ht="12.75" hidden="false" customHeight="true" outlineLevel="0" collapsed="false">
      <c r="A94" s="19" t="s">
        <v>400</v>
      </c>
      <c r="B94" s="21" t="s">
        <v>451</v>
      </c>
      <c r="C94" s="21"/>
      <c r="D94" s="21"/>
      <c r="E94" s="21"/>
      <c r="F94" s="21"/>
      <c r="G94" s="21"/>
      <c r="H94" s="123" t="n">
        <v>0.2</v>
      </c>
      <c r="I94" s="124" t="n">
        <f aca="false">H94*$H$37</f>
        <v>227.4</v>
      </c>
      <c r="J94" s="124"/>
    </row>
    <row r="95" customFormat="false" ht="12.75" hidden="false" customHeight="true" outlineLevel="0" collapsed="false">
      <c r="A95" s="30" t="s">
        <v>108</v>
      </c>
      <c r="B95" s="31" t="s">
        <v>452</v>
      </c>
      <c r="C95" s="31"/>
      <c r="D95" s="31"/>
      <c r="E95" s="31"/>
      <c r="F95" s="31"/>
      <c r="G95" s="31"/>
      <c r="H95" s="31"/>
      <c r="I95" s="31"/>
      <c r="J95" s="31"/>
    </row>
    <row r="96" customFormat="false" ht="12.75" hidden="false" customHeight="true" outlineLevel="0" collapsed="false">
      <c r="A96" s="19" t="s">
        <v>403</v>
      </c>
      <c r="B96" s="21" t="s">
        <v>453</v>
      </c>
      <c r="C96" s="21"/>
      <c r="D96" s="21"/>
      <c r="E96" s="21"/>
      <c r="F96" s="21"/>
      <c r="G96" s="21"/>
      <c r="H96" s="123" t="n">
        <f aca="false">IF('DI, Tri e Pag'!$H$14:$J$14='DI, Tri e Pag'!$L$14,0.015,0)</f>
        <v>0.015</v>
      </c>
      <c r="I96" s="124" t="n">
        <f aca="false">H96*$H$37</f>
        <v>17.055</v>
      </c>
      <c r="J96" s="124"/>
    </row>
    <row r="97" customFormat="false" ht="12.75" hidden="false" customHeight="true" outlineLevel="0" collapsed="false">
      <c r="A97" s="30" t="s">
        <v>412</v>
      </c>
      <c r="B97" s="31" t="s">
        <v>454</v>
      </c>
      <c r="C97" s="31"/>
      <c r="D97" s="31"/>
      <c r="E97" s="31"/>
      <c r="F97" s="31"/>
      <c r="G97" s="31"/>
      <c r="H97" s="31"/>
      <c r="I97" s="31"/>
      <c r="J97" s="31"/>
    </row>
    <row r="98" customFormat="false" ht="12.75" hidden="false" customHeight="true" outlineLevel="0" collapsed="false">
      <c r="A98" s="30" t="s">
        <v>414</v>
      </c>
      <c r="B98" s="125" t="s">
        <v>455</v>
      </c>
      <c r="C98" s="125"/>
      <c r="D98" s="125"/>
      <c r="E98" s="125"/>
      <c r="F98" s="125"/>
      <c r="G98" s="125"/>
      <c r="H98" s="125"/>
      <c r="I98" s="125"/>
      <c r="J98" s="125"/>
    </row>
    <row r="99" customFormat="false" ht="12.75" hidden="false" customHeight="true" outlineLevel="0" collapsed="false">
      <c r="A99" s="19" t="s">
        <v>406</v>
      </c>
      <c r="B99" s="21" t="s">
        <v>456</v>
      </c>
      <c r="C99" s="21"/>
      <c r="D99" s="21"/>
      <c r="E99" s="21"/>
      <c r="F99" s="21"/>
      <c r="G99" s="21"/>
      <c r="H99" s="123" t="n">
        <f aca="false">IF('DI, Tri e Pag'!$H$14:$J$14='DI, Tri e Pag'!$L$14,0.01,0)</f>
        <v>0.01</v>
      </c>
      <c r="I99" s="124" t="n">
        <f aca="false">H99*$H$37</f>
        <v>11.37</v>
      </c>
      <c r="J99" s="124"/>
    </row>
    <row r="100" customFormat="false" ht="12.75" hidden="false" customHeight="true" outlineLevel="0" collapsed="false">
      <c r="A100" s="30" t="s">
        <v>412</v>
      </c>
      <c r="B100" s="31" t="s">
        <v>457</v>
      </c>
      <c r="C100" s="31"/>
      <c r="D100" s="31"/>
      <c r="E100" s="31"/>
      <c r="F100" s="31"/>
      <c r="G100" s="31"/>
      <c r="H100" s="31"/>
      <c r="I100" s="31"/>
      <c r="J100" s="31"/>
    </row>
    <row r="101" customFormat="false" ht="12.75" hidden="false" customHeight="true" outlineLevel="0" collapsed="false">
      <c r="A101" s="30" t="s">
        <v>414</v>
      </c>
      <c r="B101" s="125" t="s">
        <v>455</v>
      </c>
      <c r="C101" s="125"/>
      <c r="D101" s="125"/>
      <c r="E101" s="125"/>
      <c r="F101" s="125"/>
      <c r="G101" s="125"/>
      <c r="H101" s="125"/>
      <c r="I101" s="125"/>
      <c r="J101" s="125"/>
    </row>
    <row r="102" customFormat="false" ht="12.75" hidden="false" customHeight="true" outlineLevel="0" collapsed="false">
      <c r="A102" s="19" t="s">
        <v>430</v>
      </c>
      <c r="B102" s="21" t="s">
        <v>458</v>
      </c>
      <c r="C102" s="21"/>
      <c r="D102" s="21"/>
      <c r="E102" s="21"/>
      <c r="F102" s="21"/>
      <c r="G102" s="21"/>
      <c r="H102" s="123" t="n">
        <f aca="false">IF('DI, Tri e Pag'!$H$14:$J$14='DI, Tri e Pag'!$L$14,0.002,0)</f>
        <v>0.002</v>
      </c>
      <c r="I102" s="124" t="n">
        <f aca="false">H102*$H$37</f>
        <v>2.274</v>
      </c>
      <c r="J102" s="124"/>
    </row>
    <row r="103" customFormat="false" ht="12.75" hidden="false" customHeight="true" outlineLevel="0" collapsed="false">
      <c r="A103" s="30" t="s">
        <v>412</v>
      </c>
      <c r="B103" s="31" t="s">
        <v>459</v>
      </c>
      <c r="C103" s="31"/>
      <c r="D103" s="31"/>
      <c r="E103" s="31"/>
      <c r="F103" s="31"/>
      <c r="G103" s="31"/>
      <c r="H103" s="31"/>
      <c r="I103" s="31"/>
      <c r="J103" s="31"/>
    </row>
    <row r="104" customFormat="false" ht="12.75" hidden="false" customHeight="true" outlineLevel="0" collapsed="false">
      <c r="A104" s="30" t="s">
        <v>414</v>
      </c>
      <c r="B104" s="125" t="s">
        <v>455</v>
      </c>
      <c r="C104" s="125"/>
      <c r="D104" s="125"/>
      <c r="E104" s="125"/>
      <c r="F104" s="125"/>
      <c r="G104" s="125"/>
      <c r="H104" s="125"/>
      <c r="I104" s="125"/>
      <c r="J104" s="125"/>
    </row>
    <row r="105" customFormat="false" ht="12.75" hidden="false" customHeight="true" outlineLevel="0" collapsed="false">
      <c r="A105" s="19" t="s">
        <v>432</v>
      </c>
      <c r="B105" s="21" t="s">
        <v>460</v>
      </c>
      <c r="C105" s="21"/>
      <c r="D105" s="21"/>
      <c r="E105" s="21"/>
      <c r="F105" s="21"/>
      <c r="G105" s="21"/>
      <c r="H105" s="123" t="n">
        <f aca="false">IF('DI, Tri e Pag'!$H$14:$J$14='DI, Tri e Pag'!$L$14,0.025,0)</f>
        <v>0.025</v>
      </c>
      <c r="I105" s="124" t="n">
        <f aca="false">H105*$H$37</f>
        <v>28.425</v>
      </c>
      <c r="J105" s="124"/>
    </row>
    <row r="106" customFormat="false" ht="31.5" hidden="false" customHeight="true" outlineLevel="0" collapsed="false">
      <c r="A106" s="30" t="s">
        <v>412</v>
      </c>
      <c r="B106" s="31" t="s">
        <v>461</v>
      </c>
      <c r="C106" s="31"/>
      <c r="D106" s="31"/>
      <c r="E106" s="31"/>
      <c r="F106" s="31"/>
      <c r="G106" s="31"/>
      <c r="H106" s="31"/>
      <c r="I106" s="31"/>
      <c r="J106" s="31"/>
    </row>
    <row r="107" customFormat="false" ht="12.75" hidden="false" customHeight="true" outlineLevel="0" collapsed="false">
      <c r="A107" s="30" t="s">
        <v>414</v>
      </c>
      <c r="B107" s="125" t="s">
        <v>455</v>
      </c>
      <c r="C107" s="125"/>
      <c r="D107" s="125"/>
      <c r="E107" s="125"/>
      <c r="F107" s="125"/>
      <c r="G107" s="125"/>
      <c r="H107" s="125"/>
      <c r="I107" s="125"/>
      <c r="J107" s="125"/>
    </row>
    <row r="108" customFormat="false" ht="12.75" hidden="false" customHeight="true" outlineLevel="0" collapsed="false">
      <c r="A108" s="19" t="s">
        <v>434</v>
      </c>
      <c r="B108" s="21" t="s">
        <v>462</v>
      </c>
      <c r="C108" s="21"/>
      <c r="D108" s="21"/>
      <c r="E108" s="21"/>
      <c r="F108" s="21"/>
      <c r="G108" s="21"/>
      <c r="H108" s="123" t="n">
        <v>0.08</v>
      </c>
      <c r="I108" s="124" t="n">
        <f aca="false">H108*$H$37</f>
        <v>90.96</v>
      </c>
      <c r="J108" s="124"/>
    </row>
    <row r="109" customFormat="false" ht="55.5" hidden="false" customHeight="true" outlineLevel="0" collapsed="false">
      <c r="A109" s="30" t="s">
        <v>108</v>
      </c>
      <c r="B109" s="31" t="s">
        <v>463</v>
      </c>
      <c r="C109" s="31"/>
      <c r="D109" s="31"/>
      <c r="E109" s="31"/>
      <c r="F109" s="31"/>
      <c r="G109" s="31"/>
      <c r="H109" s="31"/>
      <c r="I109" s="31"/>
      <c r="J109" s="31"/>
    </row>
    <row r="110" customFormat="false" ht="12.75" hidden="false" customHeight="true" outlineLevel="0" collapsed="false">
      <c r="A110" s="19" t="s">
        <v>438</v>
      </c>
      <c r="B110" s="21" t="s">
        <v>464</v>
      </c>
      <c r="C110" s="21"/>
      <c r="D110" s="21"/>
      <c r="E110" s="21"/>
      <c r="F110" s="21"/>
      <c r="G110" s="21"/>
      <c r="H110" s="126" t="n">
        <v>0.03</v>
      </c>
      <c r="I110" s="124" t="n">
        <f aca="false">H110*$H$37</f>
        <v>34.11</v>
      </c>
      <c r="J110" s="124"/>
    </row>
    <row r="111" customFormat="false" ht="33" hidden="false" customHeight="true" outlineLevel="0" collapsed="false">
      <c r="A111" s="108" t="s">
        <v>108</v>
      </c>
      <c r="B111" s="109" t="s">
        <v>465</v>
      </c>
      <c r="C111" s="109"/>
      <c r="D111" s="109"/>
      <c r="E111" s="109"/>
      <c r="F111" s="109"/>
      <c r="G111" s="109"/>
      <c r="H111" s="109"/>
      <c r="I111" s="109"/>
      <c r="J111" s="109"/>
    </row>
    <row r="112" customFormat="false" ht="12.75" hidden="false" customHeight="true" outlineLevel="0" collapsed="false">
      <c r="A112" s="108" t="s">
        <v>364</v>
      </c>
      <c r="B112" s="109" t="s">
        <v>466</v>
      </c>
      <c r="C112" s="109"/>
      <c r="D112" s="109"/>
      <c r="E112" s="109"/>
      <c r="F112" s="109"/>
      <c r="G112" s="109"/>
      <c r="H112" s="109"/>
      <c r="I112" s="109"/>
      <c r="J112" s="109"/>
    </row>
    <row r="113" customFormat="false" ht="12.75" hidden="false" customHeight="true" outlineLevel="0" collapsed="false">
      <c r="A113" s="19" t="s">
        <v>467</v>
      </c>
      <c r="B113" s="21" t="s">
        <v>468</v>
      </c>
      <c r="C113" s="21"/>
      <c r="D113" s="21"/>
      <c r="E113" s="21"/>
      <c r="F113" s="21"/>
      <c r="G113" s="21"/>
      <c r="H113" s="123" t="n">
        <f aca="false">IF('DI, Tri e Pag'!$H$14:$J$14='DI, Tri e Pag'!$L$14,0.006,0)</f>
        <v>0.006</v>
      </c>
      <c r="I113" s="124" t="n">
        <f aca="false">H113*$H$37</f>
        <v>6.822</v>
      </c>
      <c r="J113" s="124"/>
    </row>
    <row r="114" customFormat="false" ht="12.75" hidden="false" customHeight="true" outlineLevel="0" collapsed="false">
      <c r="A114" s="30" t="s">
        <v>108</v>
      </c>
      <c r="B114" s="31" t="s">
        <v>469</v>
      </c>
      <c r="C114" s="31"/>
      <c r="D114" s="31"/>
      <c r="E114" s="31"/>
      <c r="F114" s="31"/>
      <c r="G114" s="31"/>
      <c r="H114" s="31"/>
      <c r="I114" s="31"/>
      <c r="J114" s="31"/>
    </row>
    <row r="115" customFormat="false" ht="12.75" hidden="false" customHeight="true" outlineLevel="0" collapsed="false">
      <c r="A115" s="30" t="s">
        <v>414</v>
      </c>
      <c r="B115" s="125" t="s">
        <v>455</v>
      </c>
      <c r="C115" s="125"/>
      <c r="D115" s="125"/>
      <c r="E115" s="125"/>
      <c r="F115" s="125"/>
      <c r="G115" s="125"/>
      <c r="H115" s="125"/>
      <c r="I115" s="125"/>
      <c r="J115" s="125"/>
    </row>
    <row r="116" customFormat="false" ht="12.75" hidden="false" customHeight="false" outlineLevel="0" collapsed="false">
      <c r="A116" s="16" t="str">
        <f aca="false">"Total do Sobmódulo "&amp;A93</f>
        <v>Total do Sobmódulo 4.1</v>
      </c>
      <c r="B116" s="16"/>
      <c r="C116" s="16"/>
      <c r="D116" s="16"/>
      <c r="E116" s="16"/>
      <c r="F116" s="16"/>
      <c r="G116" s="16"/>
      <c r="H116" s="127" t="n">
        <f aca="false">SUM(H94,H96,H99,H102,H105,H108,H110,H113)</f>
        <v>0.368</v>
      </c>
      <c r="I116" s="128" t="n">
        <f aca="false">SUM(I94,I96,I99,I102,I105,I108,I110,I113)</f>
        <v>418.416</v>
      </c>
      <c r="J116" s="128"/>
      <c r="K116" s="129"/>
      <c r="L116" s="129"/>
    </row>
    <row r="118" customFormat="false" ht="12.75" hidden="false" customHeight="true" outlineLevel="0" collapsed="false">
      <c r="A118" s="16" t="s">
        <v>470</v>
      </c>
      <c r="B118" s="105" t="s">
        <v>471</v>
      </c>
      <c r="C118" s="105"/>
      <c r="D118" s="105"/>
      <c r="E118" s="105"/>
      <c r="F118" s="105"/>
      <c r="G118" s="105"/>
      <c r="H118" s="122" t="s">
        <v>75</v>
      </c>
      <c r="I118" s="106" t="s">
        <v>399</v>
      </c>
      <c r="J118" s="106"/>
    </row>
    <row r="119" customFormat="false" ht="12.75" hidden="false" customHeight="true" outlineLevel="0" collapsed="false">
      <c r="A119" s="19" t="s">
        <v>400</v>
      </c>
      <c r="B119" s="21" t="s">
        <v>471</v>
      </c>
      <c r="C119" s="21"/>
      <c r="D119" s="21"/>
      <c r="E119" s="21"/>
      <c r="F119" s="21"/>
      <c r="G119" s="21"/>
      <c r="H119" s="123" t="n">
        <f aca="false">1/12</f>
        <v>0.0833333333333333</v>
      </c>
      <c r="I119" s="130" t="n">
        <f aca="false">$H$37*H119</f>
        <v>94.75</v>
      </c>
      <c r="J119" s="130"/>
    </row>
    <row r="120" customFormat="false" ht="27" hidden="false" customHeight="true" outlineLevel="0" collapsed="false">
      <c r="A120" s="30" t="s">
        <v>108</v>
      </c>
      <c r="B120" s="31" t="s">
        <v>472</v>
      </c>
      <c r="C120" s="31"/>
      <c r="D120" s="31"/>
      <c r="E120" s="31"/>
      <c r="F120" s="31"/>
      <c r="G120" s="31"/>
      <c r="H120" s="31"/>
      <c r="I120" s="31"/>
      <c r="J120" s="31"/>
    </row>
    <row r="121" customFormat="false" ht="12.75" hidden="false" customHeight="true" outlineLevel="0" collapsed="false">
      <c r="A121" s="30" t="s">
        <v>364</v>
      </c>
      <c r="B121" s="31" t="s">
        <v>473</v>
      </c>
      <c r="C121" s="31"/>
      <c r="D121" s="31"/>
      <c r="E121" s="31"/>
      <c r="F121" s="31"/>
      <c r="G121" s="31"/>
      <c r="H121" s="31"/>
      <c r="I121" s="31"/>
      <c r="J121" s="31"/>
      <c r="L121" s="131"/>
    </row>
    <row r="122" customFormat="false" ht="12.75" hidden="false" customHeight="false" outlineLevel="0" collapsed="false">
      <c r="A122" s="19" t="s">
        <v>403</v>
      </c>
      <c r="B122" s="21" t="str">
        <f aca="false">"Incidência do Submódulo "&amp;$A$93&amp;" sobre "&amp;B118</f>
        <v>Incidência do Submódulo 4.1 sobre 13º Salário</v>
      </c>
      <c r="C122" s="21"/>
      <c r="D122" s="21"/>
      <c r="E122" s="21"/>
      <c r="F122" s="21"/>
      <c r="G122" s="21"/>
      <c r="H122" s="123" t="n">
        <f aca="false">$H$116</f>
        <v>0.368</v>
      </c>
      <c r="I122" s="130" t="n">
        <f aca="false">I119*H122</f>
        <v>34.868</v>
      </c>
      <c r="J122" s="130"/>
      <c r="L122" s="131"/>
      <c r="M122" s="131"/>
    </row>
    <row r="123" customFormat="false" ht="12.75" hidden="false" customHeight="false" outlineLevel="0" collapsed="false">
      <c r="A123" s="30" t="s">
        <v>108</v>
      </c>
      <c r="B123" s="31" t="str">
        <f aca="false">"Aplicar percentual do submódulo "&amp;$A$93&amp;" sobre o "&amp;B118</f>
        <v>Aplicar percentual do submódulo 4.1 sobre o 13º Salário</v>
      </c>
      <c r="C123" s="31"/>
      <c r="D123" s="31"/>
      <c r="E123" s="31"/>
      <c r="F123" s="31"/>
      <c r="G123" s="31"/>
      <c r="H123" s="31"/>
      <c r="I123" s="31"/>
      <c r="J123" s="31"/>
    </row>
    <row r="124" customFormat="false" ht="12.75" hidden="false" customHeight="false" outlineLevel="0" collapsed="false">
      <c r="A124" s="16" t="str">
        <f aca="false">"Total do Sobmódulo "&amp;A118</f>
        <v>Total do Sobmódulo 4.2</v>
      </c>
      <c r="B124" s="16"/>
      <c r="C124" s="16"/>
      <c r="D124" s="16"/>
      <c r="E124" s="16"/>
      <c r="F124" s="16"/>
      <c r="G124" s="16"/>
      <c r="H124" s="127" t="n">
        <f aca="false">H119+H119*H122</f>
        <v>0.114</v>
      </c>
      <c r="I124" s="128" t="n">
        <f aca="false">SUM(I119+I122)</f>
        <v>129.618</v>
      </c>
      <c r="J124" s="128"/>
      <c r="K124" s="129"/>
      <c r="L124" s="129"/>
    </row>
    <row r="126" customFormat="false" ht="12.75" hidden="false" customHeight="true" outlineLevel="0" collapsed="false">
      <c r="A126" s="16" t="s">
        <v>474</v>
      </c>
      <c r="B126" s="105" t="s">
        <v>475</v>
      </c>
      <c r="C126" s="105"/>
      <c r="D126" s="105"/>
      <c r="E126" s="105"/>
      <c r="F126" s="105"/>
      <c r="G126" s="105"/>
      <c r="H126" s="122" t="s">
        <v>75</v>
      </c>
      <c r="I126" s="106" t="s">
        <v>399</v>
      </c>
      <c r="J126" s="106"/>
    </row>
    <row r="127" customFormat="false" ht="12.75" hidden="false" customHeight="false" outlineLevel="0" collapsed="false">
      <c r="A127" s="19" t="s">
        <v>400</v>
      </c>
      <c r="B127" s="21" t="str">
        <f aca="false">B126</f>
        <v>Afastamento Maternidade</v>
      </c>
      <c r="C127" s="21"/>
      <c r="D127" s="21"/>
      <c r="E127" s="21"/>
      <c r="F127" s="21"/>
      <c r="G127" s="21"/>
      <c r="H127" s="126" t="n">
        <f aca="false">(1+(1/3))*(4/12)*0.4445*0.0731/12</f>
        <v>0.00120344259259259</v>
      </c>
      <c r="I127" s="130" t="n">
        <f aca="false">$H$37*H127</f>
        <v>1.36831422777778</v>
      </c>
      <c r="J127" s="130"/>
    </row>
    <row r="128" customFormat="false" ht="91.5" hidden="false" customHeight="true" outlineLevel="0" collapsed="false">
      <c r="A128" s="108" t="s">
        <v>476</v>
      </c>
      <c r="B128" s="109" t="s">
        <v>477</v>
      </c>
      <c r="C128" s="109"/>
      <c r="D128" s="109"/>
      <c r="E128" s="109"/>
      <c r="F128" s="109"/>
      <c r="G128" s="109"/>
      <c r="H128" s="109"/>
      <c r="I128" s="109"/>
      <c r="J128" s="109"/>
    </row>
    <row r="129" customFormat="false" ht="76.5" hidden="false" customHeight="true" outlineLevel="0" collapsed="false">
      <c r="A129" s="108" t="s">
        <v>478</v>
      </c>
      <c r="B129" s="109" t="s">
        <v>479</v>
      </c>
      <c r="C129" s="109"/>
      <c r="D129" s="109"/>
      <c r="E129" s="109"/>
      <c r="F129" s="109"/>
      <c r="G129" s="109"/>
      <c r="H129" s="109"/>
      <c r="I129" s="109"/>
      <c r="J129" s="109"/>
    </row>
    <row r="130" customFormat="false" ht="29.25" hidden="false" customHeight="true" outlineLevel="0" collapsed="false">
      <c r="A130" s="108" t="s">
        <v>364</v>
      </c>
      <c r="B130" s="109" t="s">
        <v>480</v>
      </c>
      <c r="C130" s="109"/>
      <c r="D130" s="109"/>
      <c r="E130" s="109"/>
      <c r="F130" s="109"/>
      <c r="G130" s="109"/>
      <c r="H130" s="109"/>
      <c r="I130" s="109"/>
      <c r="J130" s="109"/>
      <c r="L130" s="131"/>
    </row>
    <row r="131" customFormat="false" ht="12.75" hidden="false" customHeight="false" outlineLevel="0" collapsed="false">
      <c r="A131" s="19" t="s">
        <v>403</v>
      </c>
      <c r="B131" s="21" t="str">
        <f aca="false">"Incidência do Submódulo "&amp;$A$93&amp;" sobre "&amp;B126</f>
        <v>Incidência do Submódulo 4.1 sobre Afastamento Maternidade</v>
      </c>
      <c r="C131" s="21"/>
      <c r="D131" s="21"/>
      <c r="E131" s="21"/>
      <c r="F131" s="21"/>
      <c r="G131" s="21"/>
      <c r="H131" s="123" t="n">
        <f aca="false">$H$116</f>
        <v>0.368</v>
      </c>
      <c r="I131" s="130" t="n">
        <f aca="false">I127*H131</f>
        <v>0.503539635822222</v>
      </c>
      <c r="J131" s="130"/>
      <c r="L131" s="131"/>
      <c r="M131" s="131"/>
    </row>
    <row r="132" customFormat="false" ht="12.75" hidden="false" customHeight="false" outlineLevel="0" collapsed="false">
      <c r="A132" s="30" t="s">
        <v>108</v>
      </c>
      <c r="B132" s="31" t="str">
        <f aca="false">"Aplicar percentual do submódulo "&amp;$A$93&amp;" sobre o "&amp;B126</f>
        <v>Aplicar percentual do submódulo 4.1 sobre o Afastamento Maternidade</v>
      </c>
      <c r="C132" s="31"/>
      <c r="D132" s="31"/>
      <c r="E132" s="31"/>
      <c r="F132" s="31"/>
      <c r="G132" s="31"/>
      <c r="H132" s="31"/>
      <c r="I132" s="31"/>
      <c r="J132" s="31"/>
    </row>
    <row r="133" customFormat="false" ht="12.75" hidden="false" customHeight="false" outlineLevel="0" collapsed="false">
      <c r="A133" s="16" t="str">
        <f aca="false">"Total do Sobmódulo "&amp;A126</f>
        <v>Total do Sobmódulo 4.3</v>
      </c>
      <c r="B133" s="16"/>
      <c r="C133" s="16"/>
      <c r="D133" s="16"/>
      <c r="E133" s="16"/>
      <c r="F133" s="16"/>
      <c r="G133" s="16"/>
      <c r="H133" s="127" t="n">
        <f aca="false">H127+H127*H131</f>
        <v>0.00164630946666667</v>
      </c>
      <c r="I133" s="128" t="n">
        <f aca="false">SUM(I127+I131)</f>
        <v>1.8718538636</v>
      </c>
      <c r="J133" s="128"/>
      <c r="K133" s="129"/>
      <c r="L133" s="129"/>
    </row>
    <row r="135" customFormat="false" ht="12.75" hidden="false" customHeight="true" outlineLevel="0" collapsed="false">
      <c r="A135" s="16" t="s">
        <v>481</v>
      </c>
      <c r="B135" s="105" t="s">
        <v>482</v>
      </c>
      <c r="C135" s="105"/>
      <c r="D135" s="105"/>
      <c r="E135" s="105"/>
      <c r="F135" s="105"/>
      <c r="G135" s="105"/>
      <c r="H135" s="122" t="s">
        <v>75</v>
      </c>
      <c r="I135" s="106" t="s">
        <v>399</v>
      </c>
      <c r="J135" s="106"/>
    </row>
    <row r="136" customFormat="false" ht="12.75" hidden="false" customHeight="true" outlineLevel="0" collapsed="false">
      <c r="A136" s="19" t="s">
        <v>400</v>
      </c>
      <c r="B136" s="21" t="s">
        <v>483</v>
      </c>
      <c r="C136" s="21"/>
      <c r="D136" s="21"/>
      <c r="E136" s="21"/>
      <c r="F136" s="21"/>
      <c r="G136" s="21"/>
      <c r="H136" s="126" t="n">
        <f aca="false">(1/12)*0.55*0.9</f>
        <v>0.04125</v>
      </c>
      <c r="I136" s="130" t="n">
        <f aca="false">$H$37*H136</f>
        <v>46.90125</v>
      </c>
      <c r="J136" s="130"/>
      <c r="K136" s="113"/>
    </row>
    <row r="137" customFormat="false" ht="39.75" hidden="false" customHeight="true" outlineLevel="0" collapsed="false">
      <c r="A137" s="108" t="s">
        <v>412</v>
      </c>
      <c r="B137" s="109" t="s">
        <v>484</v>
      </c>
      <c r="C137" s="109"/>
      <c r="D137" s="109"/>
      <c r="E137" s="109"/>
      <c r="F137" s="109"/>
      <c r="G137" s="109"/>
      <c r="H137" s="109"/>
      <c r="I137" s="109"/>
      <c r="J137" s="109"/>
      <c r="O137" s="49"/>
    </row>
    <row r="138" customFormat="false" ht="40.5" hidden="false" customHeight="true" outlineLevel="0" collapsed="false">
      <c r="A138" s="108" t="s">
        <v>414</v>
      </c>
      <c r="B138" s="109" t="s">
        <v>485</v>
      </c>
      <c r="C138" s="109"/>
      <c r="D138" s="109"/>
      <c r="E138" s="109"/>
      <c r="F138" s="109"/>
      <c r="G138" s="109"/>
      <c r="H138" s="109"/>
      <c r="I138" s="109"/>
      <c r="J138" s="109"/>
    </row>
    <row r="139" customFormat="false" ht="12.75" hidden="false" customHeight="true" outlineLevel="0" collapsed="false">
      <c r="A139" s="108" t="s">
        <v>486</v>
      </c>
      <c r="B139" s="109" t="s">
        <v>487</v>
      </c>
      <c r="C139" s="109"/>
      <c r="D139" s="109"/>
      <c r="E139" s="109"/>
      <c r="F139" s="109"/>
      <c r="G139" s="109"/>
      <c r="H139" s="109"/>
      <c r="I139" s="109"/>
      <c r="J139" s="109"/>
    </row>
    <row r="140" customFormat="false" ht="32.25" hidden="false" customHeight="true" outlineLevel="0" collapsed="false">
      <c r="A140" s="108" t="s">
        <v>364</v>
      </c>
      <c r="B140" s="109" t="s">
        <v>488</v>
      </c>
      <c r="C140" s="109"/>
      <c r="D140" s="109"/>
      <c r="E140" s="109"/>
      <c r="F140" s="109"/>
      <c r="G140" s="109"/>
      <c r="H140" s="109"/>
      <c r="I140" s="109"/>
      <c r="J140" s="109"/>
      <c r="L140" s="131"/>
    </row>
    <row r="141" customFormat="false" ht="12.75" hidden="false" customHeight="false" outlineLevel="0" collapsed="false">
      <c r="A141" s="19" t="s">
        <v>403</v>
      </c>
      <c r="B141" s="21" t="str">
        <f aca="false">"Incidência do FGTS sobre o "&amp;B136</f>
        <v>Incidência do FGTS sobre o Aviso prévio indenizado</v>
      </c>
      <c r="C141" s="21"/>
      <c r="D141" s="21"/>
      <c r="E141" s="21"/>
      <c r="F141" s="21"/>
      <c r="G141" s="21"/>
      <c r="H141" s="123" t="n">
        <f aca="false">H108</f>
        <v>0.08</v>
      </c>
      <c r="I141" s="130" t="n">
        <f aca="false">I136*H141</f>
        <v>3.7521</v>
      </c>
      <c r="J141" s="130"/>
      <c r="K141" s="113"/>
    </row>
    <row r="142" customFormat="false" ht="12.75" hidden="false" customHeight="false" outlineLevel="0" collapsed="false">
      <c r="A142" s="30" t="s">
        <v>108</v>
      </c>
      <c r="B142" s="31" t="str">
        <f aca="false">"Aplicar percentual do FGTS sobre o "&amp;B136</f>
        <v>Aplicar percentual do FGTS sobre o Aviso prévio indenizado</v>
      </c>
      <c r="C142" s="31"/>
      <c r="D142" s="31"/>
      <c r="E142" s="31"/>
      <c r="F142" s="31"/>
      <c r="G142" s="31"/>
      <c r="H142" s="31"/>
      <c r="I142" s="31"/>
      <c r="J142" s="31"/>
    </row>
    <row r="143" customFormat="false" ht="12.75" hidden="false" customHeight="true" outlineLevel="0" collapsed="false">
      <c r="A143" s="19" t="s">
        <v>406</v>
      </c>
      <c r="B143" s="21" t="s">
        <v>489</v>
      </c>
      <c r="C143" s="21"/>
      <c r="D143" s="21"/>
      <c r="E143" s="21"/>
      <c r="F143" s="21"/>
      <c r="G143" s="21"/>
      <c r="H143" s="126" t="n">
        <f aca="false">0.4*$H$108*0.55*0.9+0.1*$H$108*0.55*0.9</f>
        <v>0.0198</v>
      </c>
      <c r="I143" s="130" t="n">
        <f aca="false">H143*$H$37</f>
        <v>22.5126</v>
      </c>
      <c r="J143" s="130"/>
      <c r="K143" s="113"/>
    </row>
    <row r="144" customFormat="false" ht="28.5" hidden="false" customHeight="true" outlineLevel="0" collapsed="false">
      <c r="A144" s="108" t="s">
        <v>108</v>
      </c>
      <c r="B144" s="109" t="s">
        <v>490</v>
      </c>
      <c r="C144" s="109"/>
      <c r="D144" s="109"/>
      <c r="E144" s="109"/>
      <c r="F144" s="109"/>
      <c r="G144" s="109"/>
      <c r="H144" s="109"/>
      <c r="I144" s="109"/>
      <c r="J144" s="109"/>
      <c r="K144" s="113"/>
    </row>
    <row r="145" customFormat="false" ht="63" hidden="false" customHeight="true" outlineLevel="0" collapsed="false">
      <c r="A145" s="108" t="s">
        <v>364</v>
      </c>
      <c r="B145" s="109" t="s">
        <v>491</v>
      </c>
      <c r="C145" s="109"/>
      <c r="D145" s="109"/>
      <c r="E145" s="109"/>
      <c r="F145" s="109"/>
      <c r="G145" s="109"/>
      <c r="H145" s="109"/>
      <c r="I145" s="109"/>
      <c r="J145" s="109"/>
      <c r="L145" s="131"/>
    </row>
    <row r="146" customFormat="false" ht="12.75" hidden="false" customHeight="true" outlineLevel="0" collapsed="false">
      <c r="A146" s="19" t="s">
        <v>430</v>
      </c>
      <c r="B146" s="21" t="s">
        <v>492</v>
      </c>
      <c r="C146" s="21"/>
      <c r="D146" s="21"/>
      <c r="E146" s="21"/>
      <c r="F146" s="21"/>
      <c r="G146" s="21"/>
      <c r="H146" s="126" t="n">
        <f aca="false">7*0.55*0.1/360</f>
        <v>0.00106944444444444</v>
      </c>
      <c r="I146" s="130" t="n">
        <f aca="false">H146*$H$37</f>
        <v>1.21595833333333</v>
      </c>
      <c r="J146" s="130"/>
      <c r="K146" s="113"/>
    </row>
    <row r="147" customFormat="false" ht="63" hidden="false" customHeight="true" outlineLevel="0" collapsed="false">
      <c r="A147" s="108" t="s">
        <v>108</v>
      </c>
      <c r="B147" s="109" t="s">
        <v>493</v>
      </c>
      <c r="C147" s="109"/>
      <c r="D147" s="109"/>
      <c r="E147" s="109"/>
      <c r="F147" s="109"/>
      <c r="G147" s="109"/>
      <c r="H147" s="109"/>
      <c r="I147" s="109"/>
      <c r="J147" s="109"/>
    </row>
    <row r="148" customFormat="false" ht="32.25" hidden="false" customHeight="true" outlineLevel="0" collapsed="false">
      <c r="A148" s="108" t="s">
        <v>364</v>
      </c>
      <c r="B148" s="109" t="s">
        <v>494</v>
      </c>
      <c r="C148" s="109"/>
      <c r="D148" s="109"/>
      <c r="E148" s="109"/>
      <c r="F148" s="109"/>
      <c r="G148" s="109"/>
      <c r="H148" s="109"/>
      <c r="I148" s="109"/>
      <c r="J148" s="109"/>
      <c r="L148" s="131"/>
    </row>
    <row r="149" customFormat="false" ht="12.75" hidden="false" customHeight="true" outlineLevel="0" collapsed="false">
      <c r="A149" s="19" t="s">
        <v>432</v>
      </c>
      <c r="B149" s="21" t="s">
        <v>495</v>
      </c>
      <c r="C149" s="21"/>
      <c r="D149" s="21"/>
      <c r="E149" s="21"/>
      <c r="F149" s="21"/>
      <c r="G149" s="21"/>
      <c r="H149" s="126" t="n">
        <f aca="false">0.4*$H$108*0.55*0.1+0.1*$H$108*0.55*0.1</f>
        <v>0.0022</v>
      </c>
      <c r="I149" s="130" t="n">
        <f aca="false">H149*$H$37</f>
        <v>2.5014</v>
      </c>
      <c r="J149" s="130"/>
      <c r="K149" s="113"/>
    </row>
    <row r="150" customFormat="false" ht="69.75" hidden="false" customHeight="true" outlineLevel="0" collapsed="false">
      <c r="A150" s="108" t="s">
        <v>364</v>
      </c>
      <c r="B150" s="109" t="s">
        <v>496</v>
      </c>
      <c r="C150" s="109"/>
      <c r="D150" s="109"/>
      <c r="E150" s="109"/>
      <c r="F150" s="109"/>
      <c r="G150" s="109"/>
      <c r="H150" s="109"/>
      <c r="I150" s="109"/>
      <c r="J150" s="109"/>
      <c r="L150" s="131"/>
    </row>
    <row r="151" customFormat="false" ht="12.75" hidden="false" customHeight="false" outlineLevel="0" collapsed="false">
      <c r="A151" s="19" t="s">
        <v>434</v>
      </c>
      <c r="B151" s="21" t="str">
        <f aca="false">"Incidência do Submódulo "&amp;$A$93&amp;" sobre "&amp;B136</f>
        <v>Incidência do Submódulo 4.1 sobre Aviso prévio indenizado</v>
      </c>
      <c r="C151" s="21"/>
      <c r="D151" s="21"/>
      <c r="E151" s="21"/>
      <c r="F151" s="21"/>
      <c r="G151" s="21"/>
      <c r="H151" s="123" t="n">
        <f aca="false">$H$116</f>
        <v>0.368</v>
      </c>
      <c r="I151" s="130" t="n">
        <f aca="false">H151*I136</f>
        <v>17.25966</v>
      </c>
      <c r="J151" s="130"/>
      <c r="L151" s="131"/>
      <c r="M151" s="131"/>
    </row>
    <row r="152" customFormat="false" ht="12.75" hidden="false" customHeight="false" outlineLevel="0" collapsed="false">
      <c r="A152" s="30" t="s">
        <v>108</v>
      </c>
      <c r="B152" s="31" t="str">
        <f aca="false">"Aplicar percentual do submódulo "&amp;$A$93&amp;" sobre o "&amp;B136</f>
        <v>Aplicar percentual do submódulo 4.1 sobre o Aviso prévio indenizado</v>
      </c>
      <c r="C152" s="31"/>
      <c r="D152" s="31"/>
      <c r="E152" s="31"/>
      <c r="F152" s="31"/>
      <c r="G152" s="31"/>
      <c r="H152" s="31"/>
      <c r="I152" s="31"/>
      <c r="J152" s="31"/>
    </row>
    <row r="153" customFormat="false" ht="12.75" hidden="false" customHeight="false" outlineLevel="0" collapsed="false">
      <c r="A153" s="16" t="str">
        <f aca="false">"Total do Sobmódulo "&amp;A135</f>
        <v>Total do Sobmódulo 4.4</v>
      </c>
      <c r="B153" s="16"/>
      <c r="C153" s="16"/>
      <c r="D153" s="16"/>
      <c r="E153" s="16"/>
      <c r="F153" s="16"/>
      <c r="G153" s="16"/>
      <c r="H153" s="127" t="n">
        <f aca="false">H136+H136*H141+H143+H146+H149+H151*H136</f>
        <v>0.0827994444444444</v>
      </c>
      <c r="I153" s="128" t="n">
        <f aca="false">SUM(I136,I141,I143,I146,I149,I151)</f>
        <v>94.1429683333334</v>
      </c>
      <c r="J153" s="128"/>
      <c r="K153" s="129"/>
      <c r="L153" s="129"/>
    </row>
    <row r="155" customFormat="false" ht="12.75" hidden="false" customHeight="true" outlineLevel="0" collapsed="false">
      <c r="A155" s="16" t="s">
        <v>497</v>
      </c>
      <c r="B155" s="105" t="s">
        <v>498</v>
      </c>
      <c r="C155" s="105"/>
      <c r="D155" s="105"/>
      <c r="E155" s="105"/>
      <c r="F155" s="105"/>
      <c r="G155" s="105"/>
      <c r="H155" s="122" t="s">
        <v>75</v>
      </c>
      <c r="I155" s="106" t="s">
        <v>399</v>
      </c>
      <c r="J155" s="106"/>
    </row>
    <row r="156" customFormat="false" ht="12.75" hidden="false" customHeight="true" outlineLevel="0" collapsed="false">
      <c r="A156" s="19" t="s">
        <v>400</v>
      </c>
      <c r="B156" s="21" t="s">
        <v>499</v>
      </c>
      <c r="C156" s="21"/>
      <c r="D156" s="21"/>
      <c r="E156" s="21"/>
      <c r="F156" s="21"/>
      <c r="G156" s="21"/>
      <c r="H156" s="123" t="n">
        <f aca="false">1/12</f>
        <v>0.0833333333333333</v>
      </c>
      <c r="I156" s="130" t="n">
        <f aca="false">H156*$H$37</f>
        <v>94.75</v>
      </c>
      <c r="J156" s="130"/>
      <c r="K156" s="113"/>
    </row>
    <row r="157" customFormat="false" ht="42" hidden="false" customHeight="true" outlineLevel="0" collapsed="false">
      <c r="A157" s="30" t="s">
        <v>108</v>
      </c>
      <c r="B157" s="132" t="s">
        <v>500</v>
      </c>
      <c r="C157" s="132"/>
      <c r="D157" s="132"/>
      <c r="E157" s="132"/>
      <c r="F157" s="132"/>
      <c r="G157" s="132"/>
      <c r="H157" s="132"/>
      <c r="I157" s="132"/>
      <c r="J157" s="132"/>
      <c r="M157" s="131"/>
    </row>
    <row r="158" customFormat="false" ht="12.75" hidden="false" customHeight="true" outlineLevel="0" collapsed="false">
      <c r="A158" s="30" t="s">
        <v>364</v>
      </c>
      <c r="B158" s="31" t="s">
        <v>501</v>
      </c>
      <c r="C158" s="31"/>
      <c r="D158" s="31"/>
      <c r="E158" s="31"/>
      <c r="F158" s="31"/>
      <c r="G158" s="31"/>
      <c r="H158" s="31"/>
      <c r="I158" s="31"/>
      <c r="J158" s="31"/>
      <c r="M158" s="131"/>
      <c r="O158" s="113"/>
      <c r="P158" s="113"/>
      <c r="Q158" s="113"/>
    </row>
    <row r="159" customFormat="false" ht="12.75" hidden="false" customHeight="true" outlineLevel="0" collapsed="false">
      <c r="A159" s="19" t="s">
        <v>403</v>
      </c>
      <c r="B159" s="21" t="s">
        <v>502</v>
      </c>
      <c r="C159" s="21"/>
      <c r="D159" s="21"/>
      <c r="E159" s="21"/>
      <c r="F159" s="21"/>
      <c r="G159" s="21"/>
      <c r="H159" s="123" t="n">
        <f aca="false">1/(12*3)</f>
        <v>0.0277777777777778</v>
      </c>
      <c r="I159" s="130" t="n">
        <f aca="false">H159*$H$37</f>
        <v>31.5833333333333</v>
      </c>
      <c r="J159" s="130"/>
      <c r="K159" s="113"/>
      <c r="M159" s="131"/>
      <c r="O159" s="113"/>
      <c r="P159" s="113"/>
      <c r="Q159" s="113"/>
    </row>
    <row r="160" customFormat="false" ht="27.75" hidden="false" customHeight="true" outlineLevel="0" collapsed="false">
      <c r="A160" s="30" t="s">
        <v>108</v>
      </c>
      <c r="B160" s="132" t="s">
        <v>503</v>
      </c>
      <c r="C160" s="132"/>
      <c r="D160" s="132"/>
      <c r="E160" s="132"/>
      <c r="F160" s="132"/>
      <c r="G160" s="132"/>
      <c r="H160" s="132"/>
      <c r="I160" s="132"/>
      <c r="J160" s="132"/>
      <c r="M160" s="131"/>
      <c r="O160" s="113"/>
      <c r="P160" s="113"/>
      <c r="Q160" s="113"/>
    </row>
    <row r="161" customFormat="false" ht="12.75" hidden="false" customHeight="true" outlineLevel="0" collapsed="false">
      <c r="A161" s="30" t="s">
        <v>364</v>
      </c>
      <c r="B161" s="31" t="s">
        <v>504</v>
      </c>
      <c r="C161" s="31"/>
      <c r="D161" s="31"/>
      <c r="E161" s="31"/>
      <c r="F161" s="31"/>
      <c r="G161" s="31"/>
      <c r="H161" s="31"/>
      <c r="I161" s="31"/>
      <c r="J161" s="31"/>
      <c r="M161" s="131"/>
      <c r="O161" s="113"/>
      <c r="P161" s="113"/>
      <c r="Q161" s="113"/>
    </row>
    <row r="162" customFormat="false" ht="12.75" hidden="false" customHeight="true" outlineLevel="0" collapsed="false">
      <c r="A162" s="19" t="s">
        <v>406</v>
      </c>
      <c r="B162" s="21" t="s">
        <v>505</v>
      </c>
      <c r="C162" s="21"/>
      <c r="D162" s="21"/>
      <c r="E162" s="21"/>
      <c r="F162" s="21"/>
      <c r="G162" s="21"/>
      <c r="H162" s="126" t="n">
        <f aca="false">5.96/(30*12)</f>
        <v>0.0165555555555556</v>
      </c>
      <c r="I162" s="130" t="n">
        <f aca="false">H162*$H$37</f>
        <v>18.8236666666667</v>
      </c>
      <c r="J162" s="130"/>
      <c r="K162" s="113"/>
      <c r="M162" s="131"/>
      <c r="O162" s="113"/>
      <c r="P162" s="113"/>
      <c r="Q162" s="113"/>
      <c r="R162" s="113"/>
    </row>
    <row r="163" customFormat="false" ht="54" hidden="false" customHeight="true" outlineLevel="0" collapsed="false">
      <c r="A163" s="108" t="s">
        <v>108</v>
      </c>
      <c r="B163" s="133" t="s">
        <v>506</v>
      </c>
      <c r="C163" s="133"/>
      <c r="D163" s="133"/>
      <c r="E163" s="133"/>
      <c r="F163" s="133"/>
      <c r="G163" s="133"/>
      <c r="H163" s="133"/>
      <c r="I163" s="133"/>
      <c r="J163" s="133"/>
      <c r="M163" s="131"/>
      <c r="O163" s="113"/>
      <c r="P163" s="113"/>
      <c r="Q163" s="113"/>
      <c r="R163" s="113"/>
    </row>
    <row r="164" customFormat="false" ht="12.75" hidden="false" customHeight="true" outlineLevel="0" collapsed="false">
      <c r="A164" s="108" t="s">
        <v>364</v>
      </c>
      <c r="B164" s="109" t="s">
        <v>507</v>
      </c>
      <c r="C164" s="109"/>
      <c r="D164" s="109"/>
      <c r="E164" s="109"/>
      <c r="F164" s="109"/>
      <c r="G164" s="109"/>
      <c r="H164" s="109"/>
      <c r="I164" s="109"/>
      <c r="J164" s="109"/>
      <c r="M164" s="131"/>
      <c r="O164" s="113"/>
      <c r="P164" s="113"/>
      <c r="Q164" s="113"/>
      <c r="R164" s="113"/>
    </row>
    <row r="165" customFormat="false" ht="12.75" hidden="false" customHeight="true" outlineLevel="0" collapsed="false">
      <c r="A165" s="19" t="s">
        <v>430</v>
      </c>
      <c r="B165" s="21" t="s">
        <v>508</v>
      </c>
      <c r="C165" s="21"/>
      <c r="D165" s="21"/>
      <c r="E165" s="21"/>
      <c r="F165" s="21"/>
      <c r="G165" s="21"/>
      <c r="H165" s="126" t="n">
        <f aca="false">5*0.0731*0.5555/(30*12)</f>
        <v>0.000563986805555556</v>
      </c>
      <c r="I165" s="130" t="n">
        <f aca="false">H165*$H$37</f>
        <v>0.641252997916667</v>
      </c>
      <c r="J165" s="130"/>
      <c r="K165" s="113"/>
      <c r="O165" s="113"/>
      <c r="P165" s="113"/>
      <c r="Q165" s="113"/>
    </row>
    <row r="166" customFormat="false" ht="94.5" hidden="false" customHeight="true" outlineLevel="0" collapsed="false">
      <c r="A166" s="108" t="s">
        <v>108</v>
      </c>
      <c r="B166" s="133" t="s">
        <v>509</v>
      </c>
      <c r="C166" s="133"/>
      <c r="D166" s="133"/>
      <c r="E166" s="133"/>
      <c r="F166" s="133"/>
      <c r="G166" s="133"/>
      <c r="H166" s="133"/>
      <c r="I166" s="133"/>
      <c r="J166" s="133"/>
      <c r="N166" s="113"/>
      <c r="O166" s="113"/>
      <c r="P166" s="113"/>
      <c r="Q166" s="113"/>
      <c r="R166" s="113"/>
    </row>
    <row r="167" customFormat="false" ht="12.75" hidden="false" customHeight="true" outlineLevel="0" collapsed="false">
      <c r="A167" s="108" t="s">
        <v>364</v>
      </c>
      <c r="B167" s="109" t="s">
        <v>510</v>
      </c>
      <c r="C167" s="109"/>
      <c r="D167" s="109"/>
      <c r="E167" s="109"/>
      <c r="F167" s="109"/>
      <c r="G167" s="109"/>
      <c r="H167" s="109"/>
      <c r="I167" s="109"/>
      <c r="J167" s="109"/>
      <c r="Q167" s="113"/>
    </row>
    <row r="168" customFormat="false" ht="12.75" hidden="false" customHeight="true" outlineLevel="0" collapsed="false">
      <c r="A168" s="19" t="s">
        <v>432</v>
      </c>
      <c r="B168" s="21" t="s">
        <v>511</v>
      </c>
      <c r="C168" s="21"/>
      <c r="D168" s="21"/>
      <c r="E168" s="21"/>
      <c r="F168" s="21"/>
      <c r="G168" s="21"/>
      <c r="H168" s="126" t="n">
        <f aca="false">2.96/(30*12)</f>
        <v>0.00822222222222222</v>
      </c>
      <c r="I168" s="130" t="n">
        <f aca="false">H168*$H$37</f>
        <v>9.34866666666667</v>
      </c>
      <c r="J168" s="130"/>
      <c r="K168" s="113"/>
    </row>
    <row r="169" customFormat="false" ht="93" hidden="false" customHeight="true" outlineLevel="0" collapsed="false">
      <c r="A169" s="108" t="s">
        <v>108</v>
      </c>
      <c r="B169" s="133" t="s">
        <v>512</v>
      </c>
      <c r="C169" s="133"/>
      <c r="D169" s="133"/>
      <c r="E169" s="133"/>
      <c r="F169" s="133"/>
      <c r="G169" s="133"/>
      <c r="H169" s="133"/>
      <c r="I169" s="133"/>
      <c r="J169" s="133"/>
    </row>
    <row r="170" customFormat="false" ht="12.75" hidden="false" customHeight="true" outlineLevel="0" collapsed="false">
      <c r="A170" s="108" t="s">
        <v>364</v>
      </c>
      <c r="B170" s="109" t="s">
        <v>513</v>
      </c>
      <c r="C170" s="109"/>
      <c r="D170" s="109"/>
      <c r="E170" s="109"/>
      <c r="F170" s="109"/>
      <c r="G170" s="109"/>
      <c r="H170" s="109"/>
      <c r="I170" s="109"/>
      <c r="J170" s="109"/>
    </row>
    <row r="171" customFormat="false" ht="12.75" hidden="false" customHeight="true" outlineLevel="0" collapsed="false">
      <c r="A171" s="19" t="s">
        <v>434</v>
      </c>
      <c r="B171" s="21" t="s">
        <v>514</v>
      </c>
      <c r="C171" s="21"/>
      <c r="D171" s="21"/>
      <c r="E171" s="21"/>
      <c r="F171" s="21"/>
      <c r="G171" s="21"/>
      <c r="H171" s="126" t="n">
        <f aca="false">0.91/(30*12)</f>
        <v>0.00252777777777778</v>
      </c>
      <c r="I171" s="130" t="n">
        <f aca="false">H171*$H$37</f>
        <v>2.87408333333333</v>
      </c>
      <c r="J171" s="130"/>
      <c r="K171" s="113"/>
    </row>
    <row r="172" customFormat="false" ht="66" hidden="false" customHeight="true" outlineLevel="0" collapsed="false">
      <c r="A172" s="108" t="s">
        <v>108</v>
      </c>
      <c r="B172" s="133" t="s">
        <v>515</v>
      </c>
      <c r="C172" s="133"/>
      <c r="D172" s="133"/>
      <c r="E172" s="133"/>
      <c r="F172" s="133"/>
      <c r="G172" s="133"/>
      <c r="H172" s="133"/>
      <c r="I172" s="133"/>
      <c r="J172" s="133"/>
    </row>
    <row r="173" customFormat="false" ht="12.75" hidden="false" customHeight="true" outlineLevel="0" collapsed="false">
      <c r="A173" s="108" t="s">
        <v>364</v>
      </c>
      <c r="B173" s="109" t="s">
        <v>516</v>
      </c>
      <c r="C173" s="109"/>
      <c r="D173" s="109"/>
      <c r="E173" s="109"/>
      <c r="F173" s="109"/>
      <c r="G173" s="109"/>
      <c r="H173" s="109"/>
      <c r="I173" s="109"/>
      <c r="J173" s="109"/>
    </row>
    <row r="174" customFormat="false" ht="12.75" hidden="false" customHeight="true" outlineLevel="0" collapsed="false">
      <c r="A174" s="19" t="s">
        <v>438</v>
      </c>
      <c r="B174" s="111" t="s">
        <v>444</v>
      </c>
      <c r="C174" s="111"/>
      <c r="D174" s="111"/>
      <c r="E174" s="111"/>
      <c r="F174" s="111"/>
      <c r="G174" s="111"/>
      <c r="H174" s="126"/>
      <c r="I174" s="130" t="n">
        <f aca="false">H174*$H$37</f>
        <v>0</v>
      </c>
      <c r="J174" s="130"/>
      <c r="K174" s="113"/>
    </row>
    <row r="175" customFormat="false" ht="12.75" hidden="false" customHeight="true" outlineLevel="0" collapsed="false">
      <c r="A175" s="108" t="s">
        <v>108</v>
      </c>
      <c r="B175" s="109" t="s">
        <v>517</v>
      </c>
      <c r="C175" s="109"/>
      <c r="D175" s="109"/>
      <c r="E175" s="109"/>
      <c r="F175" s="109"/>
      <c r="G175" s="109"/>
      <c r="H175" s="109"/>
      <c r="I175" s="109"/>
      <c r="J175" s="109"/>
    </row>
    <row r="176" customFormat="false" ht="12.75" hidden="false" customHeight="true" outlineLevel="0" collapsed="false">
      <c r="A176" s="108" t="s">
        <v>364</v>
      </c>
      <c r="B176" s="109" t="s">
        <v>518</v>
      </c>
      <c r="C176" s="109"/>
      <c r="D176" s="109"/>
      <c r="E176" s="109"/>
      <c r="F176" s="109"/>
      <c r="G176" s="109"/>
      <c r="H176" s="109"/>
      <c r="I176" s="109"/>
      <c r="J176" s="109"/>
    </row>
    <row r="177" customFormat="false" ht="12.75" hidden="false" customHeight="false" outlineLevel="0" collapsed="false">
      <c r="A177" s="16" t="str">
        <f aca="false">"Total do Sobmódulo "&amp;A155</f>
        <v>Total do Sobmódulo 4.5</v>
      </c>
      <c r="B177" s="16"/>
      <c r="C177" s="16"/>
      <c r="D177" s="16"/>
      <c r="E177" s="16"/>
      <c r="F177" s="16"/>
      <c r="G177" s="16"/>
      <c r="H177" s="127" t="n">
        <f aca="false">SUM(H156,H159,H162,H165,H168,H171,H174)</f>
        <v>0.138980653472222</v>
      </c>
      <c r="I177" s="128" t="n">
        <f aca="false">SUM(I156,I159,I162,I165,I168,I171,I174)</f>
        <v>158.021002997917</v>
      </c>
      <c r="J177" s="128"/>
      <c r="K177" s="129"/>
      <c r="L177" s="129"/>
    </row>
    <row r="178" customFormat="false" ht="12.75" hidden="false" customHeight="false" outlineLevel="0" collapsed="false">
      <c r="K178" s="113"/>
    </row>
    <row r="179" customFormat="false" ht="12.75" hidden="false" customHeight="false" outlineLevel="0" collapsed="false">
      <c r="A179" s="8" t="s">
        <v>519</v>
      </c>
      <c r="B179" s="8"/>
      <c r="C179" s="8"/>
      <c r="D179" s="8"/>
      <c r="E179" s="8"/>
      <c r="F179" s="8"/>
      <c r="G179" s="8"/>
      <c r="H179" s="8"/>
      <c r="I179" s="8"/>
      <c r="J179" s="8"/>
    </row>
    <row r="180" customFormat="false" ht="12.75" hidden="false" customHeight="true" outlineLevel="0" collapsed="false">
      <c r="A180" s="28" t="s">
        <v>520</v>
      </c>
      <c r="B180" s="104" t="s">
        <v>521</v>
      </c>
      <c r="C180" s="104"/>
      <c r="D180" s="104"/>
      <c r="E180" s="104"/>
      <c r="F180" s="104"/>
      <c r="G180" s="104"/>
      <c r="H180" s="134" t="s">
        <v>75</v>
      </c>
      <c r="I180" s="135" t="s">
        <v>522</v>
      </c>
      <c r="J180" s="135"/>
    </row>
    <row r="181" customFormat="false" ht="12.75" hidden="false" customHeight="false" outlineLevel="0" collapsed="false">
      <c r="A181" s="19" t="n">
        <v>1</v>
      </c>
      <c r="B181" s="10" t="str">
        <f aca="false">$B$31</f>
        <v> Remuneração</v>
      </c>
      <c r="C181" s="10"/>
      <c r="D181" s="10"/>
      <c r="E181" s="10"/>
      <c r="F181" s="10"/>
      <c r="G181" s="10"/>
      <c r="H181" s="24"/>
      <c r="I181" s="136" t="n">
        <f aca="false">H33+$H$35</f>
        <v>1137</v>
      </c>
      <c r="J181" s="136"/>
      <c r="Q181" s="137"/>
      <c r="R181" s="137"/>
    </row>
    <row r="182" customFormat="false" ht="12.75" hidden="false" customHeight="false" outlineLevel="0" collapsed="false">
      <c r="A182" s="19" t="n">
        <v>2</v>
      </c>
      <c r="B182" s="10" t="str">
        <f aca="false">$B$39</f>
        <v>Benefícios mensais e diários</v>
      </c>
      <c r="C182" s="10"/>
      <c r="D182" s="10"/>
      <c r="E182" s="10"/>
      <c r="F182" s="10"/>
      <c r="G182" s="10"/>
      <c r="H182" s="19"/>
      <c r="I182" s="136" t="n">
        <f aca="false">H49</f>
        <v>98.98</v>
      </c>
      <c r="J182" s="136"/>
    </row>
    <row r="183" customFormat="false" ht="12.75" hidden="false" customHeight="false" outlineLevel="0" collapsed="false">
      <c r="A183" s="19" t="n">
        <v>3</v>
      </c>
      <c r="B183" s="10" t="str">
        <f aca="false">$B$51</f>
        <v> Uniformes E Equipamentos</v>
      </c>
      <c r="C183" s="10"/>
      <c r="D183" s="10"/>
      <c r="E183" s="10"/>
      <c r="F183" s="10"/>
      <c r="G183" s="10"/>
      <c r="H183" s="19"/>
      <c r="I183" s="136" t="n">
        <f aca="false">$H$68+$H$90</f>
        <v>0</v>
      </c>
      <c r="J183" s="136"/>
    </row>
    <row r="184" customFormat="false" ht="12.75" hidden="false" customHeight="false" outlineLevel="0" collapsed="false">
      <c r="A184" s="19" t="n">
        <v>4</v>
      </c>
      <c r="B184" s="10" t="str">
        <f aca="false">$B$92</f>
        <v>Encargos Sociais e Trabalhistas</v>
      </c>
      <c r="C184" s="10"/>
      <c r="D184" s="10"/>
      <c r="E184" s="10"/>
      <c r="F184" s="10"/>
      <c r="G184" s="10"/>
      <c r="H184" s="138" t="n">
        <f aca="false">SUM($H$116,$H$124,$H$133,$H$153,$H$177)</f>
        <v>0.705426407383333</v>
      </c>
      <c r="I184" s="136" t="n">
        <f aca="false">H184*I181</f>
        <v>802.06982519485</v>
      </c>
      <c r="J184" s="136"/>
      <c r="K184" s="129"/>
    </row>
    <row r="185" customFormat="false" ht="12.75" hidden="false" customHeight="false" outlineLevel="0" collapsed="false">
      <c r="A185" s="19" t="n">
        <v>5</v>
      </c>
      <c r="B185" s="10" t="s">
        <v>444</v>
      </c>
      <c r="C185" s="10"/>
      <c r="D185" s="10"/>
      <c r="E185" s="10"/>
      <c r="F185" s="10"/>
      <c r="G185" s="10"/>
      <c r="H185" s="138"/>
      <c r="I185" s="136"/>
      <c r="J185" s="136"/>
    </row>
    <row r="186" customFormat="false" ht="12.75" hidden="false" customHeight="false" outlineLevel="0" collapsed="false">
      <c r="A186" s="16" t="s">
        <v>68</v>
      </c>
      <c r="B186" s="16"/>
      <c r="C186" s="16"/>
      <c r="D186" s="16"/>
      <c r="E186" s="16"/>
      <c r="F186" s="16"/>
      <c r="G186" s="16"/>
      <c r="H186" s="16"/>
      <c r="I186" s="128" t="n">
        <f aca="false">SUM(I181:J185)</f>
        <v>2038.04982519485</v>
      </c>
      <c r="J186" s="128"/>
    </row>
    <row r="188" customFormat="false" ht="26.25" hidden="false" customHeight="true" outlineLevel="0" collapsed="false">
      <c r="A188" s="83" t="s">
        <v>523</v>
      </c>
      <c r="B188" s="83"/>
      <c r="C188" s="83"/>
      <c r="D188" s="83"/>
      <c r="E188" s="83"/>
      <c r="F188" s="83"/>
      <c r="G188" s="83"/>
      <c r="H188" s="83"/>
      <c r="I188" s="83"/>
      <c r="J188" s="83"/>
    </row>
    <row r="190" customFormat="false" ht="12.75" hidden="false" customHeight="false" outlineLevel="0" collapsed="false">
      <c r="A190" s="8" t="s">
        <v>524</v>
      </c>
      <c r="B190" s="8"/>
      <c r="C190" s="8"/>
      <c r="D190" s="8"/>
      <c r="E190" s="8"/>
      <c r="F190" s="8"/>
      <c r="G190" s="8"/>
      <c r="H190" s="8"/>
      <c r="I190" s="8"/>
      <c r="J190" s="8"/>
    </row>
    <row r="191" customFormat="false" ht="12.75" hidden="false" customHeight="true" outlineLevel="0" collapsed="false">
      <c r="A191" s="28" t="s">
        <v>520</v>
      </c>
      <c r="B191" s="104" t="s">
        <v>521</v>
      </c>
      <c r="C191" s="104"/>
      <c r="D191" s="104"/>
      <c r="E191" s="104"/>
      <c r="F191" s="104"/>
      <c r="G191" s="104"/>
      <c r="H191" s="134" t="s">
        <v>75</v>
      </c>
      <c r="I191" s="135" t="s">
        <v>522</v>
      </c>
      <c r="J191" s="135"/>
    </row>
    <row r="192" customFormat="false" ht="12.75" hidden="false" customHeight="false" outlineLevel="0" collapsed="false">
      <c r="A192" s="19" t="n">
        <v>1</v>
      </c>
      <c r="B192" s="10" t="str">
        <f aca="false">$B$31</f>
        <v> Remuneração</v>
      </c>
      <c r="C192" s="10"/>
      <c r="D192" s="10"/>
      <c r="E192" s="10"/>
      <c r="F192" s="10"/>
      <c r="G192" s="10"/>
      <c r="H192" s="24"/>
      <c r="I192" s="136" t="n">
        <f aca="false">I181*1.062+$H$35</f>
        <v>1207.494</v>
      </c>
      <c r="J192" s="136"/>
    </row>
    <row r="193" customFormat="false" ht="12.75" hidden="false" customHeight="false" outlineLevel="0" collapsed="false">
      <c r="A193" s="19" t="n">
        <v>2</v>
      </c>
      <c r="B193" s="10" t="str">
        <f aca="false">$B$39</f>
        <v>Benefícios mensais e diários</v>
      </c>
      <c r="C193" s="10"/>
      <c r="D193" s="10"/>
      <c r="E193" s="10"/>
      <c r="F193" s="10"/>
      <c r="G193" s="10"/>
      <c r="H193" s="19"/>
      <c r="I193" s="136" t="n">
        <f aca="false">SUM(H194,H195,H196)</f>
        <v>94.75036</v>
      </c>
      <c r="J193" s="136"/>
    </row>
    <row r="194" customFormat="false" ht="15" hidden="true" customHeight="true" outlineLevel="0" collapsed="false">
      <c r="A194" s="19" t="s">
        <v>400</v>
      </c>
      <c r="B194" s="21" t="s">
        <v>411</v>
      </c>
      <c r="C194" s="21"/>
      <c r="D194" s="21"/>
      <c r="E194" s="21"/>
      <c r="F194" s="21"/>
      <c r="G194" s="21"/>
      <c r="H194" s="124" t="n">
        <f aca="false">IF((3.8*2*22-0.06*I192)&gt;0,3.8*2*22-0.06*I192,0)</f>
        <v>94.75036</v>
      </c>
      <c r="I194" s="124"/>
      <c r="J194" s="124"/>
      <c r="K194" s="129"/>
      <c r="L194" s="129"/>
    </row>
    <row r="195" customFormat="false" ht="12.75" hidden="true" customHeight="true" outlineLevel="0" collapsed="false">
      <c r="A195" s="19" t="s">
        <v>417</v>
      </c>
      <c r="B195" s="21" t="s">
        <v>418</v>
      </c>
      <c r="C195" s="21"/>
      <c r="D195" s="21"/>
      <c r="E195" s="21"/>
      <c r="F195" s="21"/>
      <c r="G195" s="21"/>
      <c r="H195" s="124" t="n">
        <f aca="false">IF('DI, Tri e Pag'!$H$12:$J$12='DI, Tri e Pag'!$L$12,-('DI, Tri e Pag'!$H$23+'DI, Tri e Pag'!$H$24)*H194,0)</f>
        <v>0</v>
      </c>
      <c r="I195" s="124"/>
      <c r="J195" s="124"/>
      <c r="K195" s="139"/>
    </row>
    <row r="196" customFormat="false" ht="15" hidden="true" customHeight="true" outlineLevel="0" collapsed="false">
      <c r="A196" s="19" t="s">
        <v>403</v>
      </c>
      <c r="B196" s="21" t="s">
        <v>407</v>
      </c>
      <c r="C196" s="21"/>
      <c r="D196" s="21"/>
      <c r="E196" s="21"/>
      <c r="F196" s="21"/>
      <c r="G196" s="21"/>
      <c r="H196" s="124" t="n">
        <f aca="false">$H$47</f>
        <v>0</v>
      </c>
      <c r="I196" s="124"/>
      <c r="J196" s="124"/>
    </row>
    <row r="197" customFormat="false" ht="12.75" hidden="false" customHeight="false" outlineLevel="0" collapsed="false">
      <c r="A197" s="19" t="n">
        <v>3</v>
      </c>
      <c r="B197" s="10" t="str">
        <f aca="false">$B$51</f>
        <v> Uniformes E Equipamentos</v>
      </c>
      <c r="C197" s="10"/>
      <c r="D197" s="10"/>
      <c r="E197" s="10"/>
      <c r="F197" s="10"/>
      <c r="G197" s="10"/>
      <c r="H197" s="19"/>
      <c r="I197" s="136" t="n">
        <f aca="false">$H$68+$H$90</f>
        <v>0</v>
      </c>
      <c r="J197" s="136"/>
    </row>
    <row r="198" customFormat="false" ht="12.75" hidden="false" customHeight="false" outlineLevel="0" collapsed="false">
      <c r="A198" s="19" t="n">
        <v>4</v>
      </c>
      <c r="B198" s="10" t="str">
        <f aca="false">$B$92</f>
        <v>Encargos Sociais e Trabalhistas</v>
      </c>
      <c r="C198" s="10"/>
      <c r="D198" s="10"/>
      <c r="E198" s="10"/>
      <c r="F198" s="10"/>
      <c r="G198" s="10"/>
      <c r="H198" s="138" t="n">
        <f aca="false">SUM($H$116,$H$124,$H$133,$H$153,$H$177)</f>
        <v>0.705426407383333</v>
      </c>
      <c r="I198" s="136" t="n">
        <f aca="false">H198*I192</f>
        <v>851.798154356931</v>
      </c>
      <c r="J198" s="136"/>
    </row>
    <row r="199" customFormat="false" ht="12.75" hidden="false" customHeight="false" outlineLevel="0" collapsed="false">
      <c r="A199" s="19" t="n">
        <v>5</v>
      </c>
      <c r="B199" s="10" t="str">
        <f aca="false">B185</f>
        <v>Outro (Especificar)</v>
      </c>
      <c r="C199" s="10"/>
      <c r="D199" s="10"/>
      <c r="E199" s="10"/>
      <c r="F199" s="10"/>
      <c r="G199" s="10"/>
      <c r="H199" s="138"/>
      <c r="I199" s="136"/>
      <c r="J199" s="136"/>
    </row>
    <row r="200" customFormat="false" ht="12.75" hidden="false" customHeight="false" outlineLevel="0" collapsed="false">
      <c r="A200" s="16" t="s">
        <v>68</v>
      </c>
      <c r="B200" s="16"/>
      <c r="C200" s="16"/>
      <c r="D200" s="16"/>
      <c r="E200" s="16"/>
      <c r="F200" s="16"/>
      <c r="G200" s="16"/>
      <c r="H200" s="16"/>
      <c r="I200" s="128" t="n">
        <f aca="false">SUM(I192,I193,I197,I198,I199)</f>
        <v>2154.04251435693</v>
      </c>
      <c r="J200" s="128"/>
      <c r="L200" s="129"/>
    </row>
    <row r="202" customFormat="false" ht="12.75" hidden="false" customHeight="false" outlineLevel="0" collapsed="false">
      <c r="A202" s="8" t="s">
        <v>525</v>
      </c>
      <c r="B202" s="8"/>
      <c r="C202" s="8"/>
      <c r="D202" s="8"/>
      <c r="E202" s="8"/>
      <c r="F202" s="8"/>
      <c r="G202" s="8"/>
      <c r="H202" s="8"/>
      <c r="I202" s="8"/>
      <c r="J202" s="8"/>
    </row>
    <row r="203" customFormat="false" ht="12.75" hidden="false" customHeight="true" outlineLevel="0" collapsed="false">
      <c r="A203" s="28" t="s">
        <v>520</v>
      </c>
      <c r="B203" s="104" t="s">
        <v>521</v>
      </c>
      <c r="C203" s="104"/>
      <c r="D203" s="104"/>
      <c r="E203" s="104"/>
      <c r="F203" s="104"/>
      <c r="G203" s="104"/>
      <c r="H203" s="134" t="s">
        <v>75</v>
      </c>
      <c r="I203" s="135" t="s">
        <v>522</v>
      </c>
      <c r="J203" s="135"/>
    </row>
    <row r="204" customFormat="false" ht="12.75" hidden="false" customHeight="false" outlineLevel="0" collapsed="false">
      <c r="A204" s="19" t="n">
        <v>1</v>
      </c>
      <c r="B204" s="10" t="str">
        <f aca="false">$B$31</f>
        <v> Remuneração</v>
      </c>
      <c r="C204" s="10"/>
      <c r="D204" s="10"/>
      <c r="E204" s="10"/>
      <c r="F204" s="10"/>
      <c r="G204" s="10"/>
      <c r="H204" s="24"/>
      <c r="I204" s="136" t="n">
        <f aca="false">I192*1.062+$H$35</f>
        <v>1282.358628</v>
      </c>
      <c r="J204" s="136"/>
    </row>
    <row r="205" customFormat="false" ht="12.75" hidden="false" customHeight="false" outlineLevel="0" collapsed="false">
      <c r="A205" s="19" t="n">
        <v>2</v>
      </c>
      <c r="B205" s="10" t="str">
        <f aca="false">$B$39</f>
        <v>Benefícios mensais e diários</v>
      </c>
      <c r="C205" s="10"/>
      <c r="D205" s="10"/>
      <c r="E205" s="10"/>
      <c r="F205" s="10"/>
      <c r="G205" s="10"/>
      <c r="H205" s="19"/>
      <c r="I205" s="136" t="n">
        <f aca="false">SUM(H206,H207,H208)</f>
        <v>90.25848232</v>
      </c>
      <c r="J205" s="136"/>
    </row>
    <row r="206" customFormat="false" ht="15" hidden="true" customHeight="true" outlineLevel="0" collapsed="false">
      <c r="A206" s="19" t="s">
        <v>400</v>
      </c>
      <c r="B206" s="21" t="s">
        <v>411</v>
      </c>
      <c r="C206" s="21"/>
      <c r="D206" s="21"/>
      <c r="E206" s="21"/>
      <c r="F206" s="21"/>
      <c r="G206" s="21"/>
      <c r="H206" s="124" t="n">
        <f aca="false">IF((3.8*2*22-0.06*I204)&gt;0,3.8*2*22-0.06*I204,0)</f>
        <v>90.25848232</v>
      </c>
      <c r="I206" s="124"/>
      <c r="J206" s="124"/>
      <c r="K206" s="129"/>
      <c r="L206" s="129"/>
    </row>
    <row r="207" customFormat="false" ht="12.75" hidden="true" customHeight="true" outlineLevel="0" collapsed="false">
      <c r="A207" s="19" t="s">
        <v>417</v>
      </c>
      <c r="B207" s="21" t="s">
        <v>418</v>
      </c>
      <c r="C207" s="21"/>
      <c r="D207" s="21"/>
      <c r="E207" s="21"/>
      <c r="F207" s="21"/>
      <c r="G207" s="21"/>
      <c r="H207" s="124" t="n">
        <f aca="false">IF('DI, Tri e Pag'!$H$12:$J$12='DI, Tri e Pag'!$L$12,-('DI, Tri e Pag'!$H$23+'DI, Tri e Pag'!$H$24)*H206,0)</f>
        <v>0</v>
      </c>
      <c r="I207" s="124"/>
      <c r="J207" s="124"/>
      <c r="K207" s="139"/>
    </row>
    <row r="208" customFormat="false" ht="15" hidden="true" customHeight="true" outlineLevel="0" collapsed="false">
      <c r="A208" s="19" t="s">
        <v>403</v>
      </c>
      <c r="B208" s="21" t="s">
        <v>407</v>
      </c>
      <c r="C208" s="21"/>
      <c r="D208" s="21"/>
      <c r="E208" s="21"/>
      <c r="F208" s="21"/>
      <c r="G208" s="21"/>
      <c r="H208" s="124" t="n">
        <f aca="false">$H$47</f>
        <v>0</v>
      </c>
      <c r="I208" s="124"/>
      <c r="J208" s="124"/>
    </row>
    <row r="209" customFormat="false" ht="12.75" hidden="false" customHeight="false" outlineLevel="0" collapsed="false">
      <c r="A209" s="19" t="n">
        <v>3</v>
      </c>
      <c r="B209" s="10" t="str">
        <f aca="false">$B$51</f>
        <v> Uniformes E Equipamentos</v>
      </c>
      <c r="C209" s="10"/>
      <c r="D209" s="10"/>
      <c r="E209" s="10"/>
      <c r="F209" s="10"/>
      <c r="G209" s="10"/>
      <c r="H209" s="19"/>
      <c r="I209" s="136" t="n">
        <f aca="false">$H$68+$H$90</f>
        <v>0</v>
      </c>
      <c r="J209" s="136"/>
    </row>
    <row r="210" customFormat="false" ht="12.75" hidden="false" customHeight="false" outlineLevel="0" collapsed="false">
      <c r="A210" s="19" t="n">
        <v>4</v>
      </c>
      <c r="B210" s="10" t="str">
        <f aca="false">$B$92</f>
        <v>Encargos Sociais e Trabalhistas</v>
      </c>
      <c r="C210" s="10"/>
      <c r="D210" s="10"/>
      <c r="E210" s="10"/>
      <c r="F210" s="10"/>
      <c r="G210" s="10"/>
      <c r="H210" s="138" t="n">
        <f aca="false">SUM($H$116,$H$124,$H$133,$H$153,$H$177)</f>
        <v>0.705426407383333</v>
      </c>
      <c r="I210" s="136" t="n">
        <f aca="false">H210*I204</f>
        <v>904.609639927061</v>
      </c>
      <c r="J210" s="136"/>
    </row>
    <row r="211" customFormat="false" ht="12.75" hidden="false" customHeight="false" outlineLevel="0" collapsed="false">
      <c r="A211" s="19" t="n">
        <v>5</v>
      </c>
      <c r="B211" s="10" t="str">
        <f aca="false">B199</f>
        <v>Outro (Especificar)</v>
      </c>
      <c r="C211" s="10"/>
      <c r="D211" s="10"/>
      <c r="E211" s="10"/>
      <c r="F211" s="10"/>
      <c r="G211" s="10"/>
      <c r="H211" s="138"/>
      <c r="I211" s="136"/>
      <c r="J211" s="136"/>
    </row>
    <row r="212" customFormat="false" ht="12.75" hidden="false" customHeight="false" outlineLevel="0" collapsed="false">
      <c r="A212" s="16" t="s">
        <v>68</v>
      </c>
      <c r="B212" s="16"/>
      <c r="C212" s="16"/>
      <c r="D212" s="16"/>
      <c r="E212" s="16"/>
      <c r="F212" s="16"/>
      <c r="G212" s="16"/>
      <c r="H212" s="16"/>
      <c r="I212" s="128" t="n">
        <f aca="false">SUM(I204,I205,I209,I210,I211)</f>
        <v>2277.22675024706</v>
      </c>
      <c r="J212" s="128"/>
      <c r="L212" s="129"/>
    </row>
    <row r="214" customFormat="false" ht="12.75" hidden="false" customHeight="false" outlineLevel="0" collapsed="false">
      <c r="A214" s="8" t="s">
        <v>526</v>
      </c>
      <c r="B214" s="8"/>
      <c r="C214" s="8"/>
      <c r="D214" s="8"/>
      <c r="E214" s="8"/>
      <c r="F214" s="8"/>
      <c r="G214" s="8"/>
      <c r="H214" s="8"/>
      <c r="I214" s="8"/>
      <c r="J214" s="8"/>
    </row>
    <row r="215" customFormat="false" ht="12.75" hidden="false" customHeight="true" outlineLevel="0" collapsed="false">
      <c r="A215" s="28" t="s">
        <v>520</v>
      </c>
      <c r="B215" s="104" t="s">
        <v>521</v>
      </c>
      <c r="C215" s="104"/>
      <c r="D215" s="104"/>
      <c r="E215" s="104"/>
      <c r="F215" s="104"/>
      <c r="G215" s="104"/>
      <c r="H215" s="134" t="s">
        <v>75</v>
      </c>
      <c r="I215" s="135" t="s">
        <v>522</v>
      </c>
      <c r="J215" s="135"/>
    </row>
    <row r="216" customFormat="false" ht="12.75" hidden="false" customHeight="false" outlineLevel="0" collapsed="false">
      <c r="A216" s="19" t="n">
        <v>1</v>
      </c>
      <c r="B216" s="10" t="str">
        <f aca="false">$B$31</f>
        <v> Remuneração</v>
      </c>
      <c r="C216" s="10"/>
      <c r="D216" s="10"/>
      <c r="E216" s="10"/>
      <c r="F216" s="10"/>
      <c r="G216" s="10"/>
      <c r="H216" s="24"/>
      <c r="I216" s="136" t="n">
        <f aca="false">I204*1.062+$H$35</f>
        <v>1361.864862936</v>
      </c>
      <c r="J216" s="136"/>
    </row>
    <row r="217" customFormat="false" ht="12.75" hidden="false" customHeight="false" outlineLevel="0" collapsed="false">
      <c r="A217" s="19" t="n">
        <v>2</v>
      </c>
      <c r="B217" s="10" t="str">
        <f aca="false">$B$39</f>
        <v>Benefícios mensais e diários</v>
      </c>
      <c r="C217" s="10"/>
      <c r="D217" s="10"/>
      <c r="E217" s="10"/>
      <c r="F217" s="10"/>
      <c r="G217" s="10"/>
      <c r="H217" s="19"/>
      <c r="I217" s="136" t="n">
        <f aca="false">SUM(H218,H219,H220)</f>
        <v>85.48810822384</v>
      </c>
      <c r="J217" s="136"/>
    </row>
    <row r="218" customFormat="false" ht="15" hidden="true" customHeight="true" outlineLevel="0" collapsed="false">
      <c r="A218" s="19" t="s">
        <v>400</v>
      </c>
      <c r="B218" s="21" t="s">
        <v>411</v>
      </c>
      <c r="C218" s="21"/>
      <c r="D218" s="21"/>
      <c r="E218" s="21"/>
      <c r="F218" s="21"/>
      <c r="G218" s="21"/>
      <c r="H218" s="124" t="n">
        <f aca="false">IF((3.8*2*22-0.06*I216)&gt;0,3.8*2*22-0.06*I216,0)</f>
        <v>85.48810822384</v>
      </c>
      <c r="I218" s="124"/>
      <c r="J218" s="124"/>
      <c r="K218" s="129"/>
      <c r="L218" s="129"/>
    </row>
    <row r="219" customFormat="false" ht="12.75" hidden="true" customHeight="true" outlineLevel="0" collapsed="false">
      <c r="A219" s="19" t="s">
        <v>417</v>
      </c>
      <c r="B219" s="21" t="s">
        <v>418</v>
      </c>
      <c r="C219" s="21"/>
      <c r="D219" s="21"/>
      <c r="E219" s="21"/>
      <c r="F219" s="21"/>
      <c r="G219" s="21"/>
      <c r="H219" s="124" t="n">
        <f aca="false">IF('DI, Tri e Pag'!$H$12:$J$12='DI, Tri e Pag'!$L$12,-('DI, Tri e Pag'!$H$23+'DI, Tri e Pag'!$H$24)*H218,0)</f>
        <v>0</v>
      </c>
      <c r="I219" s="124"/>
      <c r="J219" s="124"/>
      <c r="K219" s="139"/>
    </row>
    <row r="220" customFormat="false" ht="15" hidden="true" customHeight="true" outlineLevel="0" collapsed="false">
      <c r="A220" s="19" t="s">
        <v>403</v>
      </c>
      <c r="B220" s="21" t="s">
        <v>407</v>
      </c>
      <c r="C220" s="21"/>
      <c r="D220" s="21"/>
      <c r="E220" s="21"/>
      <c r="F220" s="21"/>
      <c r="G220" s="21"/>
      <c r="H220" s="124" t="n">
        <f aca="false">$H$47</f>
        <v>0</v>
      </c>
      <c r="I220" s="124"/>
      <c r="J220" s="124"/>
    </row>
    <row r="221" customFormat="false" ht="12.75" hidden="false" customHeight="false" outlineLevel="0" collapsed="false">
      <c r="A221" s="19" t="n">
        <v>3</v>
      </c>
      <c r="B221" s="10" t="str">
        <f aca="false">$B$51</f>
        <v> Uniformes E Equipamentos</v>
      </c>
      <c r="C221" s="10"/>
      <c r="D221" s="10"/>
      <c r="E221" s="10"/>
      <c r="F221" s="10"/>
      <c r="G221" s="10"/>
      <c r="H221" s="19"/>
      <c r="I221" s="136" t="n">
        <f aca="false">$H$68+$H$90</f>
        <v>0</v>
      </c>
      <c r="J221" s="136"/>
    </row>
    <row r="222" customFormat="false" ht="12.75" hidden="false" customHeight="false" outlineLevel="0" collapsed="false">
      <c r="A222" s="19" t="n">
        <v>4</v>
      </c>
      <c r="B222" s="10" t="str">
        <f aca="false">$B$92</f>
        <v>Encargos Sociais e Trabalhistas</v>
      </c>
      <c r="C222" s="10"/>
      <c r="D222" s="10"/>
      <c r="E222" s="10"/>
      <c r="F222" s="10"/>
      <c r="G222" s="10"/>
      <c r="H222" s="138" t="n">
        <f aca="false">SUM($H$116,$H$124,$H$133,$H$153,$H$177)</f>
        <v>0.705426407383333</v>
      </c>
      <c r="I222" s="136" t="n">
        <f aca="false">H222*I216</f>
        <v>960.695437602538</v>
      </c>
      <c r="J222" s="136"/>
    </row>
    <row r="223" customFormat="false" ht="12.75" hidden="false" customHeight="false" outlineLevel="0" collapsed="false">
      <c r="A223" s="19" t="n">
        <v>5</v>
      </c>
      <c r="B223" s="10" t="str">
        <f aca="false">B211</f>
        <v>Outro (Especificar)</v>
      </c>
      <c r="C223" s="10"/>
      <c r="D223" s="10"/>
      <c r="E223" s="10"/>
      <c r="F223" s="10"/>
      <c r="G223" s="10"/>
      <c r="H223" s="138"/>
      <c r="I223" s="136"/>
      <c r="J223" s="136"/>
    </row>
    <row r="224" customFormat="false" ht="12.75" hidden="false" customHeight="false" outlineLevel="0" collapsed="false">
      <c r="A224" s="16" t="s">
        <v>68</v>
      </c>
      <c r="B224" s="16"/>
      <c r="C224" s="16"/>
      <c r="D224" s="16"/>
      <c r="E224" s="16"/>
      <c r="F224" s="16"/>
      <c r="G224" s="16"/>
      <c r="H224" s="16"/>
      <c r="I224" s="128" t="n">
        <f aca="false">SUM(I216,I217,I221,I222,I223)</f>
        <v>2408.04840876238</v>
      </c>
      <c r="J224" s="128"/>
    </row>
    <row r="226" customFormat="false" ht="12.75" hidden="false" customHeight="false" outlineLevel="0" collapsed="false">
      <c r="A226" s="8" t="s">
        <v>527</v>
      </c>
      <c r="B226" s="8"/>
      <c r="C226" s="8"/>
      <c r="D226" s="8"/>
      <c r="E226" s="8"/>
      <c r="F226" s="8"/>
      <c r="G226" s="8"/>
      <c r="H226" s="8"/>
      <c r="I226" s="8"/>
      <c r="J226" s="8"/>
    </row>
    <row r="227" customFormat="false" ht="12.75" hidden="false" customHeight="true" outlineLevel="0" collapsed="false">
      <c r="A227" s="28" t="s">
        <v>520</v>
      </c>
      <c r="B227" s="104" t="s">
        <v>521</v>
      </c>
      <c r="C227" s="104"/>
      <c r="D227" s="104"/>
      <c r="E227" s="104"/>
      <c r="F227" s="104"/>
      <c r="G227" s="104"/>
      <c r="H227" s="134" t="s">
        <v>75</v>
      </c>
      <c r="I227" s="135" t="s">
        <v>522</v>
      </c>
      <c r="J227" s="135"/>
    </row>
    <row r="228" customFormat="false" ht="12.75" hidden="false" customHeight="false" outlineLevel="0" collapsed="false">
      <c r="A228" s="19" t="n">
        <v>1</v>
      </c>
      <c r="B228" s="10" t="str">
        <f aca="false">$B$31</f>
        <v> Remuneração</v>
      </c>
      <c r="C228" s="10"/>
      <c r="D228" s="10"/>
      <c r="E228" s="10"/>
      <c r="F228" s="10"/>
      <c r="G228" s="10"/>
      <c r="H228" s="24"/>
      <c r="I228" s="136" t="n">
        <f aca="false">I216*1.062+$H$35</f>
        <v>1446.30048443803</v>
      </c>
      <c r="J228" s="136"/>
    </row>
    <row r="229" customFormat="false" ht="12.75" hidden="false" customHeight="false" outlineLevel="0" collapsed="false">
      <c r="A229" s="19" t="n">
        <v>2</v>
      </c>
      <c r="B229" s="10" t="str">
        <f aca="false">$B$39</f>
        <v>Benefícios mensais e diários</v>
      </c>
      <c r="C229" s="10"/>
      <c r="D229" s="10"/>
      <c r="E229" s="10"/>
      <c r="F229" s="10"/>
      <c r="G229" s="10"/>
      <c r="H229" s="19"/>
      <c r="I229" s="136" t="n">
        <f aca="false">SUM(H230,H231,H232)</f>
        <v>80.4219709337181</v>
      </c>
      <c r="J229" s="136"/>
    </row>
    <row r="230" customFormat="false" ht="15" hidden="true" customHeight="true" outlineLevel="0" collapsed="false">
      <c r="A230" s="19" t="s">
        <v>400</v>
      </c>
      <c r="B230" s="21" t="s">
        <v>411</v>
      </c>
      <c r="C230" s="21"/>
      <c r="D230" s="21"/>
      <c r="E230" s="21"/>
      <c r="F230" s="21"/>
      <c r="G230" s="21"/>
      <c r="H230" s="124" t="n">
        <f aca="false">IF((3.8*2*22-0.06*I228)&gt;0,3.8*2*22-0.06*I228,0)</f>
        <v>80.4219709337181</v>
      </c>
      <c r="I230" s="124"/>
      <c r="J230" s="124"/>
      <c r="K230" s="129"/>
      <c r="L230" s="129"/>
    </row>
    <row r="231" customFormat="false" ht="12.75" hidden="true" customHeight="true" outlineLevel="0" collapsed="false">
      <c r="A231" s="19" t="s">
        <v>417</v>
      </c>
      <c r="B231" s="21" t="s">
        <v>418</v>
      </c>
      <c r="C231" s="21"/>
      <c r="D231" s="21"/>
      <c r="E231" s="21"/>
      <c r="F231" s="21"/>
      <c r="G231" s="21"/>
      <c r="H231" s="124" t="n">
        <f aca="false">IF('DI, Tri e Pag'!$H$12:$J$12='DI, Tri e Pag'!$L$12,-('DI, Tri e Pag'!$H$23+'DI, Tri e Pag'!$H$24)*H230,0)</f>
        <v>0</v>
      </c>
      <c r="I231" s="124"/>
      <c r="J231" s="124"/>
      <c r="K231" s="139"/>
    </row>
    <row r="232" customFormat="false" ht="15" hidden="true" customHeight="true" outlineLevel="0" collapsed="false">
      <c r="A232" s="19" t="s">
        <v>403</v>
      </c>
      <c r="B232" s="21" t="s">
        <v>407</v>
      </c>
      <c r="C232" s="21"/>
      <c r="D232" s="21"/>
      <c r="E232" s="21"/>
      <c r="F232" s="21"/>
      <c r="G232" s="21"/>
      <c r="H232" s="124" t="n">
        <f aca="false">$H$47</f>
        <v>0</v>
      </c>
      <c r="I232" s="124"/>
      <c r="J232" s="124"/>
    </row>
    <row r="233" customFormat="false" ht="12.75" hidden="false" customHeight="false" outlineLevel="0" collapsed="false">
      <c r="A233" s="19" t="n">
        <v>3</v>
      </c>
      <c r="B233" s="10" t="str">
        <f aca="false">$B$51</f>
        <v> Uniformes E Equipamentos</v>
      </c>
      <c r="C233" s="10"/>
      <c r="D233" s="10"/>
      <c r="E233" s="10"/>
      <c r="F233" s="10"/>
      <c r="G233" s="10"/>
      <c r="H233" s="19"/>
      <c r="I233" s="136" t="n">
        <f aca="false">$H$68+$H$90</f>
        <v>0</v>
      </c>
      <c r="J233" s="136"/>
    </row>
    <row r="234" customFormat="false" ht="12.75" hidden="false" customHeight="false" outlineLevel="0" collapsed="false">
      <c r="A234" s="19" t="n">
        <v>4</v>
      </c>
      <c r="B234" s="10" t="str">
        <f aca="false">$B$92</f>
        <v>Encargos Sociais e Trabalhistas</v>
      </c>
      <c r="C234" s="10"/>
      <c r="D234" s="10"/>
      <c r="E234" s="10"/>
      <c r="F234" s="10"/>
      <c r="G234" s="10"/>
      <c r="H234" s="138" t="n">
        <f aca="false">SUM($H$116,$H$124,$H$133,$H$153,$H$177)</f>
        <v>0.705426407383333</v>
      </c>
      <c r="I234" s="136" t="n">
        <f aca="false">H234*I228</f>
        <v>1020.2585547339</v>
      </c>
      <c r="J234" s="136"/>
    </row>
    <row r="235" customFormat="false" ht="12.75" hidden="false" customHeight="false" outlineLevel="0" collapsed="false">
      <c r="A235" s="19" t="n">
        <v>5</v>
      </c>
      <c r="B235" s="10" t="str">
        <f aca="false">B223</f>
        <v>Outro (Especificar)</v>
      </c>
      <c r="C235" s="10"/>
      <c r="D235" s="10"/>
      <c r="E235" s="10"/>
      <c r="F235" s="10"/>
      <c r="G235" s="10"/>
      <c r="H235" s="138"/>
      <c r="I235" s="136"/>
      <c r="J235" s="136"/>
    </row>
    <row r="236" customFormat="false" ht="12.75" hidden="false" customHeight="false" outlineLevel="0" collapsed="false">
      <c r="A236" s="16" t="s">
        <v>68</v>
      </c>
      <c r="B236" s="16"/>
      <c r="C236" s="16"/>
      <c r="D236" s="16"/>
      <c r="E236" s="16"/>
      <c r="F236" s="16"/>
      <c r="G236" s="16"/>
      <c r="H236" s="16"/>
      <c r="I236" s="128" t="n">
        <f aca="false">SUM(I228,I229,I233,I234,I235)</f>
        <v>2546.98101010565</v>
      </c>
      <c r="J236" s="128"/>
    </row>
    <row r="238" customFormat="false" ht="12.75" hidden="false" customHeight="false" outlineLevel="0" collapsed="false">
      <c r="A238" s="8" t="s">
        <v>528</v>
      </c>
      <c r="B238" s="8"/>
      <c r="C238" s="8"/>
      <c r="D238" s="8"/>
      <c r="E238" s="8"/>
      <c r="F238" s="8"/>
      <c r="G238" s="8"/>
      <c r="H238" s="8"/>
      <c r="I238" s="8"/>
      <c r="J238" s="8"/>
    </row>
    <row r="239" customFormat="false" ht="12.75" hidden="false" customHeight="true" outlineLevel="0" collapsed="false">
      <c r="A239" s="28" t="s">
        <v>520</v>
      </c>
      <c r="B239" s="104" t="s">
        <v>521</v>
      </c>
      <c r="C239" s="104"/>
      <c r="D239" s="104"/>
      <c r="E239" s="104"/>
      <c r="F239" s="104"/>
      <c r="G239" s="104"/>
      <c r="H239" s="134" t="s">
        <v>75</v>
      </c>
      <c r="I239" s="135" t="s">
        <v>522</v>
      </c>
      <c r="J239" s="135"/>
    </row>
    <row r="240" customFormat="false" ht="12.75" hidden="false" customHeight="false" outlineLevel="0" collapsed="false">
      <c r="A240" s="19" t="n">
        <v>1</v>
      </c>
      <c r="B240" s="10" t="str">
        <f aca="false">$B$31</f>
        <v> Remuneração</v>
      </c>
      <c r="C240" s="10"/>
      <c r="D240" s="10"/>
      <c r="E240" s="10"/>
      <c r="F240" s="10"/>
      <c r="G240" s="10"/>
      <c r="H240" s="24"/>
      <c r="I240" s="136" t="n">
        <f aca="false">I228*1.062+$H$35</f>
        <v>1535.97111447319</v>
      </c>
      <c r="J240" s="136"/>
    </row>
    <row r="241" customFormat="false" ht="12.75" hidden="false" customHeight="false" outlineLevel="0" collapsed="false">
      <c r="A241" s="19" t="n">
        <v>2</v>
      </c>
      <c r="B241" s="10" t="str">
        <f aca="false">$B$39</f>
        <v>Benefícios mensais e diários</v>
      </c>
      <c r="C241" s="10"/>
      <c r="D241" s="10"/>
      <c r="E241" s="10"/>
      <c r="F241" s="10"/>
      <c r="G241" s="10"/>
      <c r="H241" s="19"/>
      <c r="I241" s="136" t="n">
        <f aca="false">SUM(H242,H243,H244)</f>
        <v>75.0417331316086</v>
      </c>
      <c r="J241" s="136"/>
    </row>
    <row r="242" customFormat="false" ht="15" hidden="true" customHeight="true" outlineLevel="0" collapsed="false">
      <c r="A242" s="19" t="s">
        <v>400</v>
      </c>
      <c r="B242" s="21" t="s">
        <v>411</v>
      </c>
      <c r="C242" s="21"/>
      <c r="D242" s="21"/>
      <c r="E242" s="21"/>
      <c r="F242" s="21"/>
      <c r="G242" s="21"/>
      <c r="H242" s="124" t="n">
        <f aca="false">IF((3.8*2*22-0.06*I240)&gt;0,3.8*2*22-0.06*I240,0)</f>
        <v>75.0417331316086</v>
      </c>
      <c r="I242" s="124"/>
      <c r="J242" s="124"/>
      <c r="K242" s="129"/>
      <c r="L242" s="129"/>
    </row>
    <row r="243" customFormat="false" ht="12.75" hidden="true" customHeight="true" outlineLevel="0" collapsed="false">
      <c r="A243" s="19" t="s">
        <v>417</v>
      </c>
      <c r="B243" s="21" t="s">
        <v>418</v>
      </c>
      <c r="C243" s="21"/>
      <c r="D243" s="21"/>
      <c r="E243" s="21"/>
      <c r="F243" s="21"/>
      <c r="G243" s="21"/>
      <c r="H243" s="124" t="n">
        <f aca="false">IF('DI, Tri e Pag'!$H$12:$J$12='DI, Tri e Pag'!$L$12,-('DI, Tri e Pag'!$H$23+'DI, Tri e Pag'!$H$24)*H242,0)</f>
        <v>0</v>
      </c>
      <c r="I243" s="124"/>
      <c r="J243" s="124"/>
      <c r="K243" s="139"/>
    </row>
    <row r="244" customFormat="false" ht="15" hidden="true" customHeight="true" outlineLevel="0" collapsed="false">
      <c r="A244" s="19" t="s">
        <v>403</v>
      </c>
      <c r="B244" s="21" t="s">
        <v>407</v>
      </c>
      <c r="C244" s="21"/>
      <c r="D244" s="21"/>
      <c r="E244" s="21"/>
      <c r="F244" s="21"/>
      <c r="G244" s="21"/>
      <c r="H244" s="124" t="n">
        <f aca="false">$H$47</f>
        <v>0</v>
      </c>
      <c r="I244" s="124"/>
      <c r="J244" s="124"/>
    </row>
    <row r="245" customFormat="false" ht="12.75" hidden="false" customHeight="false" outlineLevel="0" collapsed="false">
      <c r="A245" s="19" t="n">
        <v>3</v>
      </c>
      <c r="B245" s="10" t="str">
        <f aca="false">$B$51</f>
        <v> Uniformes E Equipamentos</v>
      </c>
      <c r="C245" s="10"/>
      <c r="D245" s="10"/>
      <c r="E245" s="10"/>
      <c r="F245" s="10"/>
      <c r="G245" s="10"/>
      <c r="H245" s="19"/>
      <c r="I245" s="136" t="n">
        <f aca="false">$H$68+$H$90</f>
        <v>0</v>
      </c>
      <c r="J245" s="136"/>
    </row>
    <row r="246" customFormat="false" ht="12.75" hidden="false" customHeight="false" outlineLevel="0" collapsed="false">
      <c r="A246" s="19" t="n">
        <v>4</v>
      </c>
      <c r="B246" s="10" t="str">
        <f aca="false">$B$92</f>
        <v>Encargos Sociais e Trabalhistas</v>
      </c>
      <c r="C246" s="10"/>
      <c r="D246" s="10"/>
      <c r="E246" s="10"/>
      <c r="F246" s="10"/>
      <c r="G246" s="10"/>
      <c r="H246" s="138" t="n">
        <f aca="false">SUM($H$116,$H$124,$H$133,$H$153,$H$177)</f>
        <v>0.705426407383333</v>
      </c>
      <c r="I246" s="136" t="n">
        <f aca="false">H246*I240</f>
        <v>1083.5145851274</v>
      </c>
      <c r="J246" s="136"/>
    </row>
    <row r="247" customFormat="false" ht="12.75" hidden="false" customHeight="false" outlineLevel="0" collapsed="false">
      <c r="A247" s="19" t="n">
        <v>5</v>
      </c>
      <c r="B247" s="10" t="str">
        <f aca="false">B235</f>
        <v>Outro (Especificar)</v>
      </c>
      <c r="C247" s="10"/>
      <c r="D247" s="10"/>
      <c r="E247" s="10"/>
      <c r="F247" s="10"/>
      <c r="G247" s="10"/>
      <c r="H247" s="138"/>
      <c r="I247" s="136"/>
      <c r="J247" s="136"/>
    </row>
    <row r="248" customFormat="false" ht="12.75" hidden="false" customHeight="false" outlineLevel="0" collapsed="false">
      <c r="A248" s="16" t="s">
        <v>68</v>
      </c>
      <c r="B248" s="16"/>
      <c r="C248" s="16"/>
      <c r="D248" s="16"/>
      <c r="E248" s="16"/>
      <c r="F248" s="16"/>
      <c r="G248" s="16"/>
      <c r="H248" s="16"/>
      <c r="I248" s="128" t="n">
        <f aca="false">SUM(I240,I241,I245,I246,I247)</f>
        <v>2694.5274327322</v>
      </c>
      <c r="J248" s="128"/>
    </row>
  </sheetData>
  <sheetProtection sheet="true" password="e536" objects="true" scenarios="true" formatColumns="false" formatRows="false"/>
  <mergeCells count="338">
    <mergeCell ref="A7:J7"/>
    <mergeCell ref="A11:J11"/>
    <mergeCell ref="A18:J18"/>
    <mergeCell ref="A20:J20"/>
    <mergeCell ref="B21:G21"/>
    <mergeCell ref="H21:J21"/>
    <mergeCell ref="B22:G22"/>
    <mergeCell ref="H22:J22"/>
    <mergeCell ref="B23:J23"/>
    <mergeCell ref="B24:G24"/>
    <mergeCell ref="H24:J24"/>
    <mergeCell ref="B25:J25"/>
    <mergeCell ref="B26:G26"/>
    <mergeCell ref="H26:J26"/>
    <mergeCell ref="B27:J27"/>
    <mergeCell ref="B28:G28"/>
    <mergeCell ref="H28:J28"/>
    <mergeCell ref="B29:J29"/>
    <mergeCell ref="B31:J31"/>
    <mergeCell ref="B32:G32"/>
    <mergeCell ref="H32:J32"/>
    <mergeCell ref="B33:G33"/>
    <mergeCell ref="H33:J33"/>
    <mergeCell ref="B34:J34"/>
    <mergeCell ref="B35:G35"/>
    <mergeCell ref="H35:J35"/>
    <mergeCell ref="B36:J36"/>
    <mergeCell ref="A37:G37"/>
    <mergeCell ref="H37:J37"/>
    <mergeCell ref="B39:J39"/>
    <mergeCell ref="B40:G40"/>
    <mergeCell ref="H40:J40"/>
    <mergeCell ref="B41:G41"/>
    <mergeCell ref="H41:J41"/>
    <mergeCell ref="B42:J42"/>
    <mergeCell ref="B43:J43"/>
    <mergeCell ref="B44:J44"/>
    <mergeCell ref="B45:G45"/>
    <mergeCell ref="H45:J45"/>
    <mergeCell ref="B46:J46"/>
    <mergeCell ref="B47:G47"/>
    <mergeCell ref="H47:J47"/>
    <mergeCell ref="B48:J48"/>
    <mergeCell ref="A49:G49"/>
    <mergeCell ref="H49:J49"/>
    <mergeCell ref="B51:J51"/>
    <mergeCell ref="B52:G52"/>
    <mergeCell ref="B53:G53"/>
    <mergeCell ref="B54:G54"/>
    <mergeCell ref="B55:G55"/>
    <mergeCell ref="B56:G56"/>
    <mergeCell ref="B57:G57"/>
    <mergeCell ref="B58:G58"/>
    <mergeCell ref="B59:G59"/>
    <mergeCell ref="B60:G60"/>
    <mergeCell ref="B61:G61"/>
    <mergeCell ref="B62:G62"/>
    <mergeCell ref="B63:J63"/>
    <mergeCell ref="B64:J64"/>
    <mergeCell ref="B65:J65"/>
    <mergeCell ref="B66:G66"/>
    <mergeCell ref="H66:J66"/>
    <mergeCell ref="B67:J67"/>
    <mergeCell ref="A68:G68"/>
    <mergeCell ref="H68:J68"/>
    <mergeCell ref="B70:E70"/>
    <mergeCell ref="G70:H70"/>
    <mergeCell ref="B71:E71"/>
    <mergeCell ref="G71:H71"/>
    <mergeCell ref="B72:E72"/>
    <mergeCell ref="G72:H72"/>
    <mergeCell ref="B73:E73"/>
    <mergeCell ref="G73:H73"/>
    <mergeCell ref="B74:E74"/>
    <mergeCell ref="G74:H74"/>
    <mergeCell ref="B75:E75"/>
    <mergeCell ref="G75:H75"/>
    <mergeCell ref="B76:E76"/>
    <mergeCell ref="G76:H76"/>
    <mergeCell ref="B77:E77"/>
    <mergeCell ref="G77:H77"/>
    <mergeCell ref="B78:E78"/>
    <mergeCell ref="G78:H78"/>
    <mergeCell ref="B79:E79"/>
    <mergeCell ref="G79:H79"/>
    <mergeCell ref="B80:E80"/>
    <mergeCell ref="G80:H80"/>
    <mergeCell ref="B81:E81"/>
    <mergeCell ref="G81:H81"/>
    <mergeCell ref="B82:J82"/>
    <mergeCell ref="B83:J83"/>
    <mergeCell ref="B84:J84"/>
    <mergeCell ref="B85:J85"/>
    <mergeCell ref="B86:J86"/>
    <mergeCell ref="B87:J87"/>
    <mergeCell ref="B88:G88"/>
    <mergeCell ref="H88:J88"/>
    <mergeCell ref="B89:J89"/>
    <mergeCell ref="A90:G90"/>
    <mergeCell ref="H90:J90"/>
    <mergeCell ref="B92:J92"/>
    <mergeCell ref="B93:G93"/>
    <mergeCell ref="I93:J93"/>
    <mergeCell ref="B94:G94"/>
    <mergeCell ref="I94:J94"/>
    <mergeCell ref="B95:J95"/>
    <mergeCell ref="B96:G96"/>
    <mergeCell ref="I96:J96"/>
    <mergeCell ref="B97:J97"/>
    <mergeCell ref="B98:J98"/>
    <mergeCell ref="B99:G99"/>
    <mergeCell ref="I99:J99"/>
    <mergeCell ref="B100:J100"/>
    <mergeCell ref="B101:J101"/>
    <mergeCell ref="B102:G102"/>
    <mergeCell ref="I102:J102"/>
    <mergeCell ref="B103:J103"/>
    <mergeCell ref="B104:J104"/>
    <mergeCell ref="B105:G105"/>
    <mergeCell ref="I105:J105"/>
    <mergeCell ref="B106:J106"/>
    <mergeCell ref="B107:J107"/>
    <mergeCell ref="B108:G108"/>
    <mergeCell ref="I108:J108"/>
    <mergeCell ref="B109:J109"/>
    <mergeCell ref="B110:G110"/>
    <mergeCell ref="I110:J110"/>
    <mergeCell ref="B111:J111"/>
    <mergeCell ref="B112:J112"/>
    <mergeCell ref="B113:G113"/>
    <mergeCell ref="I113:J113"/>
    <mergeCell ref="B114:J114"/>
    <mergeCell ref="B115:J115"/>
    <mergeCell ref="A116:G116"/>
    <mergeCell ref="I116:J116"/>
    <mergeCell ref="B118:G118"/>
    <mergeCell ref="I118:J118"/>
    <mergeCell ref="B119:G119"/>
    <mergeCell ref="I119:J119"/>
    <mergeCell ref="B120:J120"/>
    <mergeCell ref="B121:J121"/>
    <mergeCell ref="B122:G122"/>
    <mergeCell ref="I122:J122"/>
    <mergeCell ref="B123:J123"/>
    <mergeCell ref="A124:G124"/>
    <mergeCell ref="I124:J124"/>
    <mergeCell ref="B126:G126"/>
    <mergeCell ref="I126:J126"/>
    <mergeCell ref="B127:G127"/>
    <mergeCell ref="I127:J127"/>
    <mergeCell ref="B128:J128"/>
    <mergeCell ref="B129:J129"/>
    <mergeCell ref="B130:J130"/>
    <mergeCell ref="B131:G131"/>
    <mergeCell ref="I131:J131"/>
    <mergeCell ref="B132:J132"/>
    <mergeCell ref="A133:G133"/>
    <mergeCell ref="I133:J133"/>
    <mergeCell ref="B135:G135"/>
    <mergeCell ref="I135:J135"/>
    <mergeCell ref="B136:G136"/>
    <mergeCell ref="I136:J136"/>
    <mergeCell ref="B137:J137"/>
    <mergeCell ref="B138:J138"/>
    <mergeCell ref="B139:J139"/>
    <mergeCell ref="B140:J140"/>
    <mergeCell ref="B141:G141"/>
    <mergeCell ref="I141:J141"/>
    <mergeCell ref="B142:J142"/>
    <mergeCell ref="B143:G143"/>
    <mergeCell ref="I143:J143"/>
    <mergeCell ref="B144:J144"/>
    <mergeCell ref="B145:J145"/>
    <mergeCell ref="B146:G146"/>
    <mergeCell ref="I146:J146"/>
    <mergeCell ref="B147:J147"/>
    <mergeCell ref="B148:J148"/>
    <mergeCell ref="B149:G149"/>
    <mergeCell ref="I149:J149"/>
    <mergeCell ref="B150:J150"/>
    <mergeCell ref="B151:G151"/>
    <mergeCell ref="I151:J151"/>
    <mergeCell ref="B152:J152"/>
    <mergeCell ref="A153:G153"/>
    <mergeCell ref="I153:J153"/>
    <mergeCell ref="B155:G155"/>
    <mergeCell ref="I155:J155"/>
    <mergeCell ref="B156:G156"/>
    <mergeCell ref="I156:J156"/>
    <mergeCell ref="B157:J157"/>
    <mergeCell ref="B158:J158"/>
    <mergeCell ref="B159:G159"/>
    <mergeCell ref="I159:J159"/>
    <mergeCell ref="B160:J160"/>
    <mergeCell ref="B161:J161"/>
    <mergeCell ref="B162:G162"/>
    <mergeCell ref="I162:J162"/>
    <mergeCell ref="B163:J163"/>
    <mergeCell ref="B164:J164"/>
    <mergeCell ref="B165:G165"/>
    <mergeCell ref="I165:J165"/>
    <mergeCell ref="B166:J166"/>
    <mergeCell ref="B167:J167"/>
    <mergeCell ref="B168:G168"/>
    <mergeCell ref="I168:J168"/>
    <mergeCell ref="B169:J169"/>
    <mergeCell ref="B170:J170"/>
    <mergeCell ref="B171:G171"/>
    <mergeCell ref="I171:J171"/>
    <mergeCell ref="B172:J172"/>
    <mergeCell ref="B173:J173"/>
    <mergeCell ref="B174:G174"/>
    <mergeCell ref="I174:J174"/>
    <mergeCell ref="B175:J175"/>
    <mergeCell ref="B176:J176"/>
    <mergeCell ref="A177:G177"/>
    <mergeCell ref="I177:J177"/>
    <mergeCell ref="A179:J179"/>
    <mergeCell ref="B180:G180"/>
    <mergeCell ref="I180:J180"/>
    <mergeCell ref="B181:G181"/>
    <mergeCell ref="I181:J181"/>
    <mergeCell ref="B182:G182"/>
    <mergeCell ref="I182:J182"/>
    <mergeCell ref="B183:G183"/>
    <mergeCell ref="I183:J183"/>
    <mergeCell ref="B184:G184"/>
    <mergeCell ref="I184:J184"/>
    <mergeCell ref="B185:G185"/>
    <mergeCell ref="I185:J185"/>
    <mergeCell ref="A186:H186"/>
    <mergeCell ref="I186:J186"/>
    <mergeCell ref="A188:J188"/>
    <mergeCell ref="A190:J190"/>
    <mergeCell ref="B191:G191"/>
    <mergeCell ref="I191:J191"/>
    <mergeCell ref="B192:G192"/>
    <mergeCell ref="I192:J192"/>
    <mergeCell ref="B193:G193"/>
    <mergeCell ref="I193:J193"/>
    <mergeCell ref="B194:G194"/>
    <mergeCell ref="H194:J194"/>
    <mergeCell ref="B195:G195"/>
    <mergeCell ref="H195:J195"/>
    <mergeCell ref="B196:G196"/>
    <mergeCell ref="H196:J196"/>
    <mergeCell ref="B197:G197"/>
    <mergeCell ref="I197:J197"/>
    <mergeCell ref="B198:G198"/>
    <mergeCell ref="I198:J198"/>
    <mergeCell ref="B199:G199"/>
    <mergeCell ref="I199:J199"/>
    <mergeCell ref="A200:H200"/>
    <mergeCell ref="I200:J200"/>
    <mergeCell ref="A202:J202"/>
    <mergeCell ref="B203:G203"/>
    <mergeCell ref="I203:J203"/>
    <mergeCell ref="B204:G204"/>
    <mergeCell ref="I204:J204"/>
    <mergeCell ref="B205:G205"/>
    <mergeCell ref="I205:J205"/>
    <mergeCell ref="B206:G206"/>
    <mergeCell ref="H206:J206"/>
    <mergeCell ref="B207:G207"/>
    <mergeCell ref="H207:J207"/>
    <mergeCell ref="B208:G208"/>
    <mergeCell ref="H208:J208"/>
    <mergeCell ref="B209:G209"/>
    <mergeCell ref="I209:J209"/>
    <mergeCell ref="B210:G210"/>
    <mergeCell ref="I210:J210"/>
    <mergeCell ref="B211:G211"/>
    <mergeCell ref="I211:J211"/>
    <mergeCell ref="A212:H212"/>
    <mergeCell ref="I212:J212"/>
    <mergeCell ref="A214:J214"/>
    <mergeCell ref="B215:G215"/>
    <mergeCell ref="I215:J215"/>
    <mergeCell ref="B216:G216"/>
    <mergeCell ref="I216:J216"/>
    <mergeCell ref="B217:G217"/>
    <mergeCell ref="I217:J217"/>
    <mergeCell ref="B218:G218"/>
    <mergeCell ref="H218:J218"/>
    <mergeCell ref="B219:G219"/>
    <mergeCell ref="H219:J219"/>
    <mergeCell ref="B220:G220"/>
    <mergeCell ref="H220:J220"/>
    <mergeCell ref="B221:G221"/>
    <mergeCell ref="I221:J221"/>
    <mergeCell ref="B222:G222"/>
    <mergeCell ref="I222:J222"/>
    <mergeCell ref="B223:G223"/>
    <mergeCell ref="I223:J223"/>
    <mergeCell ref="A224:H224"/>
    <mergeCell ref="I224:J224"/>
    <mergeCell ref="A226:J226"/>
    <mergeCell ref="B227:G227"/>
    <mergeCell ref="I227:J227"/>
    <mergeCell ref="B228:G228"/>
    <mergeCell ref="I228:J228"/>
    <mergeCell ref="B229:G229"/>
    <mergeCell ref="I229:J229"/>
    <mergeCell ref="B230:G230"/>
    <mergeCell ref="H230:J230"/>
    <mergeCell ref="B231:G231"/>
    <mergeCell ref="H231:J231"/>
    <mergeCell ref="B232:G232"/>
    <mergeCell ref="H232:J232"/>
    <mergeCell ref="B233:G233"/>
    <mergeCell ref="I233:J233"/>
    <mergeCell ref="B234:G234"/>
    <mergeCell ref="I234:J234"/>
    <mergeCell ref="B235:G235"/>
    <mergeCell ref="I235:J235"/>
    <mergeCell ref="A236:H236"/>
    <mergeCell ref="I236:J236"/>
    <mergeCell ref="A238:J238"/>
    <mergeCell ref="B239:G239"/>
    <mergeCell ref="I239:J239"/>
    <mergeCell ref="B240:G240"/>
    <mergeCell ref="I240:J240"/>
    <mergeCell ref="B241:G241"/>
    <mergeCell ref="I241:J241"/>
    <mergeCell ref="B242:G242"/>
    <mergeCell ref="H242:J242"/>
    <mergeCell ref="B243:G243"/>
    <mergeCell ref="H243:J243"/>
    <mergeCell ref="B244:G244"/>
    <mergeCell ref="H244:J244"/>
    <mergeCell ref="B245:G245"/>
    <mergeCell ref="I245:J245"/>
    <mergeCell ref="B246:G246"/>
    <mergeCell ref="I246:J246"/>
    <mergeCell ref="B247:G247"/>
    <mergeCell ref="I247:J247"/>
    <mergeCell ref="A248:H248"/>
    <mergeCell ref="I248:J248"/>
  </mergeCells>
  <hyperlinks>
    <hyperlink ref="K7" location="Início!A7" display="Início"/>
    <hyperlink ref="L7" location="'C. F. P. Encarregado'!A7" display="Voltar"/>
    <hyperlink ref="M7" location="'C. F. P. Vigia Noturno'!A7" display="Avançar"/>
    <hyperlink ref="B137" r:id="rId2" display="Os dados de rotatividade da mão de obra para este estudo foram obtidos no CAGED –&#10;Cadastro Geral de Empregados e Desempregados, e podem ser consultados em: http://bi.mte.gov.br/cagedestabelecimento/pages/consulta.xhtml"/>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Roman,Normal"&amp;10C.F.P - VIGIA DIURNO&amp;C&amp;"Times New Roman,Normal"&amp;10&lt;Inserir nome da empresa&gt;
&lt;Inserir endereço da empresa&gt;
&lt;Inserir telefone da empresa&gt;
&lt;Inserir correio eletrônico da empresa&gt;&amp;R&amp;"Times New Roman,Normal"&amp;10&amp;P/&amp;N</oddFooter>
  </headerFooter>
  <legacyDrawing r:id="rId3"/>
</worksheet>
</file>

<file path=xl/worksheets/sheet13.xml><?xml version="1.0" encoding="utf-8"?>
<worksheet xmlns="http://schemas.openxmlformats.org/spreadsheetml/2006/main" xmlns:r="http://schemas.openxmlformats.org/officeDocument/2006/relationships">
  <sheetPr filterMode="false">
    <pageSetUpPr fitToPage="false"/>
  </sheetPr>
  <dimension ref="A1:Q250"/>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7" activeCellId="0" sqref="A7"/>
    </sheetView>
  </sheetViews>
  <sheetFormatPr defaultRowHeight="12.75"/>
  <cols>
    <col collapsed="false" hidden="false" max="1" min="1" style="1" width="8.77551020408163"/>
    <col collapsed="false" hidden="false" max="7" min="2" style="1" width="9.04591836734694"/>
    <col collapsed="false" hidden="false" max="8" min="8" style="1" width="9.44897959183673"/>
    <col collapsed="false" hidden="false" max="9" min="9" style="1" width="10.1224489795918"/>
    <col collapsed="false" hidden="false" max="1025" min="10"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563</v>
      </c>
      <c r="B7" s="3"/>
      <c r="C7" s="3"/>
      <c r="D7" s="3"/>
      <c r="E7" s="3"/>
      <c r="F7" s="3"/>
      <c r="G7" s="3"/>
      <c r="H7" s="3"/>
      <c r="I7" s="3"/>
      <c r="J7" s="3"/>
      <c r="K7" s="26" t="s">
        <v>12</v>
      </c>
      <c r="L7" s="13" t="s">
        <v>45</v>
      </c>
      <c r="M7" s="5" t="s">
        <v>6</v>
      </c>
    </row>
    <row r="9" customFormat="false" ht="12.75" hidden="false" customHeight="false" outlineLevel="0" collapsed="false">
      <c r="A9" s="12" t="s">
        <v>374</v>
      </c>
    </row>
    <row r="10" customFormat="false" ht="12.75" hidden="false" customHeight="false" outlineLevel="0" collapsed="false">
      <c r="A10" s="1" t="s">
        <v>375</v>
      </c>
    </row>
    <row r="11" customFormat="false" ht="30" hidden="false" customHeight="true" outlineLevel="0" collapsed="false">
      <c r="A11" s="99" t="s">
        <v>376</v>
      </c>
      <c r="B11" s="99"/>
      <c r="C11" s="99"/>
      <c r="D11" s="99"/>
      <c r="E11" s="99"/>
      <c r="F11" s="99"/>
      <c r="G11" s="99"/>
      <c r="H11" s="99"/>
      <c r="I11" s="99"/>
      <c r="J11" s="99"/>
    </row>
    <row r="12" customFormat="false" ht="12.75" hidden="false" customHeight="false" outlineLevel="0" collapsed="false">
      <c r="B12" s="1" t="s">
        <v>377</v>
      </c>
    </row>
    <row r="13" customFormat="false" ht="12.75" hidden="false" customHeight="false" outlineLevel="0" collapsed="false">
      <c r="B13" s="1" t="s">
        <v>378</v>
      </c>
    </row>
    <row r="14" customFormat="false" ht="12.75" hidden="false" customHeight="false" outlineLevel="0" collapsed="false">
      <c r="B14" s="1" t="s">
        <v>379</v>
      </c>
    </row>
    <row r="15" customFormat="false" ht="12.75" hidden="false" customHeight="false" outlineLevel="0" collapsed="false">
      <c r="B15" s="1" t="s">
        <v>380</v>
      </c>
    </row>
    <row r="16" customFormat="false" ht="12.75" hidden="false" customHeight="false" outlineLevel="0" collapsed="false">
      <c r="B16" s="1" t="s">
        <v>381</v>
      </c>
    </row>
    <row r="18" customFormat="false" ht="12.75" hidden="false" customHeight="false" outlineLevel="0" collapsed="false">
      <c r="A18" s="27" t="s">
        <v>104</v>
      </c>
      <c r="B18" s="27"/>
      <c r="C18" s="27"/>
      <c r="D18" s="27"/>
      <c r="E18" s="27"/>
      <c r="F18" s="27"/>
      <c r="G18" s="27"/>
      <c r="H18" s="27"/>
      <c r="I18" s="27"/>
      <c r="J18" s="27"/>
    </row>
    <row r="20" customFormat="false" ht="12.75" hidden="false" customHeight="false" outlineLevel="0" collapsed="false">
      <c r="A20" s="28" t="s">
        <v>382</v>
      </c>
      <c r="B20" s="28"/>
      <c r="C20" s="28"/>
      <c r="D20" s="28"/>
      <c r="E20" s="28"/>
      <c r="F20" s="28"/>
      <c r="G20" s="28"/>
      <c r="H20" s="28"/>
      <c r="I20" s="28"/>
      <c r="J20" s="28"/>
    </row>
    <row r="21" customFormat="false" ht="25.5" hidden="false" customHeight="true" outlineLevel="0" collapsed="false">
      <c r="A21" s="19" t="n">
        <v>1</v>
      </c>
      <c r="B21" s="21" t="s">
        <v>383</v>
      </c>
      <c r="C21" s="21"/>
      <c r="D21" s="21"/>
      <c r="E21" s="21"/>
      <c r="F21" s="21"/>
      <c r="G21" s="21"/>
      <c r="H21" s="100" t="s">
        <v>564</v>
      </c>
      <c r="I21" s="100"/>
      <c r="J21" s="100"/>
    </row>
    <row r="22" customFormat="false" ht="12.75" hidden="false" customHeight="true" outlineLevel="0" collapsed="false">
      <c r="A22" s="19" t="n">
        <v>2</v>
      </c>
      <c r="B22" s="21" t="s">
        <v>385</v>
      </c>
      <c r="C22" s="21"/>
      <c r="D22" s="21"/>
      <c r="E22" s="21"/>
      <c r="F22" s="21"/>
      <c r="G22" s="21"/>
      <c r="H22" s="101" t="n">
        <v>1137</v>
      </c>
      <c r="I22" s="101"/>
      <c r="J22" s="101"/>
    </row>
    <row r="23" customFormat="false" ht="12.75" hidden="false" customHeight="true" outlineLevel="0" collapsed="false">
      <c r="A23" s="30" t="s">
        <v>108</v>
      </c>
      <c r="B23" s="31" t="s">
        <v>386</v>
      </c>
      <c r="C23" s="31"/>
      <c r="D23" s="31"/>
      <c r="E23" s="31"/>
      <c r="F23" s="31"/>
      <c r="G23" s="31"/>
      <c r="H23" s="31"/>
      <c r="I23" s="31"/>
      <c r="J23" s="31"/>
    </row>
    <row r="24" customFormat="false" ht="12.75" hidden="false" customHeight="true" outlineLevel="0" collapsed="false">
      <c r="A24" s="19" t="n">
        <v>3</v>
      </c>
      <c r="B24" s="21" t="s">
        <v>387</v>
      </c>
      <c r="C24" s="21"/>
      <c r="D24" s="21"/>
      <c r="E24" s="21"/>
      <c r="F24" s="21"/>
      <c r="G24" s="21"/>
      <c r="H24" s="102" t="s">
        <v>388</v>
      </c>
      <c r="I24" s="102"/>
      <c r="J24" s="102"/>
    </row>
    <row r="25" customFormat="false" ht="12.75" hidden="false" customHeight="true" outlineLevel="0" collapsed="false">
      <c r="A25" s="30" t="s">
        <v>108</v>
      </c>
      <c r="B25" s="31" t="s">
        <v>389</v>
      </c>
      <c r="C25" s="31"/>
      <c r="D25" s="31"/>
      <c r="E25" s="31"/>
      <c r="F25" s="31"/>
      <c r="G25" s="31"/>
      <c r="H25" s="31"/>
      <c r="I25" s="31"/>
      <c r="J25" s="31"/>
    </row>
    <row r="26" customFormat="false" ht="12.75" hidden="false" customHeight="true" outlineLevel="0" collapsed="false">
      <c r="A26" s="19" t="n">
        <v>4</v>
      </c>
      <c r="B26" s="21" t="s">
        <v>390</v>
      </c>
      <c r="C26" s="21"/>
      <c r="D26" s="21"/>
      <c r="E26" s="21"/>
      <c r="F26" s="21"/>
      <c r="G26" s="21"/>
      <c r="H26" s="102" t="s">
        <v>546</v>
      </c>
      <c r="I26" s="102"/>
      <c r="J26" s="102"/>
    </row>
    <row r="27" customFormat="false" ht="24.75" hidden="false" customHeight="true" outlineLevel="0" collapsed="false">
      <c r="A27" s="30" t="s">
        <v>108</v>
      </c>
      <c r="B27" s="31" t="s">
        <v>392</v>
      </c>
      <c r="C27" s="31"/>
      <c r="D27" s="31"/>
      <c r="E27" s="31"/>
      <c r="F27" s="31"/>
      <c r="G27" s="31"/>
      <c r="H27" s="31"/>
      <c r="I27" s="31"/>
      <c r="J27" s="31"/>
    </row>
    <row r="28" customFormat="false" ht="12.75" hidden="false" customHeight="true" outlineLevel="0" collapsed="false">
      <c r="A28" s="19" t="n">
        <v>5</v>
      </c>
      <c r="B28" s="21" t="s">
        <v>393</v>
      </c>
      <c r="C28" s="21"/>
      <c r="D28" s="21"/>
      <c r="E28" s="21"/>
      <c r="F28" s="21"/>
      <c r="G28" s="21"/>
      <c r="H28" s="102" t="s">
        <v>394</v>
      </c>
      <c r="I28" s="102"/>
      <c r="J28" s="102"/>
    </row>
    <row r="29" customFormat="false" ht="24.75" hidden="false" customHeight="true" outlineLevel="0" collapsed="false">
      <c r="A29" s="30" t="s">
        <v>108</v>
      </c>
      <c r="B29" s="31" t="s">
        <v>395</v>
      </c>
      <c r="C29" s="31"/>
      <c r="D29" s="31"/>
      <c r="E29" s="31"/>
      <c r="F29" s="31"/>
      <c r="G29" s="31"/>
      <c r="H29" s="31"/>
      <c r="I29" s="31"/>
      <c r="J29" s="31"/>
    </row>
    <row r="31" customFormat="false" ht="13.5" hidden="false" customHeight="true" outlineLevel="0" collapsed="false">
      <c r="A31" s="103" t="s">
        <v>396</v>
      </c>
      <c r="B31" s="104" t="s">
        <v>397</v>
      </c>
      <c r="C31" s="104"/>
      <c r="D31" s="104"/>
      <c r="E31" s="104"/>
      <c r="F31" s="104"/>
      <c r="G31" s="104"/>
      <c r="H31" s="104"/>
      <c r="I31" s="104"/>
      <c r="J31" s="104"/>
    </row>
    <row r="32" customFormat="false" ht="12.75" hidden="false" customHeight="true" outlineLevel="0" collapsed="false">
      <c r="A32" s="16" t="n">
        <v>1</v>
      </c>
      <c r="B32" s="105" t="s">
        <v>398</v>
      </c>
      <c r="C32" s="105"/>
      <c r="D32" s="105"/>
      <c r="E32" s="105"/>
      <c r="F32" s="105"/>
      <c r="G32" s="105"/>
      <c r="H32" s="106" t="s">
        <v>399</v>
      </c>
      <c r="I32" s="106"/>
      <c r="J32" s="106"/>
    </row>
    <row r="33" customFormat="false" ht="12.75" hidden="false" customHeight="true" outlineLevel="0" collapsed="false">
      <c r="A33" s="19" t="s">
        <v>400</v>
      </c>
      <c r="B33" s="21" t="s">
        <v>401</v>
      </c>
      <c r="C33" s="21"/>
      <c r="D33" s="21"/>
      <c r="E33" s="21"/>
      <c r="F33" s="21"/>
      <c r="G33" s="21"/>
      <c r="H33" s="107" t="n">
        <v>1137</v>
      </c>
      <c r="I33" s="107"/>
      <c r="J33" s="107"/>
    </row>
    <row r="34" customFormat="false" ht="12.75" hidden="false" customHeight="true" outlineLevel="0" collapsed="false">
      <c r="A34" s="108" t="s">
        <v>108</v>
      </c>
      <c r="B34" s="109" t="s">
        <v>402</v>
      </c>
      <c r="C34" s="109"/>
      <c r="D34" s="109"/>
      <c r="E34" s="109"/>
      <c r="F34" s="109"/>
      <c r="G34" s="109"/>
      <c r="H34" s="109"/>
      <c r="I34" s="109"/>
      <c r="J34" s="109"/>
    </row>
    <row r="35" customFormat="false" ht="15" hidden="false" customHeight="true" outlineLevel="0" collapsed="false">
      <c r="A35" s="19" t="s">
        <v>403</v>
      </c>
      <c r="B35" s="21" t="s">
        <v>565</v>
      </c>
      <c r="C35" s="21"/>
      <c r="D35" s="21"/>
      <c r="E35" s="21"/>
      <c r="F35" s="21"/>
      <c r="G35" s="21"/>
      <c r="H35" s="146" t="n">
        <v>0.2</v>
      </c>
      <c r="I35" s="124" t="n">
        <f aca="false">H35*H33</f>
        <v>227.4</v>
      </c>
      <c r="J35" s="124"/>
    </row>
    <row r="36" customFormat="false" ht="12.75" hidden="false" customHeight="true" outlineLevel="0" collapsed="false">
      <c r="A36" s="30" t="s">
        <v>108</v>
      </c>
      <c r="B36" s="31" t="s">
        <v>566</v>
      </c>
      <c r="C36" s="31"/>
      <c r="D36" s="31"/>
      <c r="E36" s="31"/>
      <c r="F36" s="31"/>
      <c r="G36" s="31"/>
      <c r="H36" s="31"/>
      <c r="I36" s="31"/>
      <c r="J36" s="31"/>
    </row>
    <row r="37" customFormat="false" ht="12.75" hidden="false" customHeight="true" outlineLevel="0" collapsed="false">
      <c r="A37" s="19" t="s">
        <v>406</v>
      </c>
      <c r="B37" s="111" t="s">
        <v>407</v>
      </c>
      <c r="C37" s="111"/>
      <c r="D37" s="111"/>
      <c r="E37" s="111"/>
      <c r="F37" s="111"/>
      <c r="G37" s="111"/>
      <c r="H37" s="107" t="n">
        <v>0</v>
      </c>
      <c r="I37" s="107"/>
      <c r="J37" s="107"/>
    </row>
    <row r="38" customFormat="false" ht="12.75" hidden="false" customHeight="true" outlineLevel="0" collapsed="false">
      <c r="A38" s="108" t="s">
        <v>108</v>
      </c>
      <c r="B38" s="109" t="s">
        <v>408</v>
      </c>
      <c r="C38" s="109"/>
      <c r="D38" s="109"/>
      <c r="E38" s="109"/>
      <c r="F38" s="109"/>
      <c r="G38" s="109"/>
      <c r="H38" s="109"/>
      <c r="I38" s="109"/>
      <c r="J38" s="109"/>
    </row>
    <row r="39" customFormat="false" ht="12.75" hidden="false" customHeight="false" outlineLevel="0" collapsed="false">
      <c r="A39" s="16" t="str">
        <f aca="false">"Total do "&amp;A31</f>
        <v>Total do Módulo1</v>
      </c>
      <c r="B39" s="16"/>
      <c r="C39" s="16"/>
      <c r="D39" s="16"/>
      <c r="E39" s="16"/>
      <c r="F39" s="16"/>
      <c r="G39" s="16"/>
      <c r="H39" s="112" t="n">
        <f aca="false">SUM(H33,I35,H37)</f>
        <v>1364.4</v>
      </c>
      <c r="I39" s="112"/>
      <c r="J39" s="112"/>
    </row>
    <row r="41" customFormat="false" ht="13.5" hidden="false" customHeight="true" outlineLevel="0" collapsed="false">
      <c r="A41" s="103" t="s">
        <v>409</v>
      </c>
      <c r="B41" s="104" t="s">
        <v>410</v>
      </c>
      <c r="C41" s="104"/>
      <c r="D41" s="104"/>
      <c r="E41" s="104"/>
      <c r="F41" s="104"/>
      <c r="G41" s="104"/>
      <c r="H41" s="104"/>
      <c r="I41" s="104"/>
      <c r="J41" s="104"/>
    </row>
    <row r="42" customFormat="false" ht="12.75" hidden="false" customHeight="true" outlineLevel="0" collapsed="false">
      <c r="A42" s="16" t="n">
        <v>2</v>
      </c>
      <c r="B42" s="105" t="s">
        <v>410</v>
      </c>
      <c r="C42" s="105"/>
      <c r="D42" s="105"/>
      <c r="E42" s="105"/>
      <c r="F42" s="105"/>
      <c r="G42" s="105"/>
      <c r="H42" s="106" t="s">
        <v>399</v>
      </c>
      <c r="I42" s="106"/>
      <c r="J42" s="106"/>
    </row>
    <row r="43" customFormat="false" ht="12.75" hidden="false" customHeight="true" outlineLevel="0" collapsed="false">
      <c r="A43" s="19" t="s">
        <v>400</v>
      </c>
      <c r="B43" s="21" t="s">
        <v>411</v>
      </c>
      <c r="C43" s="21"/>
      <c r="D43" s="21"/>
      <c r="E43" s="21"/>
      <c r="F43" s="21"/>
      <c r="G43" s="21"/>
      <c r="H43" s="107" t="n">
        <f aca="false">IF((3.8*2*22-0.06*$H$39)&gt;0,3.8*2*22-0.06*$H$39,0)</f>
        <v>85.336</v>
      </c>
      <c r="I43" s="107"/>
      <c r="J43" s="107"/>
    </row>
    <row r="44" customFormat="false" ht="12.75" hidden="false" customHeight="true" outlineLevel="0" collapsed="false">
      <c r="A44" s="108" t="s">
        <v>412</v>
      </c>
      <c r="B44" s="109" t="s">
        <v>413</v>
      </c>
      <c r="C44" s="109"/>
      <c r="D44" s="109"/>
      <c r="E44" s="109"/>
      <c r="F44" s="109"/>
      <c r="G44" s="109"/>
      <c r="H44" s="109"/>
      <c r="I44" s="109"/>
      <c r="J44" s="109"/>
    </row>
    <row r="45" customFormat="false" ht="32.25" hidden="false" customHeight="true" outlineLevel="0" collapsed="false">
      <c r="A45" s="108" t="s">
        <v>414</v>
      </c>
      <c r="B45" s="109" t="s">
        <v>415</v>
      </c>
      <c r="C45" s="109"/>
      <c r="D45" s="109"/>
      <c r="E45" s="109"/>
      <c r="F45" s="109"/>
      <c r="G45" s="109"/>
      <c r="H45" s="109"/>
      <c r="I45" s="109"/>
      <c r="J45" s="109"/>
    </row>
    <row r="46" customFormat="false" ht="12.75" hidden="false" customHeight="true" outlineLevel="0" collapsed="false">
      <c r="A46" s="108" t="s">
        <v>364</v>
      </c>
      <c r="B46" s="109" t="s">
        <v>416</v>
      </c>
      <c r="C46" s="109"/>
      <c r="D46" s="109"/>
      <c r="E46" s="109"/>
      <c r="F46" s="109"/>
      <c r="G46" s="109"/>
      <c r="H46" s="109"/>
      <c r="I46" s="109"/>
      <c r="J46" s="109"/>
      <c r="L46" s="113"/>
    </row>
    <row r="47" customFormat="false" ht="12.75" hidden="false" customHeight="true" outlineLevel="0" collapsed="false">
      <c r="A47" s="19" t="s">
        <v>417</v>
      </c>
      <c r="B47" s="21" t="s">
        <v>418</v>
      </c>
      <c r="C47" s="21"/>
      <c r="D47" s="21"/>
      <c r="E47" s="21"/>
      <c r="F47" s="21"/>
      <c r="G47" s="21"/>
      <c r="H47" s="110" t="n">
        <f aca="false">IF('DI, Tri e Pag'!$H$12:$J$12='DI, Tri e Pag'!$L$12,-('DI, Tri e Pag'!$H$23+'DI, Tri e Pag'!$H$24)*'C. F. P. Vigia Noturno'!H43,0)</f>
        <v>0</v>
      </c>
      <c r="I47" s="110"/>
      <c r="J47" s="110"/>
    </row>
    <row r="48" customFormat="false" ht="44.25" hidden="false" customHeight="true" outlineLevel="0" collapsed="false">
      <c r="A48" s="30" t="s">
        <v>419</v>
      </c>
      <c r="B48" s="31" t="s">
        <v>420</v>
      </c>
      <c r="C48" s="31"/>
      <c r="D48" s="31"/>
      <c r="E48" s="31"/>
      <c r="F48" s="31"/>
      <c r="G48" s="31"/>
      <c r="H48" s="31"/>
      <c r="I48" s="31"/>
      <c r="J48" s="31"/>
    </row>
    <row r="49" customFormat="false" ht="12.75" hidden="false" customHeight="true" outlineLevel="0" collapsed="false">
      <c r="A49" s="19" t="s">
        <v>403</v>
      </c>
      <c r="B49" s="111" t="s">
        <v>407</v>
      </c>
      <c r="C49" s="111"/>
      <c r="D49" s="111"/>
      <c r="E49" s="111"/>
      <c r="F49" s="111"/>
      <c r="G49" s="111"/>
      <c r="H49" s="107"/>
      <c r="I49" s="107"/>
      <c r="J49" s="107"/>
    </row>
    <row r="50" customFormat="false" ht="12.75" hidden="false" customHeight="true" outlineLevel="0" collapsed="false">
      <c r="A50" s="108" t="s">
        <v>419</v>
      </c>
      <c r="B50" s="109" t="s">
        <v>408</v>
      </c>
      <c r="C50" s="109"/>
      <c r="D50" s="109"/>
      <c r="E50" s="109"/>
      <c r="F50" s="109"/>
      <c r="G50" s="109"/>
      <c r="H50" s="109"/>
      <c r="I50" s="109"/>
      <c r="J50" s="109"/>
    </row>
    <row r="51" customFormat="false" ht="12.75" hidden="false" customHeight="false" outlineLevel="0" collapsed="false">
      <c r="A51" s="16" t="str">
        <f aca="false">"Total do "&amp;A41</f>
        <v>Total do Módulo2 </v>
      </c>
      <c r="B51" s="16"/>
      <c r="C51" s="16"/>
      <c r="D51" s="16"/>
      <c r="E51" s="16"/>
      <c r="F51" s="16"/>
      <c r="G51" s="16"/>
      <c r="H51" s="112" t="n">
        <f aca="false">SUM(H43,H47,H49)</f>
        <v>85.336</v>
      </c>
      <c r="I51" s="112"/>
      <c r="J51" s="112"/>
    </row>
    <row r="53" customFormat="false" ht="15" hidden="false" customHeight="true" outlineLevel="0" collapsed="false">
      <c r="A53" s="103" t="s">
        <v>421</v>
      </c>
      <c r="B53" s="104" t="s">
        <v>547</v>
      </c>
      <c r="C53" s="104"/>
      <c r="D53" s="104"/>
      <c r="E53" s="104"/>
      <c r="F53" s="104"/>
      <c r="G53" s="104"/>
      <c r="H53" s="104"/>
      <c r="I53" s="104"/>
      <c r="J53" s="104"/>
    </row>
    <row r="54" customFormat="false" ht="12.75" hidden="false" customHeight="true" outlineLevel="0" collapsed="false">
      <c r="A54" s="16" t="s">
        <v>348</v>
      </c>
      <c r="B54" s="105" t="s">
        <v>532</v>
      </c>
      <c r="C54" s="105"/>
      <c r="D54" s="105"/>
      <c r="E54" s="105"/>
      <c r="F54" s="105"/>
      <c r="G54" s="105"/>
      <c r="H54" s="114" t="s">
        <v>424</v>
      </c>
      <c r="I54" s="114" t="s">
        <v>425</v>
      </c>
      <c r="J54" s="114" t="s">
        <v>426</v>
      </c>
    </row>
    <row r="55" customFormat="false" ht="12.75" hidden="false" customHeight="true" outlineLevel="0" collapsed="false">
      <c r="A55" s="19" t="s">
        <v>400</v>
      </c>
      <c r="B55" s="21" t="s">
        <v>548</v>
      </c>
      <c r="C55" s="21"/>
      <c r="D55" s="21"/>
      <c r="E55" s="21"/>
      <c r="F55" s="21"/>
      <c r="G55" s="21"/>
      <c r="H55" s="115" t="n">
        <v>2</v>
      </c>
      <c r="I55" s="116"/>
      <c r="J55" s="117" t="n">
        <f aca="false">H55*I55/12</f>
        <v>0</v>
      </c>
    </row>
    <row r="56" customFormat="false" ht="12.75" hidden="false" customHeight="true" outlineLevel="0" collapsed="false">
      <c r="A56" s="19" t="s">
        <v>403</v>
      </c>
      <c r="B56" s="21" t="s">
        <v>549</v>
      </c>
      <c r="C56" s="21"/>
      <c r="D56" s="21"/>
      <c r="E56" s="21"/>
      <c r="F56" s="21"/>
      <c r="G56" s="21"/>
      <c r="H56" s="115" t="n">
        <v>2</v>
      </c>
      <c r="I56" s="116"/>
      <c r="J56" s="117" t="n">
        <f aca="false">H56*I56/12</f>
        <v>0</v>
      </c>
    </row>
    <row r="57" customFormat="false" ht="12.75" hidden="false" customHeight="true" outlineLevel="0" collapsed="false">
      <c r="A57" s="19" t="s">
        <v>406</v>
      </c>
      <c r="B57" s="21" t="s">
        <v>550</v>
      </c>
      <c r="C57" s="21"/>
      <c r="D57" s="21"/>
      <c r="E57" s="21"/>
      <c r="F57" s="21"/>
      <c r="G57" s="21"/>
      <c r="H57" s="115" t="n">
        <v>2</v>
      </c>
      <c r="I57" s="116"/>
      <c r="J57" s="117" t="n">
        <f aca="false">H57*I57/12</f>
        <v>0</v>
      </c>
    </row>
    <row r="58" customFormat="false" ht="12.75" hidden="false" customHeight="true" outlineLevel="0" collapsed="false">
      <c r="A58" s="19" t="s">
        <v>430</v>
      </c>
      <c r="B58" s="21" t="s">
        <v>429</v>
      </c>
      <c r="C58" s="21"/>
      <c r="D58" s="21"/>
      <c r="E58" s="21"/>
      <c r="F58" s="21"/>
      <c r="G58" s="21"/>
      <c r="H58" s="115" t="n">
        <v>2</v>
      </c>
      <c r="I58" s="116"/>
      <c r="J58" s="117" t="n">
        <f aca="false">H58*I58/12</f>
        <v>0</v>
      </c>
    </row>
    <row r="59" customFormat="false" ht="12.75" hidden="false" customHeight="true" outlineLevel="0" collapsed="false">
      <c r="A59" s="19" t="s">
        <v>432</v>
      </c>
      <c r="B59" s="21" t="s">
        <v>431</v>
      </c>
      <c r="C59" s="21"/>
      <c r="D59" s="21"/>
      <c r="E59" s="21"/>
      <c r="F59" s="21"/>
      <c r="G59" s="21"/>
      <c r="H59" s="115" t="n">
        <v>2</v>
      </c>
      <c r="I59" s="116"/>
      <c r="J59" s="117" t="n">
        <f aca="false">H59*I59/12</f>
        <v>0</v>
      </c>
      <c r="M59" s="119"/>
    </row>
    <row r="60" customFormat="false" ht="12.75" hidden="false" customHeight="true" outlineLevel="0" collapsed="false">
      <c r="A60" s="19" t="s">
        <v>434</v>
      </c>
      <c r="B60" s="21" t="s">
        <v>533</v>
      </c>
      <c r="C60" s="21"/>
      <c r="D60" s="21"/>
      <c r="E60" s="21"/>
      <c r="F60" s="21"/>
      <c r="G60" s="21"/>
      <c r="H60" s="115" t="n">
        <v>2</v>
      </c>
      <c r="I60" s="116"/>
      <c r="J60" s="117" t="n">
        <f aca="false">H60*I60/12</f>
        <v>0</v>
      </c>
      <c r="M60" s="119"/>
    </row>
    <row r="61" customFormat="false" ht="12.75" hidden="false" customHeight="true" outlineLevel="0" collapsed="false">
      <c r="A61" s="19" t="s">
        <v>438</v>
      </c>
      <c r="B61" s="21" t="s">
        <v>534</v>
      </c>
      <c r="C61" s="21"/>
      <c r="D61" s="21"/>
      <c r="E61" s="21"/>
      <c r="F61" s="21"/>
      <c r="G61" s="21"/>
      <c r="H61" s="115" t="n">
        <v>2</v>
      </c>
      <c r="I61" s="116"/>
      <c r="J61" s="117" t="n">
        <f aca="false">H61*I61/12</f>
        <v>0</v>
      </c>
      <c r="M61" s="119"/>
    </row>
    <row r="62" customFormat="false" ht="12.75" hidden="false" customHeight="true" outlineLevel="0" collapsed="false">
      <c r="A62" s="19" t="s">
        <v>467</v>
      </c>
      <c r="B62" s="21" t="s">
        <v>535</v>
      </c>
      <c r="C62" s="21"/>
      <c r="D62" s="21"/>
      <c r="E62" s="21"/>
      <c r="F62" s="21"/>
      <c r="G62" s="21"/>
      <c r="H62" s="115" t="n">
        <v>2</v>
      </c>
      <c r="I62" s="116"/>
      <c r="J62" s="117" t="n">
        <f aca="false">H62*I62/12</f>
        <v>0</v>
      </c>
      <c r="M62" s="119"/>
    </row>
    <row r="63" customFormat="false" ht="71.25" hidden="false" customHeight="true" outlineLevel="0" collapsed="false">
      <c r="A63" s="19" t="s">
        <v>536</v>
      </c>
      <c r="B63" s="21" t="s">
        <v>433</v>
      </c>
      <c r="C63" s="21"/>
      <c r="D63" s="21"/>
      <c r="E63" s="21"/>
      <c r="F63" s="21"/>
      <c r="G63" s="21"/>
      <c r="H63" s="115" t="n">
        <v>2</v>
      </c>
      <c r="I63" s="116"/>
      <c r="J63" s="117" t="n">
        <f aca="false">H63*I63/12</f>
        <v>0</v>
      </c>
    </row>
    <row r="64" customFormat="false" ht="12.75" hidden="false" customHeight="true" outlineLevel="0" collapsed="false">
      <c r="A64" s="19" t="s">
        <v>551</v>
      </c>
      <c r="B64" s="111" t="s">
        <v>444</v>
      </c>
      <c r="C64" s="111"/>
      <c r="D64" s="111"/>
      <c r="E64" s="111"/>
      <c r="F64" s="111"/>
      <c r="G64" s="111"/>
      <c r="H64" s="115" t="n">
        <v>2</v>
      </c>
      <c r="I64" s="116"/>
      <c r="J64" s="117" t="n">
        <f aca="false">H64*I64/12</f>
        <v>0</v>
      </c>
    </row>
    <row r="65" customFormat="false" ht="12.75" hidden="false" customHeight="true" outlineLevel="0" collapsed="false">
      <c r="A65" s="30" t="s">
        <v>412</v>
      </c>
      <c r="B65" s="31" t="s">
        <v>435</v>
      </c>
      <c r="C65" s="31"/>
      <c r="D65" s="31"/>
      <c r="E65" s="31"/>
      <c r="F65" s="31"/>
      <c r="G65" s="31"/>
      <c r="H65" s="31"/>
      <c r="I65" s="31"/>
      <c r="J65" s="31"/>
    </row>
    <row r="66" customFormat="false" ht="12.75" hidden="true" customHeight="true" outlineLevel="0" collapsed="false">
      <c r="A66" s="30" t="s">
        <v>414</v>
      </c>
      <c r="B66" s="31" t="s">
        <v>436</v>
      </c>
      <c r="C66" s="31"/>
      <c r="D66" s="31"/>
      <c r="E66" s="31"/>
      <c r="F66" s="31"/>
      <c r="G66" s="31"/>
      <c r="H66" s="31"/>
      <c r="I66" s="31"/>
      <c r="J66" s="31"/>
    </row>
    <row r="67" customFormat="false" ht="12.75" hidden="false" customHeight="true" outlineLevel="0" collapsed="false">
      <c r="A67" s="30" t="s">
        <v>364</v>
      </c>
      <c r="B67" s="31" t="s">
        <v>437</v>
      </c>
      <c r="C67" s="31"/>
      <c r="D67" s="31"/>
      <c r="E67" s="31"/>
      <c r="F67" s="31"/>
      <c r="G67" s="31"/>
      <c r="H67" s="31"/>
      <c r="I67" s="31"/>
      <c r="J67" s="31"/>
    </row>
    <row r="68" customFormat="false" ht="12.75" hidden="false" customHeight="true" outlineLevel="0" collapsed="false">
      <c r="A68" s="19" t="s">
        <v>438</v>
      </c>
      <c r="B68" s="21" t="s">
        <v>418</v>
      </c>
      <c r="C68" s="21"/>
      <c r="D68" s="21"/>
      <c r="E68" s="21"/>
      <c r="F68" s="21"/>
      <c r="G68" s="21"/>
      <c r="H68" s="110" t="n">
        <f aca="false">IF('DI, Tri e Pag'!$H$12:$J$12='DI, Tri e Pag'!$L$12,-('DI, Tri e Pag'!$H$23+'DI, Tri e Pag'!$H$24)*SUM(J55:J64),0)</f>
        <v>0</v>
      </c>
      <c r="I68" s="110"/>
      <c r="J68" s="110"/>
    </row>
    <row r="69" customFormat="false" ht="41.25" hidden="false" customHeight="true" outlineLevel="0" collapsed="false">
      <c r="A69" s="30" t="s">
        <v>419</v>
      </c>
      <c r="B69" s="31" t="str">
        <f aca="false">B48</f>
        <v>Calculado apenas quando o regime de incidência da contribuição para o PIS/COFINS for não cumulativo. Neste regime é permitido o desconto de créditos apurados com base em custos, despesas e encargos sociais. Fundamentação: Lei 10637/2002 e Lei 10.833/2003</v>
      </c>
      <c r="C69" s="31"/>
      <c r="D69" s="31"/>
      <c r="E69" s="31"/>
      <c r="F69" s="31"/>
      <c r="G69" s="31"/>
      <c r="H69" s="31"/>
      <c r="I69" s="31"/>
      <c r="J69" s="31"/>
    </row>
    <row r="70" customFormat="false" ht="12.75" hidden="false" customHeight="false" outlineLevel="0" collapsed="false">
      <c r="A70" s="16" t="str">
        <f aca="false">"Total do Submósulo "&amp;A54</f>
        <v>Total do Submósulo 3.1</v>
      </c>
      <c r="B70" s="16"/>
      <c r="C70" s="16"/>
      <c r="D70" s="16"/>
      <c r="E70" s="16"/>
      <c r="F70" s="16"/>
      <c r="G70" s="16"/>
      <c r="H70" s="112" t="n">
        <f aca="false">SUM(J55:J64,H68)</f>
        <v>0</v>
      </c>
      <c r="I70" s="112"/>
      <c r="J70" s="112"/>
    </row>
    <row r="72" customFormat="false" ht="12.75" hidden="false" customHeight="true" outlineLevel="0" collapsed="false">
      <c r="A72" s="16" t="s">
        <v>439</v>
      </c>
      <c r="B72" s="83" t="s">
        <v>440</v>
      </c>
      <c r="C72" s="83"/>
      <c r="D72" s="83"/>
      <c r="E72" s="83"/>
      <c r="F72" s="18" t="s">
        <v>441</v>
      </c>
      <c r="G72" s="18" t="s">
        <v>442</v>
      </c>
      <c r="H72" s="18"/>
      <c r="I72" s="114" t="s">
        <v>425</v>
      </c>
      <c r="J72" s="114" t="s">
        <v>426</v>
      </c>
    </row>
    <row r="73" customFormat="false" ht="16.5" hidden="false" customHeight="true" outlineLevel="0" collapsed="false">
      <c r="A73" s="19" t="s">
        <v>400</v>
      </c>
      <c r="B73" s="11" t="s">
        <v>552</v>
      </c>
      <c r="C73" s="11"/>
      <c r="D73" s="11"/>
      <c r="E73" s="11"/>
      <c r="F73" s="118" t="n">
        <v>0.25</v>
      </c>
      <c r="G73" s="33" t="n">
        <f aca="false">30</f>
        <v>30</v>
      </c>
      <c r="H73" s="33"/>
      <c r="I73" s="116"/>
      <c r="J73" s="117" t="n">
        <f aca="false">IFERROR(F73*I73/G73," ")</f>
        <v>0</v>
      </c>
    </row>
    <row r="74" customFormat="false" ht="16.5" hidden="false" customHeight="true" outlineLevel="0" collapsed="false">
      <c r="A74" s="19" t="s">
        <v>403</v>
      </c>
      <c r="B74" s="11" t="s">
        <v>553</v>
      </c>
      <c r="C74" s="11"/>
      <c r="D74" s="11"/>
      <c r="E74" s="11"/>
      <c r="F74" s="118" t="n">
        <v>0.25</v>
      </c>
      <c r="G74" s="33" t="n">
        <f aca="false">30</f>
        <v>30</v>
      </c>
      <c r="H74" s="33"/>
      <c r="I74" s="116"/>
      <c r="J74" s="117" t="n">
        <f aca="false">IFERROR(F74*I74/G74," ")</f>
        <v>0</v>
      </c>
    </row>
    <row r="75" customFormat="false" ht="16.5" hidden="false" customHeight="true" outlineLevel="0" collapsed="false">
      <c r="A75" s="19" t="s">
        <v>406</v>
      </c>
      <c r="B75" s="11" t="s">
        <v>554</v>
      </c>
      <c r="C75" s="11"/>
      <c r="D75" s="11"/>
      <c r="E75" s="11"/>
      <c r="F75" s="118" t="n">
        <v>0.25</v>
      </c>
      <c r="G75" s="33" t="n">
        <v>60</v>
      </c>
      <c r="H75" s="33"/>
      <c r="I75" s="116"/>
      <c r="J75" s="117" t="n">
        <f aca="false">IFERROR(F75*I75/G75," ")</f>
        <v>0</v>
      </c>
    </row>
    <row r="76" customFormat="false" ht="16.5" hidden="false" customHeight="true" outlineLevel="0" collapsed="false">
      <c r="A76" s="19" t="s">
        <v>430</v>
      </c>
      <c r="B76" s="11" t="s">
        <v>443</v>
      </c>
      <c r="C76" s="11"/>
      <c r="D76" s="11"/>
      <c r="E76" s="11"/>
      <c r="F76" s="118" t="n">
        <v>0.25</v>
      </c>
      <c r="G76" s="33" t="n">
        <v>60</v>
      </c>
      <c r="H76" s="33"/>
      <c r="I76" s="116"/>
      <c r="J76" s="117" t="n">
        <f aca="false">IFERROR(F76*I76/G76," ")</f>
        <v>0</v>
      </c>
      <c r="M76" s="119"/>
    </row>
    <row r="77" customFormat="false" ht="16.5" hidden="false" customHeight="true" outlineLevel="0" collapsed="false">
      <c r="A77" s="19" t="s">
        <v>432</v>
      </c>
      <c r="B77" s="11" t="s">
        <v>555</v>
      </c>
      <c r="C77" s="11"/>
      <c r="D77" s="11"/>
      <c r="E77" s="11"/>
      <c r="F77" s="118" t="n">
        <v>0.6</v>
      </c>
      <c r="G77" s="33" t="n">
        <v>120</v>
      </c>
      <c r="H77" s="33"/>
      <c r="I77" s="116"/>
      <c r="J77" s="117" t="n">
        <f aca="false">IFERROR(F77*I77/G77," ")</f>
        <v>0</v>
      </c>
      <c r="M77" s="119"/>
    </row>
    <row r="78" customFormat="false" ht="16.5" hidden="false" customHeight="true" outlineLevel="0" collapsed="false">
      <c r="A78" s="19" t="s">
        <v>434</v>
      </c>
      <c r="B78" s="11" t="s">
        <v>556</v>
      </c>
      <c r="C78" s="11"/>
      <c r="D78" s="11"/>
      <c r="E78" s="11"/>
      <c r="F78" s="118" t="n">
        <v>0.6</v>
      </c>
      <c r="G78" s="33" t="n">
        <v>30</v>
      </c>
      <c r="H78" s="33"/>
      <c r="I78" s="116"/>
      <c r="J78" s="117" t="n">
        <f aca="false">IFERROR(F78*I78/G78," ")</f>
        <v>0</v>
      </c>
      <c r="M78" s="119"/>
    </row>
    <row r="79" customFormat="false" ht="16.5" hidden="false" customHeight="true" outlineLevel="0" collapsed="false">
      <c r="A79" s="19" t="s">
        <v>438</v>
      </c>
      <c r="B79" s="11" t="s">
        <v>557</v>
      </c>
      <c r="C79" s="11"/>
      <c r="D79" s="11"/>
      <c r="E79" s="11"/>
      <c r="F79" s="118" t="n">
        <v>0.6</v>
      </c>
      <c r="G79" s="33" t="n">
        <v>30</v>
      </c>
      <c r="H79" s="33"/>
      <c r="I79" s="116"/>
      <c r="J79" s="117" t="n">
        <f aca="false">IFERROR(F79*I79/G79," ")</f>
        <v>0</v>
      </c>
      <c r="M79" s="119"/>
    </row>
    <row r="80" customFormat="false" ht="16.5" hidden="false" customHeight="true" outlineLevel="0" collapsed="false">
      <c r="A80" s="19" t="s">
        <v>467</v>
      </c>
      <c r="B80" s="11" t="s">
        <v>558</v>
      </c>
      <c r="C80" s="11"/>
      <c r="D80" s="11"/>
      <c r="E80" s="11"/>
      <c r="F80" s="118" t="n">
        <v>0.6</v>
      </c>
      <c r="G80" s="33" t="n">
        <v>1</v>
      </c>
      <c r="H80" s="33"/>
      <c r="I80" s="116"/>
      <c r="J80" s="117" t="n">
        <f aca="false">IFERROR(F80*I80/G80," ")</f>
        <v>0</v>
      </c>
    </row>
    <row r="81" customFormat="false" ht="16.5" hidden="false" customHeight="true" outlineLevel="0" collapsed="false">
      <c r="A81" s="19" t="s">
        <v>536</v>
      </c>
      <c r="B81" s="11" t="s">
        <v>559</v>
      </c>
      <c r="C81" s="11"/>
      <c r="D81" s="11"/>
      <c r="E81" s="11"/>
      <c r="F81" s="118" t="n">
        <v>1</v>
      </c>
      <c r="G81" s="33" t="n">
        <v>60</v>
      </c>
      <c r="H81" s="33"/>
      <c r="I81" s="116"/>
      <c r="J81" s="117" t="n">
        <f aca="false">IFERROR(F81*I81/G81," ")</f>
        <v>0</v>
      </c>
    </row>
    <row r="82" customFormat="false" ht="16.5" hidden="false" customHeight="true" outlineLevel="0" collapsed="false">
      <c r="A82" s="19" t="s">
        <v>551</v>
      </c>
      <c r="B82" s="11" t="s">
        <v>560</v>
      </c>
      <c r="C82" s="11"/>
      <c r="D82" s="11"/>
      <c r="E82" s="11"/>
      <c r="F82" s="118" t="n">
        <v>1</v>
      </c>
      <c r="G82" s="33" t="n">
        <v>30</v>
      </c>
      <c r="H82" s="33"/>
      <c r="I82" s="116"/>
      <c r="J82" s="117" t="n">
        <f aca="false">IFERROR(F82*I82/G82," ")</f>
        <v>0</v>
      </c>
    </row>
    <row r="83" customFormat="false" ht="12.75" hidden="false" customHeight="true" outlineLevel="0" collapsed="false">
      <c r="A83" s="19" t="s">
        <v>561</v>
      </c>
      <c r="B83" s="95" t="s">
        <v>444</v>
      </c>
      <c r="C83" s="95"/>
      <c r="D83" s="95"/>
      <c r="E83" s="95"/>
      <c r="F83" s="120"/>
      <c r="G83" s="121"/>
      <c r="H83" s="121"/>
      <c r="I83" s="116"/>
      <c r="J83" s="117" t="str">
        <f aca="false">IFERROR(F83*I83/G83," ")</f>
        <v> </v>
      </c>
    </row>
    <row r="84" customFormat="false" ht="12.75" hidden="false" customHeight="true" outlineLevel="0" collapsed="false">
      <c r="A84" s="30" t="s">
        <v>412</v>
      </c>
      <c r="B84" s="31" t="s">
        <v>435</v>
      </c>
      <c r="C84" s="31"/>
      <c r="D84" s="31"/>
      <c r="E84" s="31"/>
      <c r="F84" s="31"/>
      <c r="G84" s="31"/>
      <c r="H84" s="31"/>
      <c r="I84" s="31"/>
      <c r="J84" s="31"/>
    </row>
    <row r="85" customFormat="false" ht="12.75" hidden="true" customHeight="true" outlineLevel="0" collapsed="false">
      <c r="A85" s="30" t="s">
        <v>414</v>
      </c>
      <c r="B85" s="31" t="s">
        <v>436</v>
      </c>
      <c r="C85" s="31"/>
      <c r="D85" s="31"/>
      <c r="E85" s="31"/>
      <c r="F85" s="31"/>
      <c r="G85" s="31"/>
      <c r="H85" s="31"/>
      <c r="I85" s="31"/>
      <c r="J85" s="31"/>
    </row>
    <row r="86" customFormat="false" ht="42" hidden="false" customHeight="true" outlineLevel="0" collapsed="false">
      <c r="A86" s="30" t="s">
        <v>445</v>
      </c>
      <c r="B86" s="31" t="str">
        <f aca="false">"Para os equipamentos dos itens "&amp;A73&amp;", "&amp;A74&amp;", "&amp;A75&amp;" e "&amp;A76&amp;" estimou a quantidade de 1 por posto. Visto que para o regime de trabalha de 12x36 há 4 funcionários por posto, foi considerado uma taxa de utilização de 25%"</f>
        <v>Para os equipamentos dos itens A, B, C e D estimou a quantidade de 1 por posto. Visto que para o regime de trabalha de 12x36 há 4 funcionários por posto, foi considerado uma taxa de utilização de 25%</v>
      </c>
      <c r="C86" s="31"/>
      <c r="D86" s="31"/>
      <c r="E86" s="31"/>
      <c r="F86" s="31"/>
      <c r="G86" s="31"/>
      <c r="H86" s="31"/>
      <c r="I86" s="31"/>
      <c r="J86" s="31"/>
    </row>
    <row r="87" customFormat="false" ht="42" hidden="false" customHeight="true" outlineLevel="0" collapsed="false">
      <c r="A87" s="30" t="s">
        <v>538</v>
      </c>
      <c r="B87" s="31" t="str">
        <f aca="false">"Para os equipamentos dos itens "&amp;A77&amp;", "&amp;A78&amp;", "&amp;A79&amp;" e "&amp;A80&amp;" foi considerado uma taxa de utilização de 60%, visto que a legislação vigente prevê o número de armas em poder das empresas de segurança deve ser equivalente a 50% do efetivo de vigilantes, acrescido de reserva de 20% sobre o número resultante."</f>
        <v>Para os equipamentos dos itens E, F, G e H foi considerado uma taxa de utilização de 60%, visto que a legislação vigente prevê o número de armas em poder das empresas de segurança deve ser equivalente a 50% do efetivo de vigilantes, acrescido de reserva de 20% sobre o número resultante.</v>
      </c>
      <c r="C87" s="31"/>
      <c r="D87" s="31"/>
      <c r="E87" s="31"/>
      <c r="F87" s="31"/>
      <c r="G87" s="31"/>
      <c r="H87" s="31"/>
      <c r="I87" s="31"/>
      <c r="J87" s="31"/>
    </row>
    <row r="88" customFormat="false" ht="30" hidden="false" customHeight="true" outlineLevel="0" collapsed="false">
      <c r="A88" s="30" t="s">
        <v>562</v>
      </c>
      <c r="B88" s="31" t="str">
        <f aca="false">"Para os equipamentos dos itens "&amp;A81&amp;" e "&amp;A82&amp;" foi considerado uma taxa de utilização de 100%, por se tratar de equipamentos de uso individual."</f>
        <v>Para os equipamentos dos itens I e J foi considerado uma taxa de utilização de 100%, por se tratar de equipamentos de uso individual.</v>
      </c>
      <c r="C88" s="31"/>
      <c r="D88" s="31"/>
      <c r="E88" s="31"/>
      <c r="F88" s="31"/>
      <c r="G88" s="31"/>
      <c r="H88" s="31"/>
      <c r="I88" s="31"/>
      <c r="J88" s="31"/>
    </row>
    <row r="89" customFormat="false" ht="12.75" hidden="false" customHeight="true" outlineLevel="0" collapsed="false">
      <c r="A89" s="30" t="s">
        <v>364</v>
      </c>
      <c r="B89" s="31" t="s">
        <v>446</v>
      </c>
      <c r="C89" s="31"/>
      <c r="D89" s="31"/>
      <c r="E89" s="31"/>
      <c r="F89" s="31"/>
      <c r="G89" s="31"/>
      <c r="H89" s="31"/>
      <c r="I89" s="31"/>
      <c r="J89" s="31"/>
    </row>
    <row r="90" customFormat="false" ht="12.75" hidden="false" customHeight="true" outlineLevel="0" collapsed="false">
      <c r="A90" s="19" t="s">
        <v>438</v>
      </c>
      <c r="B90" s="21" t="s">
        <v>418</v>
      </c>
      <c r="C90" s="21"/>
      <c r="D90" s="21"/>
      <c r="E90" s="21"/>
      <c r="F90" s="21"/>
      <c r="G90" s="21"/>
      <c r="H90" s="110" t="n">
        <f aca="false">IF('DI, Tri e Pag'!$H$12:$J$12='DI, Tri e Pag'!$L$12,-('DI, Tri e Pag'!$H$23+'DI, Tri e Pag'!$H$24)*SUM(J73:J83),0)</f>
        <v>0</v>
      </c>
      <c r="I90" s="110"/>
      <c r="J90" s="110"/>
    </row>
    <row r="91" customFormat="false" ht="41.25" hidden="false" customHeight="true" outlineLevel="0" collapsed="false">
      <c r="A91" s="30" t="s">
        <v>419</v>
      </c>
      <c r="B91" s="31" t="str">
        <f aca="false">B69</f>
        <v>Calculado apenas quando o regime de incidência da contribuição para o PIS/COFINS for não cumulativo. Neste regime é permitido o desconto de créditos apurados com base em custos, despesas e encargos sociais. Fundamentação: Lei 10637/2002 e Lei 10.833/2003</v>
      </c>
      <c r="C91" s="31"/>
      <c r="D91" s="31"/>
      <c r="E91" s="31"/>
      <c r="F91" s="31"/>
      <c r="G91" s="31"/>
      <c r="H91" s="31"/>
      <c r="I91" s="31"/>
      <c r="J91" s="31"/>
    </row>
    <row r="92" customFormat="false" ht="12.75" hidden="false" customHeight="false" outlineLevel="0" collapsed="false">
      <c r="A92" s="16" t="str">
        <f aca="false">"Total do Submódulo"&amp;A72</f>
        <v>Total do Submódulo3.2</v>
      </c>
      <c r="B92" s="16"/>
      <c r="C92" s="16"/>
      <c r="D92" s="16"/>
      <c r="E92" s="16"/>
      <c r="F92" s="16"/>
      <c r="G92" s="16"/>
      <c r="H92" s="112" t="n">
        <f aca="false">SUM(J73:J80,H90)</f>
        <v>0</v>
      </c>
      <c r="I92" s="112"/>
      <c r="J92" s="112"/>
    </row>
    <row r="93" customFormat="false" ht="12.75" hidden="false" customHeight="false" outlineLevel="0" collapsed="false">
      <c r="A93" s="141"/>
      <c r="B93" s="142"/>
      <c r="C93" s="141"/>
      <c r="D93" s="141"/>
      <c r="E93" s="141"/>
      <c r="F93" s="141"/>
      <c r="G93" s="141"/>
      <c r="H93" s="143"/>
      <c r="I93" s="144"/>
      <c r="J93" s="144"/>
    </row>
    <row r="94" customFormat="false" ht="15" hidden="false" customHeight="true" outlineLevel="0" collapsed="false">
      <c r="A94" s="103" t="s">
        <v>447</v>
      </c>
      <c r="B94" s="104" t="s">
        <v>448</v>
      </c>
      <c r="C94" s="104"/>
      <c r="D94" s="104"/>
      <c r="E94" s="104"/>
      <c r="F94" s="104"/>
      <c r="G94" s="104"/>
      <c r="H94" s="104"/>
      <c r="I94" s="104"/>
      <c r="J94" s="104"/>
    </row>
    <row r="95" customFormat="false" ht="12.75" hidden="false" customHeight="true" outlineLevel="0" collapsed="false">
      <c r="A95" s="16" t="s">
        <v>449</v>
      </c>
      <c r="B95" s="105" t="s">
        <v>450</v>
      </c>
      <c r="C95" s="105"/>
      <c r="D95" s="105"/>
      <c r="E95" s="105"/>
      <c r="F95" s="105"/>
      <c r="G95" s="105"/>
      <c r="H95" s="122" t="s">
        <v>75</v>
      </c>
      <c r="I95" s="106" t="s">
        <v>399</v>
      </c>
      <c r="J95" s="106"/>
    </row>
    <row r="96" customFormat="false" ht="12.75" hidden="false" customHeight="true" outlineLevel="0" collapsed="false">
      <c r="A96" s="19" t="s">
        <v>400</v>
      </c>
      <c r="B96" s="21" t="s">
        <v>451</v>
      </c>
      <c r="C96" s="21"/>
      <c r="D96" s="21"/>
      <c r="E96" s="21"/>
      <c r="F96" s="21"/>
      <c r="G96" s="21"/>
      <c r="H96" s="123" t="n">
        <v>0.2</v>
      </c>
      <c r="I96" s="124" t="n">
        <f aca="false">H96*$H$39</f>
        <v>272.88</v>
      </c>
      <c r="J96" s="124"/>
    </row>
    <row r="97" customFormat="false" ht="12.75" hidden="false" customHeight="true" outlineLevel="0" collapsed="false">
      <c r="A97" s="30" t="s">
        <v>108</v>
      </c>
      <c r="B97" s="31" t="s">
        <v>452</v>
      </c>
      <c r="C97" s="31"/>
      <c r="D97" s="31"/>
      <c r="E97" s="31"/>
      <c r="F97" s="31"/>
      <c r="G97" s="31"/>
      <c r="H97" s="31"/>
      <c r="I97" s="31"/>
      <c r="J97" s="31"/>
    </row>
    <row r="98" customFormat="false" ht="12.75" hidden="false" customHeight="true" outlineLevel="0" collapsed="false">
      <c r="A98" s="19" t="s">
        <v>403</v>
      </c>
      <c r="B98" s="21" t="s">
        <v>453</v>
      </c>
      <c r="C98" s="21"/>
      <c r="D98" s="21"/>
      <c r="E98" s="21"/>
      <c r="F98" s="21"/>
      <c r="G98" s="21"/>
      <c r="H98" s="123" t="n">
        <f aca="false">IF('DI, Tri e Pag'!$H$14:$J$14='DI, Tri e Pag'!$L$14,0.015,0)</f>
        <v>0.015</v>
      </c>
      <c r="I98" s="124" t="n">
        <f aca="false">H98*$H$39</f>
        <v>20.466</v>
      </c>
      <c r="J98" s="124"/>
    </row>
    <row r="99" customFormat="false" ht="12.75" hidden="false" customHeight="true" outlineLevel="0" collapsed="false">
      <c r="A99" s="30" t="s">
        <v>412</v>
      </c>
      <c r="B99" s="31" t="s">
        <v>454</v>
      </c>
      <c r="C99" s="31"/>
      <c r="D99" s="31"/>
      <c r="E99" s="31"/>
      <c r="F99" s="31"/>
      <c r="G99" s="31"/>
      <c r="H99" s="31"/>
      <c r="I99" s="31"/>
      <c r="J99" s="31"/>
    </row>
    <row r="100" customFormat="false" ht="12.75" hidden="false" customHeight="true" outlineLevel="0" collapsed="false">
      <c r="A100" s="30" t="s">
        <v>414</v>
      </c>
      <c r="B100" s="125" t="s">
        <v>455</v>
      </c>
      <c r="C100" s="125"/>
      <c r="D100" s="125"/>
      <c r="E100" s="125"/>
      <c r="F100" s="125"/>
      <c r="G100" s="125"/>
      <c r="H100" s="125"/>
      <c r="I100" s="125"/>
      <c r="J100" s="125"/>
    </row>
    <row r="101" customFormat="false" ht="12.75" hidden="false" customHeight="true" outlineLevel="0" collapsed="false">
      <c r="A101" s="19" t="s">
        <v>406</v>
      </c>
      <c r="B101" s="21" t="s">
        <v>456</v>
      </c>
      <c r="C101" s="21"/>
      <c r="D101" s="21"/>
      <c r="E101" s="21"/>
      <c r="F101" s="21"/>
      <c r="G101" s="21"/>
      <c r="H101" s="123" t="n">
        <f aca="false">IF('DI, Tri e Pag'!$H$14:$J$14='DI, Tri e Pag'!$L$14,0.01,0)</f>
        <v>0.01</v>
      </c>
      <c r="I101" s="124" t="n">
        <f aca="false">H101*$H$39</f>
        <v>13.644</v>
      </c>
      <c r="J101" s="124"/>
    </row>
    <row r="102" customFormat="false" ht="12.75" hidden="false" customHeight="true" outlineLevel="0" collapsed="false">
      <c r="A102" s="30" t="s">
        <v>412</v>
      </c>
      <c r="B102" s="31" t="s">
        <v>457</v>
      </c>
      <c r="C102" s="31"/>
      <c r="D102" s="31"/>
      <c r="E102" s="31"/>
      <c r="F102" s="31"/>
      <c r="G102" s="31"/>
      <c r="H102" s="31"/>
      <c r="I102" s="31"/>
      <c r="J102" s="31"/>
    </row>
    <row r="103" customFormat="false" ht="12.75" hidden="false" customHeight="true" outlineLevel="0" collapsed="false">
      <c r="A103" s="30" t="s">
        <v>414</v>
      </c>
      <c r="B103" s="125" t="s">
        <v>455</v>
      </c>
      <c r="C103" s="125"/>
      <c r="D103" s="125"/>
      <c r="E103" s="125"/>
      <c r="F103" s="125"/>
      <c r="G103" s="125"/>
      <c r="H103" s="125"/>
      <c r="I103" s="125"/>
      <c r="J103" s="125"/>
    </row>
    <row r="104" customFormat="false" ht="12.75" hidden="false" customHeight="true" outlineLevel="0" collapsed="false">
      <c r="A104" s="19" t="s">
        <v>430</v>
      </c>
      <c r="B104" s="21" t="s">
        <v>458</v>
      </c>
      <c r="C104" s="21"/>
      <c r="D104" s="21"/>
      <c r="E104" s="21"/>
      <c r="F104" s="21"/>
      <c r="G104" s="21"/>
      <c r="H104" s="123" t="n">
        <f aca="false">IF('DI, Tri e Pag'!$H$14:$J$14='DI, Tri e Pag'!$L$14,0.002,0)</f>
        <v>0.002</v>
      </c>
      <c r="I104" s="124" t="n">
        <f aca="false">H104*$H$39</f>
        <v>2.7288</v>
      </c>
      <c r="J104" s="124"/>
    </row>
    <row r="105" customFormat="false" ht="12.75" hidden="false" customHeight="true" outlineLevel="0" collapsed="false">
      <c r="A105" s="30" t="s">
        <v>412</v>
      </c>
      <c r="B105" s="31" t="s">
        <v>459</v>
      </c>
      <c r="C105" s="31"/>
      <c r="D105" s="31"/>
      <c r="E105" s="31"/>
      <c r="F105" s="31"/>
      <c r="G105" s="31"/>
      <c r="H105" s="31"/>
      <c r="I105" s="31"/>
      <c r="J105" s="31"/>
    </row>
    <row r="106" customFormat="false" ht="12.75" hidden="false" customHeight="true" outlineLevel="0" collapsed="false">
      <c r="A106" s="30" t="s">
        <v>414</v>
      </c>
      <c r="B106" s="125" t="s">
        <v>455</v>
      </c>
      <c r="C106" s="125"/>
      <c r="D106" s="125"/>
      <c r="E106" s="125"/>
      <c r="F106" s="125"/>
      <c r="G106" s="125"/>
      <c r="H106" s="125"/>
      <c r="I106" s="125"/>
      <c r="J106" s="125"/>
    </row>
    <row r="107" customFormat="false" ht="12.75" hidden="false" customHeight="true" outlineLevel="0" collapsed="false">
      <c r="A107" s="19" t="s">
        <v>432</v>
      </c>
      <c r="B107" s="21" t="s">
        <v>460</v>
      </c>
      <c r="C107" s="21"/>
      <c r="D107" s="21"/>
      <c r="E107" s="21"/>
      <c r="F107" s="21"/>
      <c r="G107" s="21"/>
      <c r="H107" s="123" t="n">
        <f aca="false">IF('DI, Tri e Pag'!$H$14:$J$14='DI, Tri e Pag'!$L$14,0.025,0)</f>
        <v>0.025</v>
      </c>
      <c r="I107" s="124" t="n">
        <f aca="false">H107*$H$39</f>
        <v>34.11</v>
      </c>
      <c r="J107" s="124"/>
    </row>
    <row r="108" customFormat="false" ht="31.5" hidden="false" customHeight="true" outlineLevel="0" collapsed="false">
      <c r="A108" s="30" t="s">
        <v>412</v>
      </c>
      <c r="B108" s="31" t="s">
        <v>461</v>
      </c>
      <c r="C108" s="31"/>
      <c r="D108" s="31"/>
      <c r="E108" s="31"/>
      <c r="F108" s="31"/>
      <c r="G108" s="31"/>
      <c r="H108" s="31"/>
      <c r="I108" s="31"/>
      <c r="J108" s="31"/>
    </row>
    <row r="109" customFormat="false" ht="12.75" hidden="false" customHeight="true" outlineLevel="0" collapsed="false">
      <c r="A109" s="30" t="s">
        <v>414</v>
      </c>
      <c r="B109" s="125" t="s">
        <v>455</v>
      </c>
      <c r="C109" s="125"/>
      <c r="D109" s="125"/>
      <c r="E109" s="125"/>
      <c r="F109" s="125"/>
      <c r="G109" s="125"/>
      <c r="H109" s="125"/>
      <c r="I109" s="125"/>
      <c r="J109" s="125"/>
    </row>
    <row r="110" customFormat="false" ht="12.75" hidden="false" customHeight="true" outlineLevel="0" collapsed="false">
      <c r="A110" s="19" t="s">
        <v>434</v>
      </c>
      <c r="B110" s="21" t="s">
        <v>462</v>
      </c>
      <c r="C110" s="21"/>
      <c r="D110" s="21"/>
      <c r="E110" s="21"/>
      <c r="F110" s="21"/>
      <c r="G110" s="21"/>
      <c r="H110" s="123" t="n">
        <v>0.08</v>
      </c>
      <c r="I110" s="124" t="n">
        <f aca="false">H110*$H$39</f>
        <v>109.152</v>
      </c>
      <c r="J110" s="124"/>
    </row>
    <row r="111" customFormat="false" ht="55.5" hidden="false" customHeight="true" outlineLevel="0" collapsed="false">
      <c r="A111" s="30" t="s">
        <v>108</v>
      </c>
      <c r="B111" s="31" t="s">
        <v>463</v>
      </c>
      <c r="C111" s="31"/>
      <c r="D111" s="31"/>
      <c r="E111" s="31"/>
      <c r="F111" s="31"/>
      <c r="G111" s="31"/>
      <c r="H111" s="31"/>
      <c r="I111" s="31"/>
      <c r="J111" s="31"/>
    </row>
    <row r="112" customFormat="false" ht="12.75" hidden="false" customHeight="true" outlineLevel="0" collapsed="false">
      <c r="A112" s="19" t="s">
        <v>438</v>
      </c>
      <c r="B112" s="21" t="s">
        <v>464</v>
      </c>
      <c r="C112" s="21"/>
      <c r="D112" s="21"/>
      <c r="E112" s="21"/>
      <c r="F112" s="21"/>
      <c r="G112" s="21"/>
      <c r="H112" s="126" t="n">
        <v>0.03</v>
      </c>
      <c r="I112" s="124" t="n">
        <f aca="false">H112*$H$39</f>
        <v>40.932</v>
      </c>
      <c r="J112" s="124"/>
    </row>
    <row r="113" customFormat="false" ht="33" hidden="false" customHeight="true" outlineLevel="0" collapsed="false">
      <c r="A113" s="108" t="s">
        <v>108</v>
      </c>
      <c r="B113" s="109" t="s">
        <v>465</v>
      </c>
      <c r="C113" s="109"/>
      <c r="D113" s="109"/>
      <c r="E113" s="109"/>
      <c r="F113" s="109"/>
      <c r="G113" s="109"/>
      <c r="H113" s="109"/>
      <c r="I113" s="109"/>
      <c r="J113" s="109"/>
    </row>
    <row r="114" customFormat="false" ht="12.75" hidden="false" customHeight="true" outlineLevel="0" collapsed="false">
      <c r="A114" s="108" t="s">
        <v>364</v>
      </c>
      <c r="B114" s="109" t="s">
        <v>466</v>
      </c>
      <c r="C114" s="109"/>
      <c r="D114" s="109"/>
      <c r="E114" s="109"/>
      <c r="F114" s="109"/>
      <c r="G114" s="109"/>
      <c r="H114" s="109"/>
      <c r="I114" s="109"/>
      <c r="J114" s="109"/>
    </row>
    <row r="115" customFormat="false" ht="12.75" hidden="false" customHeight="true" outlineLevel="0" collapsed="false">
      <c r="A115" s="19" t="s">
        <v>467</v>
      </c>
      <c r="B115" s="21" t="s">
        <v>468</v>
      </c>
      <c r="C115" s="21"/>
      <c r="D115" s="21"/>
      <c r="E115" s="21"/>
      <c r="F115" s="21"/>
      <c r="G115" s="21"/>
      <c r="H115" s="123" t="n">
        <f aca="false">IF('DI, Tri e Pag'!$H$14:$J$14='DI, Tri e Pag'!$L$14,0.006,0)</f>
        <v>0.006</v>
      </c>
      <c r="I115" s="124" t="n">
        <f aca="false">H115*$H$39</f>
        <v>8.1864</v>
      </c>
      <c r="J115" s="124"/>
    </row>
    <row r="116" customFormat="false" ht="12.75" hidden="false" customHeight="true" outlineLevel="0" collapsed="false">
      <c r="A116" s="30" t="s">
        <v>108</v>
      </c>
      <c r="B116" s="31" t="s">
        <v>469</v>
      </c>
      <c r="C116" s="31"/>
      <c r="D116" s="31"/>
      <c r="E116" s="31"/>
      <c r="F116" s="31"/>
      <c r="G116" s="31"/>
      <c r="H116" s="31"/>
      <c r="I116" s="31"/>
      <c r="J116" s="31"/>
    </row>
    <row r="117" customFormat="false" ht="12.75" hidden="false" customHeight="true" outlineLevel="0" collapsed="false">
      <c r="A117" s="30" t="s">
        <v>414</v>
      </c>
      <c r="B117" s="125" t="s">
        <v>455</v>
      </c>
      <c r="C117" s="125"/>
      <c r="D117" s="125"/>
      <c r="E117" s="125"/>
      <c r="F117" s="125"/>
      <c r="G117" s="125"/>
      <c r="H117" s="125"/>
      <c r="I117" s="125"/>
      <c r="J117" s="125"/>
    </row>
    <row r="118" customFormat="false" ht="12.75" hidden="false" customHeight="false" outlineLevel="0" collapsed="false">
      <c r="A118" s="16" t="str">
        <f aca="false">"Total do Sobmódulo "&amp;A95</f>
        <v>Total do Sobmódulo 4.1</v>
      </c>
      <c r="B118" s="16"/>
      <c r="C118" s="16"/>
      <c r="D118" s="16"/>
      <c r="E118" s="16"/>
      <c r="F118" s="16"/>
      <c r="G118" s="16"/>
      <c r="H118" s="127" t="n">
        <f aca="false">SUM(H96,H98,H101,H104,H107,H110,H112,H115)</f>
        <v>0.368</v>
      </c>
      <c r="I118" s="128" t="n">
        <f aca="false">SUM(I96,I98,I101,I104,I107,I110,I112,I115)</f>
        <v>502.0992</v>
      </c>
      <c r="J118" s="128"/>
      <c r="K118" s="129"/>
    </row>
    <row r="120" customFormat="false" ht="12.75" hidden="false" customHeight="true" outlineLevel="0" collapsed="false">
      <c r="A120" s="16" t="s">
        <v>470</v>
      </c>
      <c r="B120" s="105" t="s">
        <v>471</v>
      </c>
      <c r="C120" s="105"/>
      <c r="D120" s="105"/>
      <c r="E120" s="105"/>
      <c r="F120" s="105"/>
      <c r="G120" s="105"/>
      <c r="H120" s="122" t="s">
        <v>75</v>
      </c>
      <c r="I120" s="106" t="s">
        <v>399</v>
      </c>
      <c r="J120" s="106"/>
    </row>
    <row r="121" customFormat="false" ht="12.75" hidden="false" customHeight="true" outlineLevel="0" collapsed="false">
      <c r="A121" s="19" t="s">
        <v>400</v>
      </c>
      <c r="B121" s="21" t="s">
        <v>471</v>
      </c>
      <c r="C121" s="21"/>
      <c r="D121" s="21"/>
      <c r="E121" s="21"/>
      <c r="F121" s="21"/>
      <c r="G121" s="21"/>
      <c r="H121" s="123" t="n">
        <f aca="false">1/12</f>
        <v>0.0833333333333333</v>
      </c>
      <c r="I121" s="130" t="n">
        <f aca="false">$H$39*H121</f>
        <v>113.7</v>
      </c>
      <c r="J121" s="130"/>
    </row>
    <row r="122" customFormat="false" ht="27" hidden="false" customHeight="true" outlineLevel="0" collapsed="false">
      <c r="A122" s="30" t="s">
        <v>108</v>
      </c>
      <c r="B122" s="31" t="s">
        <v>472</v>
      </c>
      <c r="C122" s="31"/>
      <c r="D122" s="31"/>
      <c r="E122" s="31"/>
      <c r="F122" s="31"/>
      <c r="G122" s="31"/>
      <c r="H122" s="31"/>
      <c r="I122" s="31"/>
      <c r="J122" s="31"/>
    </row>
    <row r="123" customFormat="false" ht="12.75" hidden="false" customHeight="true" outlineLevel="0" collapsed="false">
      <c r="A123" s="30" t="s">
        <v>364</v>
      </c>
      <c r="B123" s="31" t="s">
        <v>473</v>
      </c>
      <c r="C123" s="31"/>
      <c r="D123" s="31"/>
      <c r="E123" s="31"/>
      <c r="F123" s="31"/>
      <c r="G123" s="31"/>
      <c r="H123" s="31"/>
      <c r="I123" s="31"/>
      <c r="J123" s="31"/>
    </row>
    <row r="124" customFormat="false" ht="12.75" hidden="false" customHeight="false" outlineLevel="0" collapsed="false">
      <c r="A124" s="19" t="s">
        <v>403</v>
      </c>
      <c r="B124" s="21" t="str">
        <f aca="false">"Incidência do Submódulo "&amp;$A$95&amp;" sobre "&amp;B120</f>
        <v>Incidência do Submódulo 4.1 sobre 13º Salário</v>
      </c>
      <c r="C124" s="21"/>
      <c r="D124" s="21"/>
      <c r="E124" s="21"/>
      <c r="F124" s="21"/>
      <c r="G124" s="21"/>
      <c r="H124" s="123" t="n">
        <f aca="false">$H$118</f>
        <v>0.368</v>
      </c>
      <c r="I124" s="130" t="n">
        <f aca="false">I121*H124</f>
        <v>41.8416</v>
      </c>
      <c r="J124" s="130"/>
      <c r="L124" s="131"/>
    </row>
    <row r="125" customFormat="false" ht="12.75" hidden="false" customHeight="false" outlineLevel="0" collapsed="false">
      <c r="A125" s="30" t="s">
        <v>108</v>
      </c>
      <c r="B125" s="31" t="str">
        <f aca="false">"Aplicar percentual do submódulo "&amp;$A$95&amp;" sobre o "&amp;B120</f>
        <v>Aplicar percentual do submódulo 4.1 sobre o 13º Salário</v>
      </c>
      <c r="C125" s="31"/>
      <c r="D125" s="31"/>
      <c r="E125" s="31"/>
      <c r="F125" s="31"/>
      <c r="G125" s="31"/>
      <c r="H125" s="31"/>
      <c r="I125" s="31"/>
      <c r="J125" s="31"/>
    </row>
    <row r="126" customFormat="false" ht="12.75" hidden="false" customHeight="false" outlineLevel="0" collapsed="false">
      <c r="A126" s="16" t="str">
        <f aca="false">"Total do Sobmódulo "&amp;A120</f>
        <v>Total do Sobmódulo 4.2</v>
      </c>
      <c r="B126" s="16"/>
      <c r="C126" s="16"/>
      <c r="D126" s="16"/>
      <c r="E126" s="16"/>
      <c r="F126" s="16"/>
      <c r="G126" s="16"/>
      <c r="H126" s="127" t="n">
        <f aca="false">H121+H121*H124</f>
        <v>0.114</v>
      </c>
      <c r="I126" s="128" t="n">
        <f aca="false">SUM(I121+I124)</f>
        <v>155.5416</v>
      </c>
      <c r="J126" s="128"/>
      <c r="K126" s="129"/>
    </row>
    <row r="128" customFormat="false" ht="12.75" hidden="false" customHeight="true" outlineLevel="0" collapsed="false">
      <c r="A128" s="16" t="s">
        <v>474</v>
      </c>
      <c r="B128" s="105" t="s">
        <v>475</v>
      </c>
      <c r="C128" s="105"/>
      <c r="D128" s="105"/>
      <c r="E128" s="105"/>
      <c r="F128" s="105"/>
      <c r="G128" s="105"/>
      <c r="H128" s="122" t="s">
        <v>75</v>
      </c>
      <c r="I128" s="106" t="s">
        <v>399</v>
      </c>
      <c r="J128" s="106"/>
    </row>
    <row r="129" customFormat="false" ht="12.75" hidden="false" customHeight="false" outlineLevel="0" collapsed="false">
      <c r="A129" s="19" t="s">
        <v>400</v>
      </c>
      <c r="B129" s="21" t="str">
        <f aca="false">B128</f>
        <v>Afastamento Maternidade</v>
      </c>
      <c r="C129" s="21"/>
      <c r="D129" s="21"/>
      <c r="E129" s="21"/>
      <c r="F129" s="21"/>
      <c r="G129" s="21"/>
      <c r="H129" s="126" t="n">
        <f aca="false">(1+(1/3))*(4/12)*0.4445*0.0731/12</f>
        <v>0.00120344259259259</v>
      </c>
      <c r="I129" s="130" t="n">
        <f aca="false">$H$39*H129</f>
        <v>1.64197707333333</v>
      </c>
      <c r="J129" s="130"/>
    </row>
    <row r="130" customFormat="false" ht="91.5" hidden="false" customHeight="true" outlineLevel="0" collapsed="false">
      <c r="A130" s="108" t="s">
        <v>476</v>
      </c>
      <c r="B130" s="109" t="s">
        <v>477</v>
      </c>
      <c r="C130" s="109"/>
      <c r="D130" s="109"/>
      <c r="E130" s="109"/>
      <c r="F130" s="109"/>
      <c r="G130" s="109"/>
      <c r="H130" s="109"/>
      <c r="I130" s="109"/>
      <c r="J130" s="109"/>
    </row>
    <row r="131" customFormat="false" ht="76.5" hidden="false" customHeight="true" outlineLevel="0" collapsed="false">
      <c r="A131" s="108" t="s">
        <v>478</v>
      </c>
      <c r="B131" s="109" t="s">
        <v>479</v>
      </c>
      <c r="C131" s="109"/>
      <c r="D131" s="109"/>
      <c r="E131" s="109"/>
      <c r="F131" s="109"/>
      <c r="G131" s="109"/>
      <c r="H131" s="109"/>
      <c r="I131" s="109"/>
      <c r="J131" s="109"/>
    </row>
    <row r="132" customFormat="false" ht="31.5" hidden="false" customHeight="true" outlineLevel="0" collapsed="false">
      <c r="A132" s="108" t="s">
        <v>364</v>
      </c>
      <c r="B132" s="109" t="s">
        <v>480</v>
      </c>
      <c r="C132" s="109"/>
      <c r="D132" s="109"/>
      <c r="E132" s="109"/>
      <c r="F132" s="109"/>
      <c r="G132" s="109"/>
      <c r="H132" s="109"/>
      <c r="I132" s="109"/>
      <c r="J132" s="109"/>
    </row>
    <row r="133" customFormat="false" ht="12.75" hidden="false" customHeight="false" outlineLevel="0" collapsed="false">
      <c r="A133" s="19" t="s">
        <v>403</v>
      </c>
      <c r="B133" s="21" t="str">
        <f aca="false">"Incidência do Submódulo "&amp;$A$95&amp;" sobre "&amp;B128</f>
        <v>Incidência do Submódulo 4.1 sobre Afastamento Maternidade</v>
      </c>
      <c r="C133" s="21"/>
      <c r="D133" s="21"/>
      <c r="E133" s="21"/>
      <c r="F133" s="21"/>
      <c r="G133" s="21"/>
      <c r="H133" s="123" t="n">
        <f aca="false">$H$118</f>
        <v>0.368</v>
      </c>
      <c r="I133" s="130" t="n">
        <f aca="false">I129*H133</f>
        <v>0.604247562986667</v>
      </c>
      <c r="J133" s="130"/>
      <c r="L133" s="131"/>
    </row>
    <row r="134" customFormat="false" ht="12.75" hidden="false" customHeight="false" outlineLevel="0" collapsed="false">
      <c r="A134" s="30" t="s">
        <v>108</v>
      </c>
      <c r="B134" s="31" t="str">
        <f aca="false">"Aplicar percentual do submódulo "&amp;$A$95&amp;" sobre o "&amp;B128</f>
        <v>Aplicar percentual do submódulo 4.1 sobre o Afastamento Maternidade</v>
      </c>
      <c r="C134" s="31"/>
      <c r="D134" s="31"/>
      <c r="E134" s="31"/>
      <c r="F134" s="31"/>
      <c r="G134" s="31"/>
      <c r="H134" s="31"/>
      <c r="I134" s="31"/>
      <c r="J134" s="31"/>
    </row>
    <row r="135" customFormat="false" ht="12.75" hidden="false" customHeight="false" outlineLevel="0" collapsed="false">
      <c r="A135" s="16" t="str">
        <f aca="false">"Total do Sobmódulo "&amp;A128</f>
        <v>Total do Sobmódulo 4.3</v>
      </c>
      <c r="B135" s="16"/>
      <c r="C135" s="16"/>
      <c r="D135" s="16"/>
      <c r="E135" s="16"/>
      <c r="F135" s="16"/>
      <c r="G135" s="16"/>
      <c r="H135" s="127" t="n">
        <f aca="false">H129+H129*H133</f>
        <v>0.00164630946666667</v>
      </c>
      <c r="I135" s="128" t="n">
        <f aca="false">SUM(I129+I133)</f>
        <v>2.24622463632</v>
      </c>
      <c r="J135" s="128"/>
      <c r="K135" s="129"/>
    </row>
    <row r="137" customFormat="false" ht="12.75" hidden="false" customHeight="true" outlineLevel="0" collapsed="false">
      <c r="A137" s="16" t="s">
        <v>481</v>
      </c>
      <c r="B137" s="105" t="s">
        <v>482</v>
      </c>
      <c r="C137" s="105"/>
      <c r="D137" s="105"/>
      <c r="E137" s="105"/>
      <c r="F137" s="105"/>
      <c r="G137" s="105"/>
      <c r="H137" s="122" t="s">
        <v>75</v>
      </c>
      <c r="I137" s="106" t="s">
        <v>399</v>
      </c>
      <c r="J137" s="106"/>
    </row>
    <row r="138" customFormat="false" ht="12.75" hidden="false" customHeight="true" outlineLevel="0" collapsed="false">
      <c r="A138" s="19" t="s">
        <v>400</v>
      </c>
      <c r="B138" s="21" t="s">
        <v>483</v>
      </c>
      <c r="C138" s="21"/>
      <c r="D138" s="21"/>
      <c r="E138" s="21"/>
      <c r="F138" s="21"/>
      <c r="G138" s="21"/>
      <c r="H138" s="126" t="n">
        <f aca="false">(1/12)*0.55*0.9</f>
        <v>0.04125</v>
      </c>
      <c r="I138" s="130" t="n">
        <f aca="false">$H$39*H138</f>
        <v>56.2815</v>
      </c>
      <c r="J138" s="130"/>
      <c r="K138" s="113"/>
    </row>
    <row r="139" customFormat="false" ht="39.75" hidden="false" customHeight="true" outlineLevel="0" collapsed="false">
      <c r="A139" s="108" t="s">
        <v>412</v>
      </c>
      <c r="B139" s="109" t="s">
        <v>484</v>
      </c>
      <c r="C139" s="109"/>
      <c r="D139" s="109"/>
      <c r="E139" s="109"/>
      <c r="F139" s="109"/>
      <c r="G139" s="109"/>
      <c r="H139" s="109"/>
      <c r="I139" s="109"/>
      <c r="J139" s="109"/>
    </row>
    <row r="140" customFormat="false" ht="40.5" hidden="false" customHeight="true" outlineLevel="0" collapsed="false">
      <c r="A140" s="108" t="s">
        <v>414</v>
      </c>
      <c r="B140" s="109" t="s">
        <v>485</v>
      </c>
      <c r="C140" s="109"/>
      <c r="D140" s="109"/>
      <c r="E140" s="109"/>
      <c r="F140" s="109"/>
      <c r="G140" s="109"/>
      <c r="H140" s="109"/>
      <c r="I140" s="109"/>
      <c r="J140" s="109"/>
    </row>
    <row r="141" customFormat="false" ht="12.75" hidden="false" customHeight="true" outlineLevel="0" collapsed="false">
      <c r="A141" s="108" t="s">
        <v>486</v>
      </c>
      <c r="B141" s="109" t="s">
        <v>487</v>
      </c>
      <c r="C141" s="109"/>
      <c r="D141" s="109"/>
      <c r="E141" s="109"/>
      <c r="F141" s="109"/>
      <c r="G141" s="109"/>
      <c r="H141" s="109"/>
      <c r="I141" s="109"/>
      <c r="J141" s="109"/>
    </row>
    <row r="142" customFormat="false" ht="32.25" hidden="false" customHeight="true" outlineLevel="0" collapsed="false">
      <c r="A142" s="108" t="s">
        <v>364</v>
      </c>
      <c r="B142" s="109" t="s">
        <v>488</v>
      </c>
      <c r="C142" s="109"/>
      <c r="D142" s="109"/>
      <c r="E142" s="109"/>
      <c r="F142" s="109"/>
      <c r="G142" s="109"/>
      <c r="H142" s="109"/>
      <c r="I142" s="109"/>
      <c r="J142" s="109"/>
    </row>
    <row r="143" customFormat="false" ht="12.75" hidden="false" customHeight="false" outlineLevel="0" collapsed="false">
      <c r="A143" s="19" t="s">
        <v>403</v>
      </c>
      <c r="B143" s="21" t="str">
        <f aca="false">"Incidência do FGTS sobre o "&amp;B138</f>
        <v>Incidência do FGTS sobre o Aviso prévio indenizado</v>
      </c>
      <c r="C143" s="21"/>
      <c r="D143" s="21"/>
      <c r="E143" s="21"/>
      <c r="F143" s="21"/>
      <c r="G143" s="21"/>
      <c r="H143" s="123" t="n">
        <f aca="false">H110</f>
        <v>0.08</v>
      </c>
      <c r="I143" s="130" t="n">
        <f aca="false">I138*H143</f>
        <v>4.50252</v>
      </c>
      <c r="J143" s="130"/>
      <c r="K143" s="113"/>
    </row>
    <row r="144" customFormat="false" ht="12.75" hidden="false" customHeight="false" outlineLevel="0" collapsed="false">
      <c r="A144" s="30" t="s">
        <v>108</v>
      </c>
      <c r="B144" s="31" t="str">
        <f aca="false">"Aplicar percentual do FGTS sobre o "&amp;B138</f>
        <v>Aplicar percentual do FGTS sobre o Aviso prévio indenizado</v>
      </c>
      <c r="C144" s="31"/>
      <c r="D144" s="31"/>
      <c r="E144" s="31"/>
      <c r="F144" s="31"/>
      <c r="G144" s="31"/>
      <c r="H144" s="31"/>
      <c r="I144" s="31"/>
      <c r="J144" s="31"/>
    </row>
    <row r="145" customFormat="false" ht="12.75" hidden="false" customHeight="true" outlineLevel="0" collapsed="false">
      <c r="A145" s="19" t="s">
        <v>406</v>
      </c>
      <c r="B145" s="21" t="s">
        <v>489</v>
      </c>
      <c r="C145" s="21"/>
      <c r="D145" s="21"/>
      <c r="E145" s="21"/>
      <c r="F145" s="21"/>
      <c r="G145" s="21"/>
      <c r="H145" s="126" t="n">
        <f aca="false">0.4*$H$110*0.55*0.9+0.1*$H$110*0.55*0.9</f>
        <v>0.0198</v>
      </c>
      <c r="I145" s="130" t="n">
        <f aca="false">H145*$H$39</f>
        <v>27.01512</v>
      </c>
      <c r="J145" s="130"/>
      <c r="K145" s="113"/>
    </row>
    <row r="146" customFormat="false" ht="28.5" hidden="false" customHeight="true" outlineLevel="0" collapsed="false">
      <c r="A146" s="108" t="s">
        <v>108</v>
      </c>
      <c r="B146" s="109" t="s">
        <v>490</v>
      </c>
      <c r="C146" s="109"/>
      <c r="D146" s="109"/>
      <c r="E146" s="109"/>
      <c r="F146" s="109"/>
      <c r="G146" s="109"/>
      <c r="H146" s="109"/>
      <c r="I146" s="109"/>
      <c r="J146" s="109"/>
      <c r="K146" s="113"/>
    </row>
    <row r="147" customFormat="false" ht="63" hidden="false" customHeight="true" outlineLevel="0" collapsed="false">
      <c r="A147" s="108" t="s">
        <v>364</v>
      </c>
      <c r="B147" s="109" t="s">
        <v>491</v>
      </c>
      <c r="C147" s="109"/>
      <c r="D147" s="109"/>
      <c r="E147" s="109"/>
      <c r="F147" s="109"/>
      <c r="G147" s="109"/>
      <c r="H147" s="109"/>
      <c r="I147" s="109"/>
      <c r="J147" s="109"/>
    </row>
    <row r="148" customFormat="false" ht="12.75" hidden="false" customHeight="true" outlineLevel="0" collapsed="false">
      <c r="A148" s="19" t="s">
        <v>430</v>
      </c>
      <c r="B148" s="21" t="s">
        <v>492</v>
      </c>
      <c r="C148" s="21"/>
      <c r="D148" s="21"/>
      <c r="E148" s="21"/>
      <c r="F148" s="21"/>
      <c r="G148" s="21"/>
      <c r="H148" s="126" t="n">
        <f aca="false">7*0.55*0.1/360</f>
        <v>0.00106944444444444</v>
      </c>
      <c r="I148" s="130" t="n">
        <f aca="false">H148*$H$39</f>
        <v>1.45915</v>
      </c>
      <c r="J148" s="130"/>
      <c r="K148" s="113"/>
    </row>
    <row r="149" customFormat="false" ht="63" hidden="false" customHeight="true" outlineLevel="0" collapsed="false">
      <c r="A149" s="108" t="s">
        <v>108</v>
      </c>
      <c r="B149" s="109" t="s">
        <v>493</v>
      </c>
      <c r="C149" s="109"/>
      <c r="D149" s="109"/>
      <c r="E149" s="109"/>
      <c r="F149" s="109"/>
      <c r="G149" s="109"/>
      <c r="H149" s="109"/>
      <c r="I149" s="109"/>
      <c r="J149" s="109"/>
    </row>
    <row r="150" customFormat="false" ht="32.25" hidden="false" customHeight="true" outlineLevel="0" collapsed="false">
      <c r="A150" s="108" t="s">
        <v>364</v>
      </c>
      <c r="B150" s="109" t="s">
        <v>494</v>
      </c>
      <c r="C150" s="109"/>
      <c r="D150" s="109"/>
      <c r="E150" s="109"/>
      <c r="F150" s="109"/>
      <c r="G150" s="109"/>
      <c r="H150" s="109"/>
      <c r="I150" s="109"/>
      <c r="J150" s="109"/>
    </row>
    <row r="151" customFormat="false" ht="12.75" hidden="false" customHeight="true" outlineLevel="0" collapsed="false">
      <c r="A151" s="19" t="s">
        <v>432</v>
      </c>
      <c r="B151" s="21" t="s">
        <v>495</v>
      </c>
      <c r="C151" s="21"/>
      <c r="D151" s="21"/>
      <c r="E151" s="21"/>
      <c r="F151" s="21"/>
      <c r="G151" s="21"/>
      <c r="H151" s="126" t="n">
        <f aca="false">0.4*$H$110*0.55*0.1+0.1*$H$110*0.55*0.1</f>
        <v>0.0022</v>
      </c>
      <c r="I151" s="130" t="n">
        <f aca="false">H151*$H$39</f>
        <v>3.00168</v>
      </c>
      <c r="J151" s="130"/>
      <c r="K151" s="113"/>
    </row>
    <row r="152" customFormat="false" ht="69.75" hidden="false" customHeight="true" outlineLevel="0" collapsed="false">
      <c r="A152" s="108" t="s">
        <v>364</v>
      </c>
      <c r="B152" s="109" t="s">
        <v>496</v>
      </c>
      <c r="C152" s="109"/>
      <c r="D152" s="109"/>
      <c r="E152" s="109"/>
      <c r="F152" s="109"/>
      <c r="G152" s="109"/>
      <c r="H152" s="109"/>
      <c r="I152" s="109"/>
      <c r="J152" s="109"/>
    </row>
    <row r="153" customFormat="false" ht="12.75" hidden="false" customHeight="false" outlineLevel="0" collapsed="false">
      <c r="A153" s="19" t="s">
        <v>434</v>
      </c>
      <c r="B153" s="21" t="str">
        <f aca="false">"Incidência do Submódulo "&amp;$A$95&amp;" sobre "&amp;B138</f>
        <v>Incidência do Submódulo 4.1 sobre Aviso prévio indenizado</v>
      </c>
      <c r="C153" s="21"/>
      <c r="D153" s="21"/>
      <c r="E153" s="21"/>
      <c r="F153" s="21"/>
      <c r="G153" s="21"/>
      <c r="H153" s="123" t="n">
        <f aca="false">$H$118</f>
        <v>0.368</v>
      </c>
      <c r="I153" s="130" t="n">
        <f aca="false">H153*I138</f>
        <v>20.711592</v>
      </c>
      <c r="J153" s="130"/>
      <c r="L153" s="131"/>
    </row>
    <row r="154" customFormat="false" ht="12.75" hidden="false" customHeight="false" outlineLevel="0" collapsed="false">
      <c r="A154" s="30" t="s">
        <v>108</v>
      </c>
      <c r="B154" s="31" t="str">
        <f aca="false">"Aplicar percentual do submódulo "&amp;$A$95&amp;" sobre o "&amp;B138</f>
        <v>Aplicar percentual do submódulo 4.1 sobre o Aviso prévio indenizado</v>
      </c>
      <c r="C154" s="31"/>
      <c r="D154" s="31"/>
      <c r="E154" s="31"/>
      <c r="F154" s="31"/>
      <c r="G154" s="31"/>
      <c r="H154" s="31"/>
      <c r="I154" s="31"/>
      <c r="J154" s="31"/>
    </row>
    <row r="155" customFormat="false" ht="12.75" hidden="false" customHeight="false" outlineLevel="0" collapsed="false">
      <c r="A155" s="16" t="str">
        <f aca="false">"Total do Sobmódulo "&amp;A137</f>
        <v>Total do Sobmódulo 4.4</v>
      </c>
      <c r="B155" s="16"/>
      <c r="C155" s="16"/>
      <c r="D155" s="16"/>
      <c r="E155" s="16"/>
      <c r="F155" s="16"/>
      <c r="G155" s="16"/>
      <c r="H155" s="127" t="n">
        <f aca="false">H138+H138*H143+H145+H148+H151+H153*H138</f>
        <v>0.0827994444444444</v>
      </c>
      <c r="I155" s="128" t="n">
        <f aca="false">SUM(I138,I143,I145,I148,I151,I153)</f>
        <v>112.971562</v>
      </c>
      <c r="J155" s="128"/>
      <c r="K155" s="129"/>
    </row>
    <row r="157" customFormat="false" ht="12.75" hidden="false" customHeight="true" outlineLevel="0" collapsed="false">
      <c r="A157" s="16" t="s">
        <v>497</v>
      </c>
      <c r="B157" s="105" t="s">
        <v>498</v>
      </c>
      <c r="C157" s="105"/>
      <c r="D157" s="105"/>
      <c r="E157" s="105"/>
      <c r="F157" s="105"/>
      <c r="G157" s="105"/>
      <c r="H157" s="122" t="s">
        <v>75</v>
      </c>
      <c r="I157" s="106" t="s">
        <v>399</v>
      </c>
      <c r="J157" s="106"/>
    </row>
    <row r="158" customFormat="false" ht="12.75" hidden="false" customHeight="true" outlineLevel="0" collapsed="false">
      <c r="A158" s="19" t="s">
        <v>400</v>
      </c>
      <c r="B158" s="21" t="s">
        <v>499</v>
      </c>
      <c r="C158" s="21"/>
      <c r="D158" s="21"/>
      <c r="E158" s="21"/>
      <c r="F158" s="21"/>
      <c r="G158" s="21"/>
      <c r="H158" s="123" t="n">
        <f aca="false">1/12</f>
        <v>0.0833333333333333</v>
      </c>
      <c r="I158" s="130" t="n">
        <f aca="false">H158*$H$39</f>
        <v>113.7</v>
      </c>
      <c r="J158" s="130"/>
      <c r="K158" s="113"/>
    </row>
    <row r="159" customFormat="false" ht="42" hidden="false" customHeight="true" outlineLevel="0" collapsed="false">
      <c r="A159" s="30" t="s">
        <v>108</v>
      </c>
      <c r="B159" s="132" t="s">
        <v>500</v>
      </c>
      <c r="C159" s="132"/>
      <c r="D159" s="132"/>
      <c r="E159" s="132"/>
      <c r="F159" s="132"/>
      <c r="G159" s="132"/>
      <c r="H159" s="132"/>
      <c r="I159" s="132"/>
      <c r="J159" s="132"/>
      <c r="L159" s="131"/>
    </row>
    <row r="160" customFormat="false" ht="12.75" hidden="false" customHeight="true" outlineLevel="0" collapsed="false">
      <c r="A160" s="30" t="s">
        <v>364</v>
      </c>
      <c r="B160" s="31" t="s">
        <v>501</v>
      </c>
      <c r="C160" s="31"/>
      <c r="D160" s="31"/>
      <c r="E160" s="31"/>
      <c r="F160" s="31"/>
      <c r="G160" s="31"/>
      <c r="H160" s="31"/>
      <c r="I160" s="31"/>
      <c r="J160" s="31"/>
      <c r="L160" s="131"/>
      <c r="N160" s="113"/>
      <c r="O160" s="113"/>
      <c r="P160" s="113"/>
    </row>
    <row r="161" customFormat="false" ht="12.75" hidden="false" customHeight="true" outlineLevel="0" collapsed="false">
      <c r="A161" s="19" t="s">
        <v>403</v>
      </c>
      <c r="B161" s="21" t="s">
        <v>502</v>
      </c>
      <c r="C161" s="21"/>
      <c r="D161" s="21"/>
      <c r="E161" s="21"/>
      <c r="F161" s="21"/>
      <c r="G161" s="21"/>
      <c r="H161" s="123" t="n">
        <f aca="false">1/(12*3)</f>
        <v>0.0277777777777778</v>
      </c>
      <c r="I161" s="130" t="n">
        <f aca="false">H161*$H$39</f>
        <v>37.9</v>
      </c>
      <c r="J161" s="130"/>
      <c r="K161" s="113"/>
      <c r="L161" s="131"/>
      <c r="N161" s="113"/>
      <c r="O161" s="113"/>
      <c r="P161" s="113"/>
    </row>
    <row r="162" customFormat="false" ht="27.75" hidden="false" customHeight="true" outlineLevel="0" collapsed="false">
      <c r="A162" s="30" t="s">
        <v>108</v>
      </c>
      <c r="B162" s="132" t="s">
        <v>503</v>
      </c>
      <c r="C162" s="132"/>
      <c r="D162" s="132"/>
      <c r="E162" s="132"/>
      <c r="F162" s="132"/>
      <c r="G162" s="132"/>
      <c r="H162" s="132"/>
      <c r="I162" s="132"/>
      <c r="J162" s="132"/>
      <c r="L162" s="131"/>
      <c r="N162" s="113"/>
      <c r="O162" s="113"/>
      <c r="P162" s="113"/>
    </row>
    <row r="163" customFormat="false" ht="12.75" hidden="false" customHeight="true" outlineLevel="0" collapsed="false">
      <c r="A163" s="30" t="s">
        <v>364</v>
      </c>
      <c r="B163" s="31" t="s">
        <v>504</v>
      </c>
      <c r="C163" s="31"/>
      <c r="D163" s="31"/>
      <c r="E163" s="31"/>
      <c r="F163" s="31"/>
      <c r="G163" s="31"/>
      <c r="H163" s="31"/>
      <c r="I163" s="31"/>
      <c r="J163" s="31"/>
      <c r="L163" s="131"/>
      <c r="N163" s="113"/>
      <c r="O163" s="113"/>
      <c r="P163" s="113"/>
    </row>
    <row r="164" customFormat="false" ht="12.75" hidden="false" customHeight="true" outlineLevel="0" collapsed="false">
      <c r="A164" s="19" t="s">
        <v>406</v>
      </c>
      <c r="B164" s="21" t="s">
        <v>505</v>
      </c>
      <c r="C164" s="21"/>
      <c r="D164" s="21"/>
      <c r="E164" s="21"/>
      <c r="F164" s="21"/>
      <c r="G164" s="21"/>
      <c r="H164" s="126" t="n">
        <f aca="false">5.96/(30*12)</f>
        <v>0.0165555555555556</v>
      </c>
      <c r="I164" s="130" t="n">
        <f aca="false">H164*$H$39</f>
        <v>22.5884</v>
      </c>
      <c r="J164" s="130"/>
      <c r="K164" s="113"/>
      <c r="L164" s="131"/>
      <c r="N164" s="113"/>
      <c r="O164" s="113"/>
      <c r="P164" s="113"/>
      <c r="Q164" s="113"/>
    </row>
    <row r="165" customFormat="false" ht="54" hidden="false" customHeight="true" outlineLevel="0" collapsed="false">
      <c r="A165" s="108" t="s">
        <v>108</v>
      </c>
      <c r="B165" s="133" t="s">
        <v>506</v>
      </c>
      <c r="C165" s="133"/>
      <c r="D165" s="133"/>
      <c r="E165" s="133"/>
      <c r="F165" s="133"/>
      <c r="G165" s="133"/>
      <c r="H165" s="133"/>
      <c r="I165" s="133"/>
      <c r="J165" s="133"/>
      <c r="L165" s="131"/>
      <c r="N165" s="113"/>
      <c r="O165" s="113"/>
      <c r="P165" s="113"/>
      <c r="Q165" s="113"/>
    </row>
    <row r="166" customFormat="false" ht="12.75" hidden="false" customHeight="true" outlineLevel="0" collapsed="false">
      <c r="A166" s="108" t="s">
        <v>364</v>
      </c>
      <c r="B166" s="109" t="s">
        <v>507</v>
      </c>
      <c r="C166" s="109"/>
      <c r="D166" s="109"/>
      <c r="E166" s="109"/>
      <c r="F166" s="109"/>
      <c r="G166" s="109"/>
      <c r="H166" s="109"/>
      <c r="I166" s="109"/>
      <c r="J166" s="109"/>
      <c r="L166" s="131"/>
      <c r="N166" s="113"/>
      <c r="O166" s="113"/>
      <c r="P166" s="113"/>
      <c r="Q166" s="113"/>
    </row>
    <row r="167" customFormat="false" ht="12.75" hidden="false" customHeight="true" outlineLevel="0" collapsed="false">
      <c r="A167" s="19" t="s">
        <v>430</v>
      </c>
      <c r="B167" s="21" t="s">
        <v>508</v>
      </c>
      <c r="C167" s="21"/>
      <c r="D167" s="21"/>
      <c r="E167" s="21"/>
      <c r="F167" s="21"/>
      <c r="G167" s="21"/>
      <c r="H167" s="126" t="n">
        <f aca="false">5*0.0731*0.5555/(30*12)</f>
        <v>0.000563986805555556</v>
      </c>
      <c r="I167" s="130" t="n">
        <f aca="false">H167*$H$39</f>
        <v>0.7695035975</v>
      </c>
      <c r="J167" s="130"/>
      <c r="K167" s="113"/>
      <c r="N167" s="113"/>
      <c r="O167" s="113"/>
      <c r="P167" s="113"/>
    </row>
    <row r="168" customFormat="false" ht="94.5" hidden="false" customHeight="true" outlineLevel="0" collapsed="false">
      <c r="A168" s="108" t="s">
        <v>108</v>
      </c>
      <c r="B168" s="133" t="s">
        <v>509</v>
      </c>
      <c r="C168" s="133"/>
      <c r="D168" s="133"/>
      <c r="E168" s="133"/>
      <c r="F168" s="133"/>
      <c r="G168" s="133"/>
      <c r="H168" s="133"/>
      <c r="I168" s="133"/>
      <c r="J168" s="133"/>
      <c r="M168" s="113"/>
      <c r="N168" s="113"/>
      <c r="O168" s="113"/>
      <c r="P168" s="113"/>
      <c r="Q168" s="113"/>
    </row>
    <row r="169" customFormat="false" ht="12.75" hidden="false" customHeight="true" outlineLevel="0" collapsed="false">
      <c r="A169" s="108" t="s">
        <v>364</v>
      </c>
      <c r="B169" s="109" t="s">
        <v>510</v>
      </c>
      <c r="C169" s="109"/>
      <c r="D169" s="109"/>
      <c r="E169" s="109"/>
      <c r="F169" s="109"/>
      <c r="G169" s="109"/>
      <c r="H169" s="109"/>
      <c r="I169" s="109"/>
      <c r="J169" s="109"/>
      <c r="P169" s="113"/>
    </row>
    <row r="170" customFormat="false" ht="12.75" hidden="false" customHeight="true" outlineLevel="0" collapsed="false">
      <c r="A170" s="19" t="s">
        <v>432</v>
      </c>
      <c r="B170" s="21" t="s">
        <v>511</v>
      </c>
      <c r="C170" s="21"/>
      <c r="D170" s="21"/>
      <c r="E170" s="21"/>
      <c r="F170" s="21"/>
      <c r="G170" s="21"/>
      <c r="H170" s="126" t="n">
        <f aca="false">2.96/(30*12)</f>
        <v>0.00822222222222222</v>
      </c>
      <c r="I170" s="130" t="n">
        <f aca="false">H170*$H$39</f>
        <v>11.2184</v>
      </c>
      <c r="J170" s="130"/>
      <c r="K170" s="113"/>
    </row>
    <row r="171" customFormat="false" ht="93" hidden="false" customHeight="true" outlineLevel="0" collapsed="false">
      <c r="A171" s="108" t="s">
        <v>108</v>
      </c>
      <c r="B171" s="133" t="s">
        <v>512</v>
      </c>
      <c r="C171" s="133"/>
      <c r="D171" s="133"/>
      <c r="E171" s="133"/>
      <c r="F171" s="133"/>
      <c r="G171" s="133"/>
      <c r="H171" s="133"/>
      <c r="I171" s="133"/>
      <c r="J171" s="133"/>
    </row>
    <row r="172" customFormat="false" ht="12.75" hidden="false" customHeight="true" outlineLevel="0" collapsed="false">
      <c r="A172" s="108" t="s">
        <v>364</v>
      </c>
      <c r="B172" s="109" t="s">
        <v>513</v>
      </c>
      <c r="C172" s="109"/>
      <c r="D172" s="109"/>
      <c r="E172" s="109"/>
      <c r="F172" s="109"/>
      <c r="G172" s="109"/>
      <c r="H172" s="109"/>
      <c r="I172" s="109"/>
      <c r="J172" s="109"/>
    </row>
    <row r="173" customFormat="false" ht="12.75" hidden="false" customHeight="true" outlineLevel="0" collapsed="false">
      <c r="A173" s="19" t="s">
        <v>434</v>
      </c>
      <c r="B173" s="21" t="s">
        <v>514</v>
      </c>
      <c r="C173" s="21"/>
      <c r="D173" s="21"/>
      <c r="E173" s="21"/>
      <c r="F173" s="21"/>
      <c r="G173" s="21"/>
      <c r="H173" s="126" t="n">
        <f aca="false">0.91/(30*12)</f>
        <v>0.00252777777777778</v>
      </c>
      <c r="I173" s="130" t="n">
        <f aca="false">H173*$H$39</f>
        <v>3.4489</v>
      </c>
      <c r="J173" s="130"/>
      <c r="K173" s="113"/>
    </row>
    <row r="174" customFormat="false" ht="66" hidden="false" customHeight="true" outlineLevel="0" collapsed="false">
      <c r="A174" s="108" t="s">
        <v>108</v>
      </c>
      <c r="B174" s="133" t="s">
        <v>515</v>
      </c>
      <c r="C174" s="133"/>
      <c r="D174" s="133"/>
      <c r="E174" s="133"/>
      <c r="F174" s="133"/>
      <c r="G174" s="133"/>
      <c r="H174" s="133"/>
      <c r="I174" s="133"/>
      <c r="J174" s="133"/>
    </row>
    <row r="175" customFormat="false" ht="12.75" hidden="false" customHeight="true" outlineLevel="0" collapsed="false">
      <c r="A175" s="108" t="s">
        <v>364</v>
      </c>
      <c r="B175" s="109" t="s">
        <v>516</v>
      </c>
      <c r="C175" s="109"/>
      <c r="D175" s="109"/>
      <c r="E175" s="109"/>
      <c r="F175" s="109"/>
      <c r="G175" s="109"/>
      <c r="H175" s="109"/>
      <c r="I175" s="109"/>
      <c r="J175" s="109"/>
    </row>
    <row r="176" customFormat="false" ht="12.75" hidden="false" customHeight="true" outlineLevel="0" collapsed="false">
      <c r="A176" s="19" t="s">
        <v>438</v>
      </c>
      <c r="B176" s="111" t="s">
        <v>444</v>
      </c>
      <c r="C176" s="111"/>
      <c r="D176" s="111"/>
      <c r="E176" s="111"/>
      <c r="F176" s="111"/>
      <c r="G176" s="111"/>
      <c r="H176" s="126"/>
      <c r="I176" s="130" t="n">
        <f aca="false">H176*$H$39</f>
        <v>0</v>
      </c>
      <c r="J176" s="130"/>
      <c r="K176" s="113"/>
    </row>
    <row r="177" customFormat="false" ht="12.75" hidden="false" customHeight="true" outlineLevel="0" collapsed="false">
      <c r="A177" s="108" t="s">
        <v>108</v>
      </c>
      <c r="B177" s="109" t="s">
        <v>517</v>
      </c>
      <c r="C177" s="109"/>
      <c r="D177" s="109"/>
      <c r="E177" s="109"/>
      <c r="F177" s="109"/>
      <c r="G177" s="109"/>
      <c r="H177" s="109"/>
      <c r="I177" s="109"/>
      <c r="J177" s="109"/>
    </row>
    <row r="178" customFormat="false" ht="12.75" hidden="false" customHeight="true" outlineLevel="0" collapsed="false">
      <c r="A178" s="108" t="s">
        <v>364</v>
      </c>
      <c r="B178" s="109" t="s">
        <v>518</v>
      </c>
      <c r="C178" s="109"/>
      <c r="D178" s="109"/>
      <c r="E178" s="109"/>
      <c r="F178" s="109"/>
      <c r="G178" s="109"/>
      <c r="H178" s="109"/>
      <c r="I178" s="109"/>
      <c r="J178" s="109"/>
    </row>
    <row r="179" customFormat="false" ht="12.75" hidden="false" customHeight="false" outlineLevel="0" collapsed="false">
      <c r="A179" s="16" t="str">
        <f aca="false">"Total do Sobmódulo "&amp;A157</f>
        <v>Total do Sobmódulo 4.5</v>
      </c>
      <c r="B179" s="16"/>
      <c r="C179" s="16"/>
      <c r="D179" s="16"/>
      <c r="E179" s="16"/>
      <c r="F179" s="16"/>
      <c r="G179" s="16"/>
      <c r="H179" s="127" t="n">
        <f aca="false">SUM(H158,H161,H164,H167,H170,H173,H176)</f>
        <v>0.138980653472222</v>
      </c>
      <c r="I179" s="128" t="n">
        <f aca="false">SUM(I158,I161,I164,I167,I170,I173,I176)</f>
        <v>189.6252035975</v>
      </c>
      <c r="J179" s="128"/>
      <c r="K179" s="129"/>
    </row>
    <row r="180" customFormat="false" ht="12.75" hidden="false" customHeight="false" outlineLevel="0" collapsed="false">
      <c r="K180" s="113"/>
    </row>
    <row r="181" customFormat="false" ht="12.75" hidden="false" customHeight="false" outlineLevel="0" collapsed="false">
      <c r="A181" s="8" t="s">
        <v>519</v>
      </c>
      <c r="B181" s="8"/>
      <c r="C181" s="8"/>
      <c r="D181" s="8"/>
      <c r="E181" s="8"/>
      <c r="F181" s="8"/>
      <c r="G181" s="8"/>
      <c r="H181" s="8"/>
      <c r="I181" s="8"/>
      <c r="J181" s="8"/>
    </row>
    <row r="182" customFormat="false" ht="12.75" hidden="false" customHeight="true" outlineLevel="0" collapsed="false">
      <c r="A182" s="28" t="s">
        <v>520</v>
      </c>
      <c r="B182" s="104" t="s">
        <v>521</v>
      </c>
      <c r="C182" s="104"/>
      <c r="D182" s="104"/>
      <c r="E182" s="104"/>
      <c r="F182" s="104"/>
      <c r="G182" s="104"/>
      <c r="H182" s="134" t="s">
        <v>75</v>
      </c>
      <c r="I182" s="135" t="s">
        <v>522</v>
      </c>
      <c r="J182" s="135"/>
    </row>
    <row r="183" customFormat="false" ht="12.75" hidden="false" customHeight="false" outlineLevel="0" collapsed="false">
      <c r="A183" s="19" t="n">
        <v>1</v>
      </c>
      <c r="B183" s="10" t="str">
        <f aca="false">$B$31</f>
        <v> Remuneração</v>
      </c>
      <c r="C183" s="10"/>
      <c r="D183" s="10"/>
      <c r="E183" s="10"/>
      <c r="F183" s="10"/>
      <c r="G183" s="10"/>
      <c r="H183" s="24"/>
      <c r="I183" s="136" t="n">
        <f aca="false">H33+$I$35+$H$37</f>
        <v>1364.4</v>
      </c>
      <c r="J183" s="136"/>
      <c r="P183" s="137"/>
      <c r="Q183" s="137"/>
    </row>
    <row r="184" customFormat="false" ht="12.75" hidden="false" customHeight="false" outlineLevel="0" collapsed="false">
      <c r="A184" s="19" t="n">
        <v>2</v>
      </c>
      <c r="B184" s="10" t="str">
        <f aca="false">$B$41</f>
        <v>Benefícios mensais e diários</v>
      </c>
      <c r="C184" s="10"/>
      <c r="D184" s="10"/>
      <c r="E184" s="10"/>
      <c r="F184" s="10"/>
      <c r="G184" s="10"/>
      <c r="H184" s="19"/>
      <c r="I184" s="136" t="n">
        <f aca="false">H51</f>
        <v>85.336</v>
      </c>
      <c r="J184" s="136"/>
    </row>
    <row r="185" customFormat="false" ht="12.75" hidden="false" customHeight="false" outlineLevel="0" collapsed="false">
      <c r="A185" s="19" t="n">
        <v>3</v>
      </c>
      <c r="B185" s="10" t="str">
        <f aca="false">$B$53</f>
        <v> Uniformes E Equipamentos</v>
      </c>
      <c r="C185" s="10"/>
      <c r="D185" s="10"/>
      <c r="E185" s="10"/>
      <c r="F185" s="10"/>
      <c r="G185" s="10"/>
      <c r="H185" s="19"/>
      <c r="I185" s="136" t="n">
        <f aca="false">$H$70+$H$92</f>
        <v>0</v>
      </c>
      <c r="J185" s="136"/>
    </row>
    <row r="186" customFormat="false" ht="12.75" hidden="false" customHeight="false" outlineLevel="0" collapsed="false">
      <c r="A186" s="19" t="n">
        <v>4</v>
      </c>
      <c r="B186" s="10" t="str">
        <f aca="false">$B$94</f>
        <v>Encargos Sociais e Trabalhistas</v>
      </c>
      <c r="C186" s="10"/>
      <c r="D186" s="10"/>
      <c r="E186" s="10"/>
      <c r="F186" s="10"/>
      <c r="G186" s="10"/>
      <c r="H186" s="138" t="n">
        <f aca="false">SUM($H$118,$H$126,$H$135,$H$155,$H$179)</f>
        <v>0.705426407383333</v>
      </c>
      <c r="I186" s="136" t="n">
        <f aca="false">H186*I183</f>
        <v>962.48379023382</v>
      </c>
      <c r="J186" s="136"/>
      <c r="K186" s="129"/>
    </row>
    <row r="187" customFormat="false" ht="12.75" hidden="false" customHeight="false" outlineLevel="0" collapsed="false">
      <c r="A187" s="19" t="n">
        <v>5</v>
      </c>
      <c r="B187" s="10" t="s">
        <v>444</v>
      </c>
      <c r="C187" s="10"/>
      <c r="D187" s="10"/>
      <c r="E187" s="10"/>
      <c r="F187" s="10"/>
      <c r="G187" s="10"/>
      <c r="H187" s="138"/>
      <c r="I187" s="136"/>
      <c r="J187" s="136"/>
    </row>
    <row r="188" customFormat="false" ht="12.75" hidden="false" customHeight="false" outlineLevel="0" collapsed="false">
      <c r="A188" s="16" t="s">
        <v>68</v>
      </c>
      <c r="B188" s="16"/>
      <c r="C188" s="16"/>
      <c r="D188" s="16"/>
      <c r="E188" s="16"/>
      <c r="F188" s="16"/>
      <c r="G188" s="16"/>
      <c r="H188" s="16"/>
      <c r="I188" s="128" t="n">
        <f aca="false">SUM(I183:J187)</f>
        <v>2412.21979023382</v>
      </c>
      <c r="J188" s="128"/>
    </row>
    <row r="190" customFormat="false" ht="26.25" hidden="false" customHeight="true" outlineLevel="0" collapsed="false">
      <c r="A190" s="83" t="s">
        <v>523</v>
      </c>
      <c r="B190" s="83"/>
      <c r="C190" s="83"/>
      <c r="D190" s="83"/>
      <c r="E190" s="83"/>
      <c r="F190" s="83"/>
      <c r="G190" s="83"/>
      <c r="H190" s="83"/>
      <c r="I190" s="83"/>
      <c r="J190" s="83"/>
    </row>
    <row r="192" customFormat="false" ht="12.75" hidden="false" customHeight="false" outlineLevel="0" collapsed="false">
      <c r="A192" s="8" t="s">
        <v>524</v>
      </c>
      <c r="B192" s="8"/>
      <c r="C192" s="8"/>
      <c r="D192" s="8"/>
      <c r="E192" s="8"/>
      <c r="F192" s="8"/>
      <c r="G192" s="8"/>
      <c r="H192" s="8"/>
      <c r="I192" s="8"/>
      <c r="J192" s="8"/>
    </row>
    <row r="193" customFormat="false" ht="12.75" hidden="false" customHeight="true" outlineLevel="0" collapsed="false">
      <c r="A193" s="28" t="s">
        <v>520</v>
      </c>
      <c r="B193" s="104" t="s">
        <v>521</v>
      </c>
      <c r="C193" s="104"/>
      <c r="D193" s="104"/>
      <c r="E193" s="104"/>
      <c r="F193" s="104"/>
      <c r="G193" s="104"/>
      <c r="H193" s="134" t="s">
        <v>75</v>
      </c>
      <c r="I193" s="135" t="s">
        <v>522</v>
      </c>
      <c r="J193" s="135"/>
    </row>
    <row r="194" customFormat="false" ht="12.75" hidden="false" customHeight="false" outlineLevel="0" collapsed="false">
      <c r="A194" s="19" t="n">
        <v>1</v>
      </c>
      <c r="B194" s="10" t="str">
        <f aca="false">$B$31</f>
        <v> Remuneração</v>
      </c>
      <c r="C194" s="10"/>
      <c r="D194" s="10"/>
      <c r="E194" s="10"/>
      <c r="F194" s="10"/>
      <c r="G194" s="10"/>
      <c r="H194" s="24"/>
      <c r="I194" s="136" t="n">
        <f aca="false">I183*1.062+$I$35+$H$37</f>
        <v>1676.3928</v>
      </c>
      <c r="J194" s="136"/>
    </row>
    <row r="195" customFormat="false" ht="12.75" hidden="false" customHeight="false" outlineLevel="0" collapsed="false">
      <c r="A195" s="19" t="n">
        <v>2</v>
      </c>
      <c r="B195" s="10" t="str">
        <f aca="false">$B$41</f>
        <v>Benefícios mensais e diários</v>
      </c>
      <c r="C195" s="10"/>
      <c r="D195" s="10"/>
      <c r="E195" s="10"/>
      <c r="F195" s="10"/>
      <c r="G195" s="10"/>
      <c r="H195" s="19"/>
      <c r="I195" s="136" t="n">
        <f aca="false">SUM(H196,H197,H198)</f>
        <v>66.616432</v>
      </c>
      <c r="J195" s="136"/>
    </row>
    <row r="196" customFormat="false" ht="15" hidden="true" customHeight="true" outlineLevel="0" collapsed="false">
      <c r="A196" s="19" t="s">
        <v>400</v>
      </c>
      <c r="B196" s="21" t="s">
        <v>411</v>
      </c>
      <c r="C196" s="21"/>
      <c r="D196" s="21"/>
      <c r="E196" s="21"/>
      <c r="F196" s="21"/>
      <c r="G196" s="21"/>
      <c r="H196" s="124" t="n">
        <f aca="false">IF((3.8*2*22-0.06*I194)&gt;0,3.8*2*22-0.06*I194,0)</f>
        <v>66.616432</v>
      </c>
      <c r="I196" s="124"/>
      <c r="J196" s="124"/>
      <c r="K196" s="129"/>
    </row>
    <row r="197" customFormat="false" ht="12.75" hidden="true" customHeight="true" outlineLevel="0" collapsed="false">
      <c r="A197" s="19" t="s">
        <v>417</v>
      </c>
      <c r="B197" s="21" t="s">
        <v>418</v>
      </c>
      <c r="C197" s="21"/>
      <c r="D197" s="21"/>
      <c r="E197" s="21"/>
      <c r="F197" s="21"/>
      <c r="G197" s="21"/>
      <c r="H197" s="124" t="n">
        <f aca="false">IF('DI, Tri e Pag'!$H$12:$J$12='DI, Tri e Pag'!$L$12,-('DI, Tri e Pag'!$H$23+'DI, Tri e Pag'!$H$24)*H196,0)</f>
        <v>0</v>
      </c>
      <c r="I197" s="124"/>
      <c r="J197" s="124"/>
      <c r="K197" s="139"/>
    </row>
    <row r="198" customFormat="false" ht="15" hidden="true" customHeight="true" outlineLevel="0" collapsed="false">
      <c r="A198" s="19" t="s">
        <v>403</v>
      </c>
      <c r="B198" s="21" t="s">
        <v>407</v>
      </c>
      <c r="C198" s="21"/>
      <c r="D198" s="21"/>
      <c r="E198" s="21"/>
      <c r="F198" s="21"/>
      <c r="G198" s="21"/>
      <c r="H198" s="124" t="n">
        <f aca="false">$H$49</f>
        <v>0</v>
      </c>
      <c r="I198" s="124"/>
      <c r="J198" s="124"/>
    </row>
    <row r="199" customFormat="false" ht="12.75" hidden="false" customHeight="false" outlineLevel="0" collapsed="false">
      <c r="A199" s="19" t="n">
        <v>3</v>
      </c>
      <c r="B199" s="10" t="str">
        <f aca="false">$B$53</f>
        <v> Uniformes E Equipamentos</v>
      </c>
      <c r="C199" s="10"/>
      <c r="D199" s="10"/>
      <c r="E199" s="10"/>
      <c r="F199" s="10"/>
      <c r="G199" s="10"/>
      <c r="H199" s="19"/>
      <c r="I199" s="136" t="n">
        <f aca="false">$H$70+$H$92</f>
        <v>0</v>
      </c>
      <c r="J199" s="136"/>
    </row>
    <row r="200" customFormat="false" ht="12.75" hidden="false" customHeight="false" outlineLevel="0" collapsed="false">
      <c r="A200" s="19" t="n">
        <v>4</v>
      </c>
      <c r="B200" s="10" t="str">
        <f aca="false">$B$94</f>
        <v>Encargos Sociais e Trabalhistas</v>
      </c>
      <c r="C200" s="10"/>
      <c r="D200" s="10"/>
      <c r="E200" s="10"/>
      <c r="F200" s="10"/>
      <c r="G200" s="10"/>
      <c r="H200" s="138" t="n">
        <f aca="false">SUM($H$118,$H$126,$H$135,$H$155,$H$179)</f>
        <v>0.705426407383333</v>
      </c>
      <c r="I200" s="136" t="n">
        <f aca="false">H200*I194</f>
        <v>1182.57175026729</v>
      </c>
      <c r="J200" s="136"/>
    </row>
    <row r="201" customFormat="false" ht="12.75" hidden="false" customHeight="false" outlineLevel="0" collapsed="false">
      <c r="A201" s="19" t="n">
        <v>5</v>
      </c>
      <c r="B201" s="10" t="str">
        <f aca="false">B187</f>
        <v>Outro (Especificar)</v>
      </c>
      <c r="C201" s="10"/>
      <c r="D201" s="10"/>
      <c r="E201" s="10"/>
      <c r="F201" s="10"/>
      <c r="G201" s="10"/>
      <c r="H201" s="138"/>
      <c r="I201" s="136"/>
      <c r="J201" s="136"/>
    </row>
    <row r="202" customFormat="false" ht="12.75" hidden="false" customHeight="false" outlineLevel="0" collapsed="false">
      <c r="A202" s="16" t="s">
        <v>68</v>
      </c>
      <c r="B202" s="16"/>
      <c r="C202" s="16"/>
      <c r="D202" s="16"/>
      <c r="E202" s="16"/>
      <c r="F202" s="16"/>
      <c r="G202" s="16"/>
      <c r="H202" s="16"/>
      <c r="I202" s="128" t="n">
        <f aca="false">SUM(I194,I195,I199,I200,I201)</f>
        <v>2925.58098226729</v>
      </c>
      <c r="J202" s="128"/>
    </row>
    <row r="204" customFormat="false" ht="12.75" hidden="false" customHeight="false" outlineLevel="0" collapsed="false">
      <c r="A204" s="8" t="s">
        <v>525</v>
      </c>
      <c r="B204" s="8"/>
      <c r="C204" s="8"/>
      <c r="D204" s="8"/>
      <c r="E204" s="8"/>
      <c r="F204" s="8"/>
      <c r="G204" s="8"/>
      <c r="H204" s="8"/>
      <c r="I204" s="8"/>
      <c r="J204" s="8"/>
    </row>
    <row r="205" customFormat="false" ht="12.75" hidden="false" customHeight="true" outlineLevel="0" collapsed="false">
      <c r="A205" s="28" t="s">
        <v>520</v>
      </c>
      <c r="B205" s="104" t="s">
        <v>521</v>
      </c>
      <c r="C205" s="104"/>
      <c r="D205" s="104"/>
      <c r="E205" s="104"/>
      <c r="F205" s="104"/>
      <c r="G205" s="104"/>
      <c r="H205" s="134" t="s">
        <v>75</v>
      </c>
      <c r="I205" s="135" t="s">
        <v>522</v>
      </c>
      <c r="J205" s="135"/>
    </row>
    <row r="206" customFormat="false" ht="12.75" hidden="false" customHeight="false" outlineLevel="0" collapsed="false">
      <c r="A206" s="19" t="n">
        <v>1</v>
      </c>
      <c r="B206" s="10" t="str">
        <f aca="false">$B$31</f>
        <v> Remuneração</v>
      </c>
      <c r="C206" s="10"/>
      <c r="D206" s="10"/>
      <c r="E206" s="10"/>
      <c r="F206" s="10"/>
      <c r="G206" s="10"/>
      <c r="H206" s="24"/>
      <c r="I206" s="136" t="n">
        <f aca="false">I194*1.062+$I$35+$H$37</f>
        <v>2007.7291536</v>
      </c>
      <c r="J206" s="136"/>
    </row>
    <row r="207" customFormat="false" ht="12.75" hidden="false" customHeight="false" outlineLevel="0" collapsed="false">
      <c r="A207" s="19" t="n">
        <v>2</v>
      </c>
      <c r="B207" s="10" t="str">
        <f aca="false">$B$41</f>
        <v>Benefícios mensais e diários</v>
      </c>
      <c r="C207" s="10"/>
      <c r="D207" s="10"/>
      <c r="E207" s="10"/>
      <c r="F207" s="10"/>
      <c r="G207" s="10"/>
      <c r="H207" s="19"/>
      <c r="I207" s="136" t="n">
        <f aca="false">SUM(H208,H209,H210)</f>
        <v>46.736250784</v>
      </c>
      <c r="J207" s="136"/>
    </row>
    <row r="208" customFormat="false" ht="15" hidden="true" customHeight="true" outlineLevel="0" collapsed="false">
      <c r="A208" s="19" t="s">
        <v>400</v>
      </c>
      <c r="B208" s="21" t="s">
        <v>411</v>
      </c>
      <c r="C208" s="21"/>
      <c r="D208" s="21"/>
      <c r="E208" s="21"/>
      <c r="F208" s="21"/>
      <c r="G208" s="21"/>
      <c r="H208" s="124" t="n">
        <f aca="false">IF((3.8*2*22-0.06*I206)&gt;0,3.8*2*22-0.06*I206,0)</f>
        <v>46.736250784</v>
      </c>
      <c r="I208" s="124"/>
      <c r="J208" s="124"/>
      <c r="K208" s="129"/>
    </row>
    <row r="209" customFormat="false" ht="12.75" hidden="true" customHeight="true" outlineLevel="0" collapsed="false">
      <c r="A209" s="19" t="s">
        <v>417</v>
      </c>
      <c r="B209" s="21" t="s">
        <v>418</v>
      </c>
      <c r="C209" s="21"/>
      <c r="D209" s="21"/>
      <c r="E209" s="21"/>
      <c r="F209" s="21"/>
      <c r="G209" s="21"/>
      <c r="H209" s="124" t="n">
        <f aca="false">IF('DI, Tri e Pag'!$H$12:$J$12='DI, Tri e Pag'!$L$12,-('DI, Tri e Pag'!$H$23+'DI, Tri e Pag'!$H$24)*H208,0)</f>
        <v>0</v>
      </c>
      <c r="I209" s="124"/>
      <c r="J209" s="124"/>
      <c r="K209" s="139"/>
    </row>
    <row r="210" customFormat="false" ht="15" hidden="true" customHeight="true" outlineLevel="0" collapsed="false">
      <c r="A210" s="19" t="s">
        <v>403</v>
      </c>
      <c r="B210" s="21" t="s">
        <v>407</v>
      </c>
      <c r="C210" s="21"/>
      <c r="D210" s="21"/>
      <c r="E210" s="21"/>
      <c r="F210" s="21"/>
      <c r="G210" s="21"/>
      <c r="H210" s="124" t="n">
        <f aca="false">$H$49</f>
        <v>0</v>
      </c>
      <c r="I210" s="124"/>
      <c r="J210" s="124"/>
    </row>
    <row r="211" customFormat="false" ht="12.75" hidden="false" customHeight="false" outlineLevel="0" collapsed="false">
      <c r="A211" s="19" t="n">
        <v>3</v>
      </c>
      <c r="B211" s="10" t="str">
        <f aca="false">$B$53</f>
        <v> Uniformes E Equipamentos</v>
      </c>
      <c r="C211" s="10"/>
      <c r="D211" s="10"/>
      <c r="E211" s="10"/>
      <c r="F211" s="10"/>
      <c r="G211" s="10"/>
      <c r="H211" s="19"/>
      <c r="I211" s="136" t="n">
        <f aca="false">$H$70+$H$92</f>
        <v>0</v>
      </c>
      <c r="J211" s="136"/>
    </row>
    <row r="212" customFormat="false" ht="12.75" hidden="false" customHeight="false" outlineLevel="0" collapsed="false">
      <c r="A212" s="19" t="n">
        <v>4</v>
      </c>
      <c r="B212" s="10" t="str">
        <f aca="false">$B$94</f>
        <v>Encargos Sociais e Trabalhistas</v>
      </c>
      <c r="C212" s="10"/>
      <c r="D212" s="10"/>
      <c r="E212" s="10"/>
      <c r="F212" s="10"/>
      <c r="G212" s="10"/>
      <c r="H212" s="138" t="n">
        <f aca="false">SUM($H$118,$H$126,$H$135,$H$155,$H$179)</f>
        <v>0.705426407383333</v>
      </c>
      <c r="I212" s="136" t="n">
        <f aca="false">H212*I206</f>
        <v>1416.30516382283</v>
      </c>
      <c r="J212" s="136"/>
    </row>
    <row r="213" customFormat="false" ht="12.75" hidden="false" customHeight="false" outlineLevel="0" collapsed="false">
      <c r="A213" s="19" t="n">
        <v>5</v>
      </c>
      <c r="B213" s="10" t="str">
        <f aca="false">B201</f>
        <v>Outro (Especificar)</v>
      </c>
      <c r="C213" s="10"/>
      <c r="D213" s="10"/>
      <c r="E213" s="10"/>
      <c r="F213" s="10"/>
      <c r="G213" s="10"/>
      <c r="H213" s="138"/>
      <c r="I213" s="136"/>
      <c r="J213" s="136"/>
    </row>
    <row r="214" customFormat="false" ht="12.75" hidden="false" customHeight="false" outlineLevel="0" collapsed="false">
      <c r="A214" s="16" t="s">
        <v>68</v>
      </c>
      <c r="B214" s="16"/>
      <c r="C214" s="16"/>
      <c r="D214" s="16"/>
      <c r="E214" s="16"/>
      <c r="F214" s="16"/>
      <c r="G214" s="16"/>
      <c r="H214" s="16"/>
      <c r="I214" s="128" t="n">
        <f aca="false">SUM(I206,I207,I211,I212,I213)</f>
        <v>3470.77056820683</v>
      </c>
      <c r="J214" s="128"/>
    </row>
    <row r="216" customFormat="false" ht="12.75" hidden="false" customHeight="false" outlineLevel="0" collapsed="false">
      <c r="A216" s="8" t="s">
        <v>526</v>
      </c>
      <c r="B216" s="8"/>
      <c r="C216" s="8"/>
      <c r="D216" s="8"/>
      <c r="E216" s="8"/>
      <c r="F216" s="8"/>
      <c r="G216" s="8"/>
      <c r="H216" s="8"/>
      <c r="I216" s="8"/>
      <c r="J216" s="8"/>
    </row>
    <row r="217" customFormat="false" ht="12.75" hidden="false" customHeight="true" outlineLevel="0" collapsed="false">
      <c r="A217" s="28" t="s">
        <v>520</v>
      </c>
      <c r="B217" s="104" t="s">
        <v>521</v>
      </c>
      <c r="C217" s="104"/>
      <c r="D217" s="104"/>
      <c r="E217" s="104"/>
      <c r="F217" s="104"/>
      <c r="G217" s="104"/>
      <c r="H217" s="134" t="s">
        <v>75</v>
      </c>
      <c r="I217" s="135" t="s">
        <v>522</v>
      </c>
      <c r="J217" s="135"/>
    </row>
    <row r="218" customFormat="false" ht="12.75" hidden="false" customHeight="false" outlineLevel="0" collapsed="false">
      <c r="A218" s="19" t="n">
        <v>1</v>
      </c>
      <c r="B218" s="10" t="str">
        <f aca="false">$B$31</f>
        <v> Remuneração</v>
      </c>
      <c r="C218" s="10"/>
      <c r="D218" s="10"/>
      <c r="E218" s="10"/>
      <c r="F218" s="10"/>
      <c r="G218" s="10"/>
      <c r="H218" s="24"/>
      <c r="I218" s="136" t="n">
        <f aca="false">I206*1.062+$I$35+$H$37</f>
        <v>2359.6083611232</v>
      </c>
      <c r="J218" s="136"/>
    </row>
    <row r="219" customFormat="false" ht="12.75" hidden="false" customHeight="false" outlineLevel="0" collapsed="false">
      <c r="A219" s="19" t="n">
        <v>2</v>
      </c>
      <c r="B219" s="10" t="str">
        <f aca="false">$B$41</f>
        <v>Benefícios mensais e diários</v>
      </c>
      <c r="C219" s="10"/>
      <c r="D219" s="10"/>
      <c r="E219" s="10"/>
      <c r="F219" s="10"/>
      <c r="G219" s="10"/>
      <c r="H219" s="19"/>
      <c r="I219" s="136" t="n">
        <f aca="false">SUM(H220,H221,H222)</f>
        <v>25.623498332608</v>
      </c>
      <c r="J219" s="136"/>
    </row>
    <row r="220" customFormat="false" ht="15" hidden="true" customHeight="true" outlineLevel="0" collapsed="false">
      <c r="A220" s="19" t="s">
        <v>400</v>
      </c>
      <c r="B220" s="21" t="s">
        <v>411</v>
      </c>
      <c r="C220" s="21"/>
      <c r="D220" s="21"/>
      <c r="E220" s="21"/>
      <c r="F220" s="21"/>
      <c r="G220" s="21"/>
      <c r="H220" s="124" t="n">
        <f aca="false">IF((3.8*2*22-0.06*I218)&gt;0,3.8*2*22-0.06*I218,0)</f>
        <v>25.623498332608</v>
      </c>
      <c r="I220" s="124"/>
      <c r="J220" s="124"/>
      <c r="K220" s="129"/>
    </row>
    <row r="221" customFormat="false" ht="12.75" hidden="true" customHeight="true" outlineLevel="0" collapsed="false">
      <c r="A221" s="19" t="s">
        <v>417</v>
      </c>
      <c r="B221" s="21" t="s">
        <v>418</v>
      </c>
      <c r="C221" s="21"/>
      <c r="D221" s="21"/>
      <c r="E221" s="21"/>
      <c r="F221" s="21"/>
      <c r="G221" s="21"/>
      <c r="H221" s="124" t="n">
        <f aca="false">IF('DI, Tri e Pag'!$H$12:$J$12='DI, Tri e Pag'!$L$12,-('DI, Tri e Pag'!$H$23+'DI, Tri e Pag'!$H$24)*H220,0)</f>
        <v>0</v>
      </c>
      <c r="I221" s="124"/>
      <c r="J221" s="124"/>
      <c r="K221" s="139"/>
    </row>
    <row r="222" customFormat="false" ht="15" hidden="true" customHeight="true" outlineLevel="0" collapsed="false">
      <c r="A222" s="19" t="s">
        <v>403</v>
      </c>
      <c r="B222" s="21" t="s">
        <v>407</v>
      </c>
      <c r="C222" s="21"/>
      <c r="D222" s="21"/>
      <c r="E222" s="21"/>
      <c r="F222" s="21"/>
      <c r="G222" s="21"/>
      <c r="H222" s="124" t="n">
        <f aca="false">$H$49</f>
        <v>0</v>
      </c>
      <c r="I222" s="124"/>
      <c r="J222" s="124"/>
    </row>
    <row r="223" customFormat="false" ht="12.75" hidden="false" customHeight="false" outlineLevel="0" collapsed="false">
      <c r="A223" s="19" t="n">
        <v>3</v>
      </c>
      <c r="B223" s="10" t="str">
        <f aca="false">$B$53</f>
        <v> Uniformes E Equipamentos</v>
      </c>
      <c r="C223" s="10"/>
      <c r="D223" s="10"/>
      <c r="E223" s="10"/>
      <c r="F223" s="10"/>
      <c r="G223" s="10"/>
      <c r="H223" s="19"/>
      <c r="I223" s="136" t="n">
        <f aca="false">$H$70+$H$92</f>
        <v>0</v>
      </c>
      <c r="J223" s="136"/>
    </row>
    <row r="224" customFormat="false" ht="12.75" hidden="false" customHeight="false" outlineLevel="0" collapsed="false">
      <c r="A224" s="19" t="n">
        <v>4</v>
      </c>
      <c r="B224" s="10" t="str">
        <f aca="false">$B$94</f>
        <v>Encargos Sociais e Trabalhistas</v>
      </c>
      <c r="C224" s="10"/>
      <c r="D224" s="10"/>
      <c r="E224" s="10"/>
      <c r="F224" s="10"/>
      <c r="G224" s="10"/>
      <c r="H224" s="138" t="n">
        <f aca="false">SUM($H$118,$H$126,$H$135,$H$155,$H$179)</f>
        <v>0.705426407383333</v>
      </c>
      <c r="I224" s="136" t="n">
        <f aca="false">H224*I218</f>
        <v>1664.53004901881</v>
      </c>
      <c r="J224" s="136"/>
    </row>
    <row r="225" customFormat="false" ht="12.75" hidden="false" customHeight="false" outlineLevel="0" collapsed="false">
      <c r="A225" s="19" t="n">
        <v>5</v>
      </c>
      <c r="B225" s="10" t="str">
        <f aca="false">B213</f>
        <v>Outro (Especificar)</v>
      </c>
      <c r="C225" s="10"/>
      <c r="D225" s="10"/>
      <c r="E225" s="10"/>
      <c r="F225" s="10"/>
      <c r="G225" s="10"/>
      <c r="H225" s="138"/>
      <c r="I225" s="136"/>
      <c r="J225" s="136"/>
    </row>
    <row r="226" customFormat="false" ht="12.75" hidden="false" customHeight="false" outlineLevel="0" collapsed="false">
      <c r="A226" s="16" t="s">
        <v>68</v>
      </c>
      <c r="B226" s="16"/>
      <c r="C226" s="16"/>
      <c r="D226" s="16"/>
      <c r="E226" s="16"/>
      <c r="F226" s="16"/>
      <c r="G226" s="16"/>
      <c r="H226" s="16"/>
      <c r="I226" s="128" t="n">
        <f aca="false">SUM(I218,I219,I223,I224,I225)</f>
        <v>4049.76190847462</v>
      </c>
      <c r="J226" s="128"/>
    </row>
    <row r="228" customFormat="false" ht="12.75" hidden="false" customHeight="false" outlineLevel="0" collapsed="false">
      <c r="A228" s="8" t="s">
        <v>527</v>
      </c>
      <c r="B228" s="8"/>
      <c r="C228" s="8"/>
      <c r="D228" s="8"/>
      <c r="E228" s="8"/>
      <c r="F228" s="8"/>
      <c r="G228" s="8"/>
      <c r="H228" s="8"/>
      <c r="I228" s="8"/>
      <c r="J228" s="8"/>
    </row>
    <row r="229" customFormat="false" ht="12.75" hidden="false" customHeight="true" outlineLevel="0" collapsed="false">
      <c r="A229" s="28" t="s">
        <v>520</v>
      </c>
      <c r="B229" s="104" t="s">
        <v>521</v>
      </c>
      <c r="C229" s="104"/>
      <c r="D229" s="104"/>
      <c r="E229" s="104"/>
      <c r="F229" s="104"/>
      <c r="G229" s="104"/>
      <c r="H229" s="134" t="s">
        <v>75</v>
      </c>
      <c r="I229" s="135" t="s">
        <v>522</v>
      </c>
      <c r="J229" s="135"/>
    </row>
    <row r="230" customFormat="false" ht="12.75" hidden="false" customHeight="false" outlineLevel="0" collapsed="false">
      <c r="A230" s="19" t="n">
        <v>1</v>
      </c>
      <c r="B230" s="10" t="str">
        <f aca="false">$B$31</f>
        <v> Remuneração</v>
      </c>
      <c r="C230" s="10"/>
      <c r="D230" s="10"/>
      <c r="E230" s="10"/>
      <c r="F230" s="10"/>
      <c r="G230" s="10"/>
      <c r="H230" s="24"/>
      <c r="I230" s="136" t="n">
        <f aca="false">I218*1.062+$I$35+$H$37</f>
        <v>2733.30407951284</v>
      </c>
      <c r="J230" s="136"/>
    </row>
    <row r="231" customFormat="false" ht="12.75" hidden="false" customHeight="false" outlineLevel="0" collapsed="false">
      <c r="A231" s="19" t="n">
        <v>2</v>
      </c>
      <c r="B231" s="10" t="str">
        <f aca="false">$B$41</f>
        <v>Benefícios mensais e diários</v>
      </c>
      <c r="C231" s="10"/>
      <c r="D231" s="10"/>
      <c r="E231" s="10"/>
      <c r="F231" s="10"/>
      <c r="G231" s="10"/>
      <c r="H231" s="19"/>
      <c r="I231" s="136" t="n">
        <f aca="false">SUM(H232,H233,H234)</f>
        <v>3.20175522922963</v>
      </c>
      <c r="J231" s="136"/>
    </row>
    <row r="232" customFormat="false" ht="15" hidden="true" customHeight="true" outlineLevel="0" collapsed="false">
      <c r="A232" s="19" t="s">
        <v>400</v>
      </c>
      <c r="B232" s="21" t="s">
        <v>411</v>
      </c>
      <c r="C232" s="21"/>
      <c r="D232" s="21"/>
      <c r="E232" s="21"/>
      <c r="F232" s="21"/>
      <c r="G232" s="21"/>
      <c r="H232" s="124" t="n">
        <f aca="false">IF((3.8*2*22-0.06*I230)&gt;0,3.8*2*22-0.06*I230,0)</f>
        <v>3.20175522922963</v>
      </c>
      <c r="I232" s="124"/>
      <c r="J232" s="124"/>
      <c r="K232" s="129"/>
    </row>
    <row r="233" customFormat="false" ht="12.75" hidden="true" customHeight="true" outlineLevel="0" collapsed="false">
      <c r="A233" s="19" t="s">
        <v>417</v>
      </c>
      <c r="B233" s="21" t="s">
        <v>418</v>
      </c>
      <c r="C233" s="21"/>
      <c r="D233" s="21"/>
      <c r="E233" s="21"/>
      <c r="F233" s="21"/>
      <c r="G233" s="21"/>
      <c r="H233" s="124" t="n">
        <f aca="false">IF('DI, Tri e Pag'!$H$12:$J$12='DI, Tri e Pag'!$L$12,-('DI, Tri e Pag'!$H$23+'DI, Tri e Pag'!$H$24)*H232,0)</f>
        <v>0</v>
      </c>
      <c r="I233" s="124"/>
      <c r="J233" s="124"/>
      <c r="K233" s="139"/>
    </row>
    <row r="234" customFormat="false" ht="15" hidden="true" customHeight="true" outlineLevel="0" collapsed="false">
      <c r="A234" s="19" t="s">
        <v>403</v>
      </c>
      <c r="B234" s="21" t="s">
        <v>407</v>
      </c>
      <c r="C234" s="21"/>
      <c r="D234" s="21"/>
      <c r="E234" s="21"/>
      <c r="F234" s="21"/>
      <c r="G234" s="21"/>
      <c r="H234" s="124" t="n">
        <f aca="false">$H$49</f>
        <v>0</v>
      </c>
      <c r="I234" s="124"/>
      <c r="J234" s="124"/>
    </row>
    <row r="235" customFormat="false" ht="12.75" hidden="false" customHeight="false" outlineLevel="0" collapsed="false">
      <c r="A235" s="19" t="n">
        <v>3</v>
      </c>
      <c r="B235" s="10" t="str">
        <f aca="false">$B$53</f>
        <v> Uniformes E Equipamentos</v>
      </c>
      <c r="C235" s="10"/>
      <c r="D235" s="10"/>
      <c r="E235" s="10"/>
      <c r="F235" s="10"/>
      <c r="G235" s="10"/>
      <c r="H235" s="19"/>
      <c r="I235" s="136" t="n">
        <f aca="false">$H$70+$H$92</f>
        <v>0</v>
      </c>
      <c r="J235" s="136"/>
    </row>
    <row r="236" customFormat="false" ht="12.75" hidden="false" customHeight="false" outlineLevel="0" collapsed="false">
      <c r="A236" s="19" t="n">
        <v>4</v>
      </c>
      <c r="B236" s="10" t="str">
        <f aca="false">$B$94</f>
        <v>Encargos Sociais e Trabalhistas</v>
      </c>
      <c r="C236" s="10"/>
      <c r="D236" s="10"/>
      <c r="E236" s="10"/>
      <c r="F236" s="10"/>
      <c r="G236" s="10"/>
      <c r="H236" s="138" t="n">
        <f aca="false">SUM($H$118,$H$126,$H$135,$H$155,$H$179)</f>
        <v>0.705426407383333</v>
      </c>
      <c r="I236" s="136" t="n">
        <f aca="false">H236*I230</f>
        <v>1928.14487709695</v>
      </c>
      <c r="J236" s="136"/>
    </row>
    <row r="237" customFormat="false" ht="12.75" hidden="false" customHeight="false" outlineLevel="0" collapsed="false">
      <c r="A237" s="19" t="n">
        <v>5</v>
      </c>
      <c r="B237" s="10" t="str">
        <f aca="false">B225</f>
        <v>Outro (Especificar)</v>
      </c>
      <c r="C237" s="10"/>
      <c r="D237" s="10"/>
      <c r="E237" s="10"/>
      <c r="F237" s="10"/>
      <c r="G237" s="10"/>
      <c r="H237" s="138"/>
      <c r="I237" s="136"/>
      <c r="J237" s="136"/>
    </row>
    <row r="238" customFormat="false" ht="12.75" hidden="false" customHeight="false" outlineLevel="0" collapsed="false">
      <c r="A238" s="16" t="s">
        <v>68</v>
      </c>
      <c r="B238" s="16"/>
      <c r="C238" s="16"/>
      <c r="D238" s="16"/>
      <c r="E238" s="16"/>
      <c r="F238" s="16"/>
      <c r="G238" s="16"/>
      <c r="H238" s="16"/>
      <c r="I238" s="128" t="n">
        <f aca="false">SUM(I230,I231,I235,I236,I237)</f>
        <v>4664.65071183902</v>
      </c>
      <c r="J238" s="128"/>
    </row>
    <row r="240" customFormat="false" ht="12.75" hidden="false" customHeight="false" outlineLevel="0" collapsed="false">
      <c r="A240" s="8" t="s">
        <v>528</v>
      </c>
      <c r="B240" s="8"/>
      <c r="C240" s="8"/>
      <c r="D240" s="8"/>
      <c r="E240" s="8"/>
      <c r="F240" s="8"/>
      <c r="G240" s="8"/>
      <c r="H240" s="8"/>
      <c r="I240" s="8"/>
      <c r="J240" s="8"/>
    </row>
    <row r="241" customFormat="false" ht="12.75" hidden="false" customHeight="true" outlineLevel="0" collapsed="false">
      <c r="A241" s="28" t="s">
        <v>520</v>
      </c>
      <c r="B241" s="104" t="s">
        <v>521</v>
      </c>
      <c r="C241" s="104"/>
      <c r="D241" s="104"/>
      <c r="E241" s="104"/>
      <c r="F241" s="104"/>
      <c r="G241" s="104"/>
      <c r="H241" s="134" t="s">
        <v>75</v>
      </c>
      <c r="I241" s="135" t="s">
        <v>522</v>
      </c>
      <c r="J241" s="135"/>
    </row>
    <row r="242" customFormat="false" ht="12.75" hidden="false" customHeight="false" outlineLevel="0" collapsed="false">
      <c r="A242" s="19" t="n">
        <v>1</v>
      </c>
      <c r="B242" s="10" t="str">
        <f aca="false">$B$31</f>
        <v> Remuneração</v>
      </c>
      <c r="C242" s="10"/>
      <c r="D242" s="10"/>
      <c r="E242" s="10"/>
      <c r="F242" s="10"/>
      <c r="G242" s="10"/>
      <c r="H242" s="24"/>
      <c r="I242" s="136" t="n">
        <f aca="false">I230*1.062+$I$35+$H$37</f>
        <v>3130.16893244264</v>
      </c>
      <c r="J242" s="136"/>
    </row>
    <row r="243" customFormat="false" ht="12.75" hidden="false" customHeight="false" outlineLevel="0" collapsed="false">
      <c r="A243" s="19" t="n">
        <v>2</v>
      </c>
      <c r="B243" s="10" t="str">
        <f aca="false">$B$41</f>
        <v>Benefícios mensais e diários</v>
      </c>
      <c r="C243" s="10"/>
      <c r="D243" s="10"/>
      <c r="E243" s="10"/>
      <c r="F243" s="10"/>
      <c r="G243" s="10"/>
      <c r="H243" s="19"/>
      <c r="I243" s="136" t="n">
        <f aca="false">SUM(H244,H245,H246)</f>
        <v>0</v>
      </c>
      <c r="J243" s="136"/>
    </row>
    <row r="244" customFormat="false" ht="15" hidden="true" customHeight="true" outlineLevel="0" collapsed="false">
      <c r="A244" s="19" t="s">
        <v>400</v>
      </c>
      <c r="B244" s="21" t="s">
        <v>411</v>
      </c>
      <c r="C244" s="21"/>
      <c r="D244" s="21"/>
      <c r="E244" s="21"/>
      <c r="F244" s="21"/>
      <c r="G244" s="21"/>
      <c r="H244" s="124" t="n">
        <f aca="false">IF((3.8*2*22-0.06*I242)&gt;0,3.8*2*22-0.06*I242,0)</f>
        <v>0</v>
      </c>
      <c r="I244" s="124"/>
      <c r="J244" s="124"/>
      <c r="K244" s="129"/>
    </row>
    <row r="245" customFormat="false" ht="12.75" hidden="true" customHeight="true" outlineLevel="0" collapsed="false">
      <c r="A245" s="19" t="s">
        <v>417</v>
      </c>
      <c r="B245" s="21" t="s">
        <v>418</v>
      </c>
      <c r="C245" s="21"/>
      <c r="D245" s="21"/>
      <c r="E245" s="21"/>
      <c r="F245" s="21"/>
      <c r="G245" s="21"/>
      <c r="H245" s="124" t="n">
        <f aca="false">IF('DI, Tri e Pag'!$H$12:$J$12='DI, Tri e Pag'!$L$12,-('DI, Tri e Pag'!$H$23+'DI, Tri e Pag'!$H$24)*H244,0)</f>
        <v>0</v>
      </c>
      <c r="I245" s="124"/>
      <c r="J245" s="124"/>
      <c r="K245" s="139"/>
    </row>
    <row r="246" customFormat="false" ht="15" hidden="true" customHeight="true" outlineLevel="0" collapsed="false">
      <c r="A246" s="19" t="s">
        <v>403</v>
      </c>
      <c r="B246" s="21" t="s">
        <v>407</v>
      </c>
      <c r="C246" s="21"/>
      <c r="D246" s="21"/>
      <c r="E246" s="21"/>
      <c r="F246" s="21"/>
      <c r="G246" s="21"/>
      <c r="H246" s="124" t="n">
        <f aca="false">$H$49</f>
        <v>0</v>
      </c>
      <c r="I246" s="124"/>
      <c r="J246" s="124"/>
    </row>
    <row r="247" customFormat="false" ht="12.75" hidden="false" customHeight="false" outlineLevel="0" collapsed="false">
      <c r="A247" s="19" t="n">
        <v>3</v>
      </c>
      <c r="B247" s="10" t="str">
        <f aca="false">$B$53</f>
        <v> Uniformes E Equipamentos</v>
      </c>
      <c r="C247" s="10"/>
      <c r="D247" s="10"/>
      <c r="E247" s="10"/>
      <c r="F247" s="10"/>
      <c r="G247" s="10"/>
      <c r="H247" s="19"/>
      <c r="I247" s="136" t="n">
        <f aca="false">$H$70+$H$92</f>
        <v>0</v>
      </c>
      <c r="J247" s="136"/>
    </row>
    <row r="248" customFormat="false" ht="12.75" hidden="false" customHeight="false" outlineLevel="0" collapsed="false">
      <c r="A248" s="19" t="n">
        <v>4</v>
      </c>
      <c r="B248" s="10" t="str">
        <f aca="false">$B$94</f>
        <v>Encargos Sociais e Trabalhistas</v>
      </c>
      <c r="C248" s="10"/>
      <c r="D248" s="10"/>
      <c r="E248" s="10"/>
      <c r="F248" s="10"/>
      <c r="G248" s="10"/>
      <c r="H248" s="138" t="n">
        <f aca="false">SUM($H$118,$H$126,$H$135,$H$155,$H$179)</f>
        <v>0.705426407383333</v>
      </c>
      <c r="I248" s="136" t="n">
        <f aca="false">H248*I242</f>
        <v>2208.10382451593</v>
      </c>
      <c r="J248" s="136"/>
    </row>
    <row r="249" customFormat="false" ht="12.75" hidden="false" customHeight="false" outlineLevel="0" collapsed="false">
      <c r="A249" s="19" t="n">
        <v>5</v>
      </c>
      <c r="B249" s="10" t="str">
        <f aca="false">B237</f>
        <v>Outro (Especificar)</v>
      </c>
      <c r="C249" s="10"/>
      <c r="D249" s="10"/>
      <c r="E249" s="10"/>
      <c r="F249" s="10"/>
      <c r="G249" s="10"/>
      <c r="H249" s="138"/>
      <c r="I249" s="136"/>
      <c r="J249" s="136"/>
    </row>
    <row r="250" customFormat="false" ht="12.75" hidden="false" customHeight="false" outlineLevel="0" collapsed="false">
      <c r="A250" s="16" t="s">
        <v>68</v>
      </c>
      <c r="B250" s="16"/>
      <c r="C250" s="16"/>
      <c r="D250" s="16"/>
      <c r="E250" s="16"/>
      <c r="F250" s="16"/>
      <c r="G250" s="16"/>
      <c r="H250" s="16"/>
      <c r="I250" s="128" t="n">
        <f aca="false">SUM(I242,I243,I247,I248,I249)</f>
        <v>5338.27275695857</v>
      </c>
      <c r="J250" s="128"/>
    </row>
  </sheetData>
  <sheetProtection sheet="true" password="e536" objects="true" scenarios="true" formatColumns="false" formatRows="false"/>
  <mergeCells count="341">
    <mergeCell ref="A7:J7"/>
    <mergeCell ref="A11:J11"/>
    <mergeCell ref="A18:J18"/>
    <mergeCell ref="A20:J20"/>
    <mergeCell ref="B21:G21"/>
    <mergeCell ref="H21:J21"/>
    <mergeCell ref="B22:G22"/>
    <mergeCell ref="H22:J22"/>
    <mergeCell ref="B23:J23"/>
    <mergeCell ref="B24:G24"/>
    <mergeCell ref="H24:J24"/>
    <mergeCell ref="B25:J25"/>
    <mergeCell ref="B26:G26"/>
    <mergeCell ref="H26:J26"/>
    <mergeCell ref="B27:J27"/>
    <mergeCell ref="B28:G28"/>
    <mergeCell ref="H28:J28"/>
    <mergeCell ref="B29:J29"/>
    <mergeCell ref="B31:J31"/>
    <mergeCell ref="B32:G32"/>
    <mergeCell ref="H32:J32"/>
    <mergeCell ref="B33:G33"/>
    <mergeCell ref="H33:J33"/>
    <mergeCell ref="B34:J34"/>
    <mergeCell ref="B35:G35"/>
    <mergeCell ref="I35:J35"/>
    <mergeCell ref="B36:J36"/>
    <mergeCell ref="B37:G37"/>
    <mergeCell ref="H37:J37"/>
    <mergeCell ref="B38:J38"/>
    <mergeCell ref="A39:G39"/>
    <mergeCell ref="H39:J39"/>
    <mergeCell ref="B41:J41"/>
    <mergeCell ref="B42:G42"/>
    <mergeCell ref="H42:J42"/>
    <mergeCell ref="B43:G43"/>
    <mergeCell ref="H43:J43"/>
    <mergeCell ref="B44:J44"/>
    <mergeCell ref="B45:J45"/>
    <mergeCell ref="B46:J46"/>
    <mergeCell ref="B47:G47"/>
    <mergeCell ref="H47:J47"/>
    <mergeCell ref="B48:J48"/>
    <mergeCell ref="B49:G49"/>
    <mergeCell ref="H49:J49"/>
    <mergeCell ref="B50:J50"/>
    <mergeCell ref="A51:G51"/>
    <mergeCell ref="H51:J51"/>
    <mergeCell ref="B53:J53"/>
    <mergeCell ref="B54:G54"/>
    <mergeCell ref="B55:G55"/>
    <mergeCell ref="B56:G56"/>
    <mergeCell ref="B57:G57"/>
    <mergeCell ref="B58:G58"/>
    <mergeCell ref="B59:G59"/>
    <mergeCell ref="B60:G60"/>
    <mergeCell ref="B61:G61"/>
    <mergeCell ref="B62:G62"/>
    <mergeCell ref="B63:G63"/>
    <mergeCell ref="B64:G64"/>
    <mergeCell ref="B65:J65"/>
    <mergeCell ref="B66:J66"/>
    <mergeCell ref="B67:J67"/>
    <mergeCell ref="B68:G68"/>
    <mergeCell ref="H68:J68"/>
    <mergeCell ref="B69:J69"/>
    <mergeCell ref="A70:G70"/>
    <mergeCell ref="H70:J70"/>
    <mergeCell ref="B72:E72"/>
    <mergeCell ref="G72:H72"/>
    <mergeCell ref="B73:E73"/>
    <mergeCell ref="G73:H73"/>
    <mergeCell ref="B74:E74"/>
    <mergeCell ref="G74:H74"/>
    <mergeCell ref="B75:E75"/>
    <mergeCell ref="G75:H75"/>
    <mergeCell ref="B76:E76"/>
    <mergeCell ref="G76:H76"/>
    <mergeCell ref="B77:E77"/>
    <mergeCell ref="G77:H77"/>
    <mergeCell ref="B78:E78"/>
    <mergeCell ref="G78:H78"/>
    <mergeCell ref="B79:E79"/>
    <mergeCell ref="G79:H79"/>
    <mergeCell ref="B80:E80"/>
    <mergeCell ref="G80:H80"/>
    <mergeCell ref="B81:E81"/>
    <mergeCell ref="G81:H81"/>
    <mergeCell ref="B82:E82"/>
    <mergeCell ref="G82:H82"/>
    <mergeCell ref="B83:E83"/>
    <mergeCell ref="G83:H83"/>
    <mergeCell ref="B84:J84"/>
    <mergeCell ref="B85:J85"/>
    <mergeCell ref="B86:J86"/>
    <mergeCell ref="B87:J87"/>
    <mergeCell ref="B88:J88"/>
    <mergeCell ref="B89:J89"/>
    <mergeCell ref="B90:G90"/>
    <mergeCell ref="H90:J90"/>
    <mergeCell ref="B91:J91"/>
    <mergeCell ref="A92:G92"/>
    <mergeCell ref="H92:J92"/>
    <mergeCell ref="B94:J94"/>
    <mergeCell ref="B95:G95"/>
    <mergeCell ref="I95:J95"/>
    <mergeCell ref="B96:G96"/>
    <mergeCell ref="I96:J96"/>
    <mergeCell ref="B97:J97"/>
    <mergeCell ref="B98:G98"/>
    <mergeCell ref="I98:J98"/>
    <mergeCell ref="B99:J99"/>
    <mergeCell ref="B100:J100"/>
    <mergeCell ref="B101:G101"/>
    <mergeCell ref="I101:J101"/>
    <mergeCell ref="B102:J102"/>
    <mergeCell ref="B103:J103"/>
    <mergeCell ref="B104:G104"/>
    <mergeCell ref="I104:J104"/>
    <mergeCell ref="B105:J105"/>
    <mergeCell ref="B106:J106"/>
    <mergeCell ref="B107:G107"/>
    <mergeCell ref="I107:J107"/>
    <mergeCell ref="B108:J108"/>
    <mergeCell ref="B109:J109"/>
    <mergeCell ref="B110:G110"/>
    <mergeCell ref="I110:J110"/>
    <mergeCell ref="B111:J111"/>
    <mergeCell ref="B112:G112"/>
    <mergeCell ref="I112:J112"/>
    <mergeCell ref="B113:J113"/>
    <mergeCell ref="B114:J114"/>
    <mergeCell ref="B115:G115"/>
    <mergeCell ref="I115:J115"/>
    <mergeCell ref="B116:J116"/>
    <mergeCell ref="B117:J117"/>
    <mergeCell ref="A118:G118"/>
    <mergeCell ref="I118:J118"/>
    <mergeCell ref="B120:G120"/>
    <mergeCell ref="I120:J120"/>
    <mergeCell ref="B121:G121"/>
    <mergeCell ref="I121:J121"/>
    <mergeCell ref="B122:J122"/>
    <mergeCell ref="B123:J123"/>
    <mergeCell ref="B124:G124"/>
    <mergeCell ref="I124:J124"/>
    <mergeCell ref="B125:J125"/>
    <mergeCell ref="A126:G126"/>
    <mergeCell ref="I126:J126"/>
    <mergeCell ref="B128:G128"/>
    <mergeCell ref="I128:J128"/>
    <mergeCell ref="B129:G129"/>
    <mergeCell ref="I129:J129"/>
    <mergeCell ref="B130:J130"/>
    <mergeCell ref="B131:J131"/>
    <mergeCell ref="B132:J132"/>
    <mergeCell ref="B133:G133"/>
    <mergeCell ref="I133:J133"/>
    <mergeCell ref="B134:J134"/>
    <mergeCell ref="A135:G135"/>
    <mergeCell ref="I135:J135"/>
    <mergeCell ref="B137:G137"/>
    <mergeCell ref="I137:J137"/>
    <mergeCell ref="B138:G138"/>
    <mergeCell ref="I138:J138"/>
    <mergeCell ref="B139:J139"/>
    <mergeCell ref="B140:J140"/>
    <mergeCell ref="B141:J141"/>
    <mergeCell ref="B142:J142"/>
    <mergeCell ref="B143:G143"/>
    <mergeCell ref="I143:J143"/>
    <mergeCell ref="B144:J144"/>
    <mergeCell ref="B145:G145"/>
    <mergeCell ref="I145:J145"/>
    <mergeCell ref="B146:J146"/>
    <mergeCell ref="B147:J147"/>
    <mergeCell ref="B148:G148"/>
    <mergeCell ref="I148:J148"/>
    <mergeCell ref="B149:J149"/>
    <mergeCell ref="B150:J150"/>
    <mergeCell ref="B151:G151"/>
    <mergeCell ref="I151:J151"/>
    <mergeCell ref="B152:J152"/>
    <mergeCell ref="B153:G153"/>
    <mergeCell ref="I153:J153"/>
    <mergeCell ref="B154:J154"/>
    <mergeCell ref="A155:G155"/>
    <mergeCell ref="I155:J155"/>
    <mergeCell ref="B157:G157"/>
    <mergeCell ref="I157:J157"/>
    <mergeCell ref="B158:G158"/>
    <mergeCell ref="I158:J158"/>
    <mergeCell ref="B159:J159"/>
    <mergeCell ref="B160:J160"/>
    <mergeCell ref="B161:G161"/>
    <mergeCell ref="I161:J161"/>
    <mergeCell ref="B162:J162"/>
    <mergeCell ref="B163:J163"/>
    <mergeCell ref="B164:G164"/>
    <mergeCell ref="I164:J164"/>
    <mergeCell ref="B165:J165"/>
    <mergeCell ref="B166:J166"/>
    <mergeCell ref="B167:G167"/>
    <mergeCell ref="I167:J167"/>
    <mergeCell ref="B168:J168"/>
    <mergeCell ref="B169:J169"/>
    <mergeCell ref="B170:G170"/>
    <mergeCell ref="I170:J170"/>
    <mergeCell ref="B171:J171"/>
    <mergeCell ref="B172:J172"/>
    <mergeCell ref="B173:G173"/>
    <mergeCell ref="I173:J173"/>
    <mergeCell ref="B174:J174"/>
    <mergeCell ref="B175:J175"/>
    <mergeCell ref="B176:G176"/>
    <mergeCell ref="I176:J176"/>
    <mergeCell ref="B177:J177"/>
    <mergeCell ref="B178:J178"/>
    <mergeCell ref="A179:G179"/>
    <mergeCell ref="I179:J179"/>
    <mergeCell ref="A181:J181"/>
    <mergeCell ref="B182:G182"/>
    <mergeCell ref="I182:J182"/>
    <mergeCell ref="B183:G183"/>
    <mergeCell ref="I183:J183"/>
    <mergeCell ref="B184:G184"/>
    <mergeCell ref="I184:J184"/>
    <mergeCell ref="B185:G185"/>
    <mergeCell ref="I185:J185"/>
    <mergeCell ref="B186:G186"/>
    <mergeCell ref="I186:J186"/>
    <mergeCell ref="B187:G187"/>
    <mergeCell ref="I187:J187"/>
    <mergeCell ref="A188:H188"/>
    <mergeCell ref="I188:J188"/>
    <mergeCell ref="A190:J190"/>
    <mergeCell ref="A192:J192"/>
    <mergeCell ref="B193:G193"/>
    <mergeCell ref="I193:J193"/>
    <mergeCell ref="B194:G194"/>
    <mergeCell ref="I194:J194"/>
    <mergeCell ref="B195:G195"/>
    <mergeCell ref="I195:J195"/>
    <mergeCell ref="B196:G196"/>
    <mergeCell ref="H196:J196"/>
    <mergeCell ref="B197:G197"/>
    <mergeCell ref="H197:J197"/>
    <mergeCell ref="B198:G198"/>
    <mergeCell ref="H198:J198"/>
    <mergeCell ref="B199:G199"/>
    <mergeCell ref="I199:J199"/>
    <mergeCell ref="B200:G200"/>
    <mergeCell ref="I200:J200"/>
    <mergeCell ref="B201:G201"/>
    <mergeCell ref="I201:J201"/>
    <mergeCell ref="A202:H202"/>
    <mergeCell ref="I202:J202"/>
    <mergeCell ref="A204:J204"/>
    <mergeCell ref="B205:G205"/>
    <mergeCell ref="I205:J205"/>
    <mergeCell ref="B206:G206"/>
    <mergeCell ref="I206:J206"/>
    <mergeCell ref="B207:G207"/>
    <mergeCell ref="I207:J207"/>
    <mergeCell ref="B208:G208"/>
    <mergeCell ref="H208:J208"/>
    <mergeCell ref="B209:G209"/>
    <mergeCell ref="H209:J209"/>
    <mergeCell ref="B210:G210"/>
    <mergeCell ref="H210:J210"/>
    <mergeCell ref="B211:G211"/>
    <mergeCell ref="I211:J211"/>
    <mergeCell ref="B212:G212"/>
    <mergeCell ref="I212:J212"/>
    <mergeCell ref="B213:G213"/>
    <mergeCell ref="I213:J213"/>
    <mergeCell ref="A214:H214"/>
    <mergeCell ref="I214:J214"/>
    <mergeCell ref="A216:J216"/>
    <mergeCell ref="B217:G217"/>
    <mergeCell ref="I217:J217"/>
    <mergeCell ref="B218:G218"/>
    <mergeCell ref="I218:J218"/>
    <mergeCell ref="B219:G219"/>
    <mergeCell ref="I219:J219"/>
    <mergeCell ref="B220:G220"/>
    <mergeCell ref="H220:J220"/>
    <mergeCell ref="B221:G221"/>
    <mergeCell ref="H221:J221"/>
    <mergeCell ref="B222:G222"/>
    <mergeCell ref="H222:J222"/>
    <mergeCell ref="B223:G223"/>
    <mergeCell ref="I223:J223"/>
    <mergeCell ref="B224:G224"/>
    <mergeCell ref="I224:J224"/>
    <mergeCell ref="B225:G225"/>
    <mergeCell ref="I225:J225"/>
    <mergeCell ref="A226:H226"/>
    <mergeCell ref="I226:J226"/>
    <mergeCell ref="A228:J228"/>
    <mergeCell ref="B229:G229"/>
    <mergeCell ref="I229:J229"/>
    <mergeCell ref="B230:G230"/>
    <mergeCell ref="I230:J230"/>
    <mergeCell ref="B231:G231"/>
    <mergeCell ref="I231:J231"/>
    <mergeCell ref="B232:G232"/>
    <mergeCell ref="H232:J232"/>
    <mergeCell ref="B233:G233"/>
    <mergeCell ref="H233:J233"/>
    <mergeCell ref="B234:G234"/>
    <mergeCell ref="H234:J234"/>
    <mergeCell ref="B235:G235"/>
    <mergeCell ref="I235:J235"/>
    <mergeCell ref="B236:G236"/>
    <mergeCell ref="I236:J236"/>
    <mergeCell ref="B237:G237"/>
    <mergeCell ref="I237:J237"/>
    <mergeCell ref="A238:H238"/>
    <mergeCell ref="I238:J238"/>
    <mergeCell ref="A240:J240"/>
    <mergeCell ref="B241:G241"/>
    <mergeCell ref="I241:J241"/>
    <mergeCell ref="B242:G242"/>
    <mergeCell ref="I242:J242"/>
    <mergeCell ref="B243:G243"/>
    <mergeCell ref="I243:J243"/>
    <mergeCell ref="B244:G244"/>
    <mergeCell ref="H244:J244"/>
    <mergeCell ref="B245:G245"/>
    <mergeCell ref="H245:J245"/>
    <mergeCell ref="B246:G246"/>
    <mergeCell ref="H246:J246"/>
    <mergeCell ref="B247:G247"/>
    <mergeCell ref="I247:J247"/>
    <mergeCell ref="B248:G248"/>
    <mergeCell ref="I248:J248"/>
    <mergeCell ref="B249:G249"/>
    <mergeCell ref="I249:J249"/>
    <mergeCell ref="A250:H250"/>
    <mergeCell ref="I250:J250"/>
  </mergeCells>
  <hyperlinks>
    <hyperlink ref="K7" location="Início!A7" display="Início"/>
    <hyperlink ref="L7" location="'C. F. P. Vigia Diurno'!A7" display="Voltar"/>
    <hyperlink ref="M7" location="'Custo Mensal do Veículo'!A7" display="Avançar"/>
    <hyperlink ref="B139" r:id="rId2" display="Os dados de rotatividade da mão de obra para este estudo foram obtidos no CAGED –&#10;Cadastro Geral de Empregados e Desempregados, e podem ser consultados em: http://bi.mte.gov.br/cagedestabelecimento/pages/consulta.xhtml"/>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 F. P. - VIGIA NOTURNO&amp;C&amp;"Times New Roman,Normal"&amp;10&lt;Inserir nome da empresa&gt;
&lt;Inserir endereço da empresa&gt;
&lt;Inserir telefone da empresa&gt;
&lt;Inserir correio eletrônico da empresa&gt;&amp;R&amp;"Times New Roman,Normal"&amp;10&amp;P/&amp;N</oddFooter>
  </headerFooter>
  <legacyDrawing r:id="rId3"/>
</worksheet>
</file>

<file path=xl/worksheets/sheet14.xml><?xml version="1.0" encoding="utf-8"?>
<worksheet xmlns="http://schemas.openxmlformats.org/spreadsheetml/2006/main" xmlns:r="http://schemas.openxmlformats.org/officeDocument/2006/relationships">
  <sheetPr filterMode="false">
    <pageSetUpPr fitToPage="false"/>
  </sheetPr>
  <dimension ref="A1:N81"/>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A7" activeCellId="0" sqref="A7"/>
    </sheetView>
  </sheetViews>
  <sheetFormatPr defaultRowHeight="12.75"/>
  <cols>
    <col collapsed="false" hidden="false" max="2" min="1" style="1" width="8.77551020408163"/>
    <col collapsed="false" hidden="false" max="8" min="3" style="1" width="9.04591836734694"/>
    <col collapsed="false" hidden="false" max="9" min="9" style="1" width="9.44897959183673"/>
    <col collapsed="false" hidden="false" max="10" min="10" style="1" width="10.1224489795918"/>
    <col collapsed="false" hidden="false" max="11" min="11" style="1" width="9.04591836734694"/>
    <col collapsed="false" hidden="true" max="12" min="12" style="1" width="0"/>
    <col collapsed="false" hidden="false" max="1025" min="13"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567</v>
      </c>
      <c r="B7" s="3"/>
      <c r="C7" s="3"/>
      <c r="D7" s="3"/>
      <c r="E7" s="3"/>
      <c r="F7" s="3"/>
      <c r="G7" s="3"/>
      <c r="H7" s="3"/>
      <c r="I7" s="3"/>
      <c r="J7" s="3"/>
      <c r="K7" s="26" t="s">
        <v>12</v>
      </c>
      <c r="M7" s="13" t="s">
        <v>45</v>
      </c>
      <c r="N7" s="5" t="s">
        <v>6</v>
      </c>
    </row>
    <row r="9" customFormat="false" ht="12.75" hidden="false" customHeight="false" outlineLevel="0" collapsed="false">
      <c r="A9" s="27" t="s">
        <v>104</v>
      </c>
      <c r="B9" s="27"/>
      <c r="C9" s="27"/>
      <c r="D9" s="27"/>
      <c r="E9" s="27"/>
      <c r="F9" s="27"/>
      <c r="G9" s="27"/>
      <c r="H9" s="27"/>
      <c r="I9" s="27"/>
      <c r="J9" s="27"/>
    </row>
    <row r="11" customFormat="false" ht="12.75" hidden="false" customHeight="false" outlineLevel="0" collapsed="false">
      <c r="A11" s="147" t="s">
        <v>568</v>
      </c>
      <c r="B11" s="147"/>
      <c r="C11" s="147"/>
      <c r="D11" s="147"/>
      <c r="E11" s="147"/>
      <c r="F11" s="147"/>
      <c r="G11" s="147"/>
      <c r="H11" s="147"/>
      <c r="I11" s="147"/>
      <c r="J11" s="148"/>
    </row>
    <row r="12" customFormat="false" ht="12.75" hidden="false" customHeight="false" outlineLevel="0" collapsed="false">
      <c r="A12" s="1" t="s">
        <v>569</v>
      </c>
      <c r="E12" s="89" t="n">
        <v>60</v>
      </c>
      <c r="F12" s="1" t="s">
        <v>570</v>
      </c>
    </row>
    <row r="13" customFormat="false" ht="12.75" hidden="false" customHeight="false" outlineLevel="0" collapsed="false">
      <c r="A13" s="1" t="s">
        <v>571</v>
      </c>
      <c r="E13" s="149" t="s">
        <v>572</v>
      </c>
      <c r="F13" s="150"/>
      <c r="G13" s="150"/>
      <c r="H13" s="150"/>
      <c r="I13" s="150"/>
      <c r="J13" s="150"/>
    </row>
    <row r="14" customFormat="false" ht="12.75" hidden="false" customHeight="false" outlineLevel="0" collapsed="false">
      <c r="A14" s="1" t="s">
        <v>573</v>
      </c>
      <c r="E14" s="149"/>
      <c r="F14" s="1" t="s">
        <v>574</v>
      </c>
    </row>
    <row r="15" customFormat="false" ht="12.75" hidden="false" customHeight="false" outlineLevel="0" collapsed="false">
      <c r="A15" s="1" t="s">
        <v>575</v>
      </c>
      <c r="E15" s="89" t="n">
        <f aca="false">E14*E12</f>
        <v>0</v>
      </c>
      <c r="F15" s="1" t="s">
        <v>574</v>
      </c>
    </row>
    <row r="17" customFormat="false" ht="12.75" hidden="false" customHeight="false" outlineLevel="0" collapsed="false">
      <c r="A17" s="28" t="s">
        <v>396</v>
      </c>
      <c r="B17" s="147" t="s">
        <v>576</v>
      </c>
      <c r="C17" s="147"/>
      <c r="D17" s="147"/>
      <c r="E17" s="151" t="s">
        <v>577</v>
      </c>
      <c r="F17" s="28" t="s">
        <v>578</v>
      </c>
      <c r="G17" s="28" t="s">
        <v>579</v>
      </c>
      <c r="H17" s="28"/>
      <c r="I17" s="28" t="s">
        <v>580</v>
      </c>
      <c r="J17" s="28"/>
    </row>
    <row r="18" customFormat="false" ht="12.75" hidden="false" customHeight="false" outlineLevel="0" collapsed="false">
      <c r="A18" s="19" t="s">
        <v>120</v>
      </c>
      <c r="B18" s="50" t="s">
        <v>581</v>
      </c>
      <c r="C18" s="51"/>
      <c r="D18" s="52"/>
      <c r="E18" s="19" t="n">
        <v>13.1</v>
      </c>
      <c r="F18" s="19" t="s">
        <v>582</v>
      </c>
      <c r="G18" s="140"/>
      <c r="H18" s="140"/>
      <c r="I18" s="25" t="n">
        <f aca="false">$E$14*G18/$E18</f>
        <v>0</v>
      </c>
      <c r="J18" s="25"/>
    </row>
    <row r="19" customFormat="false" ht="12.75" hidden="false" customHeight="false" outlineLevel="0" collapsed="false">
      <c r="A19" s="19" t="s">
        <v>123</v>
      </c>
      <c r="B19" s="50" t="s">
        <v>583</v>
      </c>
      <c r="C19" s="51"/>
      <c r="D19" s="52"/>
      <c r="E19" s="19" t="n">
        <v>4</v>
      </c>
      <c r="F19" s="19" t="s">
        <v>584</v>
      </c>
      <c r="G19" s="152"/>
      <c r="H19" s="152"/>
      <c r="I19" s="25" t="n">
        <f aca="false">G19*E19</f>
        <v>0</v>
      </c>
      <c r="J19" s="25"/>
    </row>
    <row r="20" customFormat="false" ht="12.75" hidden="false" customHeight="true" outlineLevel="0" collapsed="false">
      <c r="A20" s="19" t="s">
        <v>126</v>
      </c>
      <c r="B20" s="50" t="s">
        <v>585</v>
      </c>
      <c r="C20" s="51"/>
      <c r="D20" s="52"/>
      <c r="E20" s="41" t="n">
        <v>15000</v>
      </c>
      <c r="F20" s="19" t="s">
        <v>586</v>
      </c>
      <c r="G20" s="152"/>
      <c r="H20" s="152"/>
      <c r="I20" s="25" t="n">
        <f aca="false">(G20/E20)*$E$14</f>
        <v>0</v>
      </c>
      <c r="J20" s="25"/>
    </row>
    <row r="21" customFormat="false" ht="12.75" hidden="false" customHeight="true" outlineLevel="0" collapsed="false">
      <c r="A21" s="19" t="s">
        <v>160</v>
      </c>
      <c r="B21" s="50" t="s">
        <v>587</v>
      </c>
      <c r="C21" s="51"/>
      <c r="D21" s="52"/>
      <c r="E21" s="41" t="n">
        <v>15000</v>
      </c>
      <c r="F21" s="19" t="s">
        <v>586</v>
      </c>
      <c r="G21" s="152"/>
      <c r="H21" s="152"/>
      <c r="I21" s="25" t="n">
        <f aca="false">(G21/E21)*$E$14</f>
        <v>0</v>
      </c>
      <c r="J21" s="25"/>
    </row>
    <row r="22" customFormat="false" ht="12.75" hidden="false" customHeight="true" outlineLevel="0" collapsed="false">
      <c r="A22" s="153" t="s">
        <v>161</v>
      </c>
      <c r="B22" s="50" t="s">
        <v>588</v>
      </c>
      <c r="C22" s="51"/>
      <c r="D22" s="52"/>
      <c r="E22" s="41" t="n">
        <v>40000</v>
      </c>
      <c r="F22" s="19" t="s">
        <v>586</v>
      </c>
      <c r="G22" s="152"/>
      <c r="H22" s="152"/>
      <c r="I22" s="25" t="n">
        <f aca="false">(G22/E22)*$E$14</f>
        <v>0</v>
      </c>
      <c r="J22" s="25"/>
    </row>
    <row r="23" customFormat="false" ht="12.75" hidden="false" customHeight="true" outlineLevel="0" collapsed="false">
      <c r="A23" s="153" t="s">
        <v>163</v>
      </c>
      <c r="B23" s="50" t="s">
        <v>444</v>
      </c>
      <c r="C23" s="51"/>
      <c r="D23" s="52"/>
      <c r="E23" s="42"/>
      <c r="F23" s="140"/>
      <c r="G23" s="152"/>
      <c r="H23" s="152"/>
      <c r="I23" s="25" t="str">
        <f aca="false">IFERROR((G23/E23)*$E$14,"")</f>
        <v/>
      </c>
      <c r="J23" s="25"/>
    </row>
    <row r="24" customFormat="false" ht="12.75" hidden="false" customHeight="false" outlineLevel="0" collapsed="false">
      <c r="A24" s="141" t="str">
        <f aca="false">"Total mensal do "&amp;$A$17</f>
        <v>Total mensal do Módulo1</v>
      </c>
      <c r="B24" s="141"/>
      <c r="C24" s="141"/>
      <c r="D24" s="141"/>
      <c r="E24" s="141"/>
      <c r="F24" s="141"/>
      <c r="G24" s="141"/>
      <c r="H24" s="141"/>
      <c r="I24" s="154" t="n">
        <f aca="false">SUM(I18:I22)</f>
        <v>0</v>
      </c>
      <c r="J24" s="154"/>
    </row>
    <row r="26" customFormat="false" ht="12.75" hidden="false" customHeight="false" outlineLevel="0" collapsed="false">
      <c r="A26" s="28" t="s">
        <v>589</v>
      </c>
      <c r="B26" s="147" t="s">
        <v>590</v>
      </c>
      <c r="C26" s="147"/>
      <c r="D26" s="147"/>
      <c r="E26" s="155"/>
      <c r="F26" s="147"/>
      <c r="G26" s="155"/>
      <c r="H26" s="147"/>
      <c r="I26" s="147"/>
      <c r="J26" s="148"/>
    </row>
    <row r="27" customFormat="false" ht="12.75" hidden="false" customHeight="false" outlineLevel="0" collapsed="false">
      <c r="A27" s="19"/>
      <c r="B27" s="36" t="s">
        <v>591</v>
      </c>
      <c r="C27" s="156" t="s">
        <v>592</v>
      </c>
      <c r="D27" s="156"/>
      <c r="E27" s="16" t="s">
        <v>579</v>
      </c>
      <c r="F27" s="16" t="s">
        <v>593</v>
      </c>
      <c r="G27" s="16"/>
      <c r="H27" s="16" t="s">
        <v>594</v>
      </c>
      <c r="I27" s="16" t="s">
        <v>580</v>
      </c>
      <c r="J27" s="16"/>
    </row>
    <row r="28" customFormat="false" ht="12.75" hidden="false" customHeight="false" outlineLevel="0" collapsed="false">
      <c r="A28" s="19" t="s">
        <v>132</v>
      </c>
      <c r="B28" s="23" t="s">
        <v>595</v>
      </c>
      <c r="C28" s="157" t="n">
        <v>10000</v>
      </c>
      <c r="D28" s="157"/>
      <c r="E28" s="152"/>
      <c r="F28" s="19" t="str">
        <f aca="false">IF(C28&lt;=$E$15,"sim"," ")</f>
        <v> </v>
      </c>
      <c r="G28" s="19"/>
      <c r="H28" s="25" t="str">
        <f aca="false">IF(F28="sim",E28," ")</f>
        <v> </v>
      </c>
      <c r="I28" s="25" t="str">
        <f aca="false">IFERROR(H28/$E$12," ")</f>
        <v> </v>
      </c>
      <c r="J28" s="25"/>
    </row>
    <row r="29" customFormat="false" ht="12.75" hidden="false" customHeight="false" outlineLevel="0" collapsed="false">
      <c r="A29" s="19" t="s">
        <v>135</v>
      </c>
      <c r="B29" s="23" t="s">
        <v>596</v>
      </c>
      <c r="C29" s="157" t="n">
        <v>20000</v>
      </c>
      <c r="D29" s="157"/>
      <c r="E29" s="152"/>
      <c r="F29" s="19" t="str">
        <f aca="false">IF(C29&lt;=$E$15,"sim"," ")</f>
        <v> </v>
      </c>
      <c r="G29" s="19"/>
      <c r="H29" s="25" t="str">
        <f aca="false">IF(F29="sim",E29," ")</f>
        <v> </v>
      </c>
      <c r="I29" s="25" t="str">
        <f aca="false">IFERROR(H29/$E$12," ")</f>
        <v> </v>
      </c>
      <c r="J29" s="25"/>
    </row>
    <row r="30" customFormat="false" ht="12.75" hidden="false" customHeight="false" outlineLevel="0" collapsed="false">
      <c r="A30" s="19" t="s">
        <v>138</v>
      </c>
      <c r="B30" s="23" t="s">
        <v>597</v>
      </c>
      <c r="C30" s="157" t="n">
        <v>30000</v>
      </c>
      <c r="D30" s="157"/>
      <c r="E30" s="152"/>
      <c r="F30" s="19" t="str">
        <f aca="false">IF(C30&lt;=$E$15,"sim"," ")</f>
        <v> </v>
      </c>
      <c r="G30" s="19"/>
      <c r="H30" s="25" t="str">
        <f aca="false">IF(F30="sim",E30," ")</f>
        <v> </v>
      </c>
      <c r="I30" s="25" t="str">
        <f aca="false">IFERROR(H30/$E$12," ")</f>
        <v> </v>
      </c>
      <c r="J30" s="25"/>
    </row>
    <row r="31" customFormat="false" ht="12.75" hidden="false" customHeight="false" outlineLevel="0" collapsed="false">
      <c r="A31" s="19" t="s">
        <v>190</v>
      </c>
      <c r="B31" s="23" t="s">
        <v>598</v>
      </c>
      <c r="C31" s="157" t="n">
        <v>40000</v>
      </c>
      <c r="D31" s="157"/>
      <c r="E31" s="152"/>
      <c r="F31" s="19" t="str">
        <f aca="false">IF(C31&lt;=$E$15,"sim"," ")</f>
        <v> </v>
      </c>
      <c r="G31" s="19"/>
      <c r="H31" s="25" t="str">
        <f aca="false">IF(F31="sim",E31," ")</f>
        <v> </v>
      </c>
      <c r="I31" s="25" t="str">
        <f aca="false">IFERROR(H31/$E$12," ")</f>
        <v> </v>
      </c>
      <c r="J31" s="25"/>
    </row>
    <row r="32" customFormat="false" ht="12.75" hidden="false" customHeight="false" outlineLevel="0" collapsed="false">
      <c r="A32" s="19" t="s">
        <v>345</v>
      </c>
      <c r="B32" s="23" t="s">
        <v>599</v>
      </c>
      <c r="C32" s="157" t="n">
        <v>50000</v>
      </c>
      <c r="D32" s="157"/>
      <c r="E32" s="152"/>
      <c r="F32" s="19" t="str">
        <f aca="false">IF(C32&lt;=$E$15,"sim"," ")</f>
        <v> </v>
      </c>
      <c r="G32" s="19"/>
      <c r="H32" s="25" t="str">
        <f aca="false">IF(F32="sim",E32," ")</f>
        <v> </v>
      </c>
      <c r="I32" s="25" t="str">
        <f aca="false">IFERROR(H32/$E$12," ")</f>
        <v> </v>
      </c>
      <c r="J32" s="25"/>
    </row>
    <row r="33" customFormat="false" ht="12.75" hidden="false" customHeight="false" outlineLevel="0" collapsed="false">
      <c r="A33" s="153" t="s">
        <v>600</v>
      </c>
      <c r="B33" s="23" t="s">
        <v>601</v>
      </c>
      <c r="C33" s="157" t="n">
        <v>60000</v>
      </c>
      <c r="D33" s="157"/>
      <c r="E33" s="158"/>
      <c r="F33" s="153" t="str">
        <f aca="false">IF(C33&lt;=$E$15,"sim"," ")</f>
        <v> </v>
      </c>
      <c r="G33" s="153"/>
      <c r="H33" s="159" t="str">
        <f aca="false">IF(F33="sim",E33," ")</f>
        <v> </v>
      </c>
      <c r="I33" s="25" t="str">
        <f aca="false">IFERROR(H33/$E$12," ")</f>
        <v> </v>
      </c>
      <c r="J33" s="25"/>
    </row>
    <row r="34" customFormat="false" ht="12.75" hidden="false" customHeight="false" outlineLevel="0" collapsed="false">
      <c r="A34" s="160" t="str">
        <f aca="false">"Total mensal do "&amp;A26</f>
        <v>Total mensal do Módulo 2</v>
      </c>
      <c r="B34" s="160"/>
      <c r="C34" s="160"/>
      <c r="D34" s="160"/>
      <c r="E34" s="160"/>
      <c r="F34" s="160"/>
      <c r="G34" s="160"/>
      <c r="H34" s="160"/>
      <c r="I34" s="154" t="n">
        <f aca="false">SUM(I28:I33)</f>
        <v>0</v>
      </c>
      <c r="J34" s="154"/>
    </row>
    <row r="36" customFormat="false" ht="12.75" hidden="false" customHeight="false" outlineLevel="0" collapsed="false">
      <c r="A36" s="28" t="s">
        <v>602</v>
      </c>
      <c r="B36" s="147" t="s">
        <v>603</v>
      </c>
      <c r="C36" s="147"/>
      <c r="D36" s="147"/>
      <c r="E36" s="147"/>
      <c r="F36" s="147"/>
      <c r="G36" s="161" t="s">
        <v>604</v>
      </c>
      <c r="H36" s="161"/>
      <c r="I36" s="161" t="s">
        <v>580</v>
      </c>
      <c r="J36" s="161"/>
    </row>
    <row r="37" customFormat="false" ht="12.75" hidden="false" customHeight="false" outlineLevel="0" collapsed="false">
      <c r="A37" s="19" t="s">
        <v>348</v>
      </c>
      <c r="B37" s="50" t="s">
        <v>605</v>
      </c>
      <c r="C37" s="51"/>
      <c r="D37" s="51"/>
      <c r="E37" s="51"/>
      <c r="F37" s="51"/>
      <c r="G37" s="140"/>
      <c r="H37" s="140"/>
      <c r="I37" s="25" t="n">
        <f aca="false">G37/12</f>
        <v>0</v>
      </c>
      <c r="J37" s="25"/>
      <c r="L37" s="1" t="s">
        <v>606</v>
      </c>
    </row>
    <row r="38" customFormat="false" ht="12.75" hidden="false" customHeight="false" outlineLevel="0" collapsed="false">
      <c r="A38" s="19" t="s">
        <v>439</v>
      </c>
      <c r="B38" s="50" t="s">
        <v>607</v>
      </c>
      <c r="C38" s="51"/>
      <c r="D38" s="51"/>
      <c r="E38" s="51"/>
      <c r="F38" s="51"/>
      <c r="G38" s="152"/>
      <c r="H38" s="152"/>
      <c r="I38" s="25" t="n">
        <f aca="false">G38/12</f>
        <v>0</v>
      </c>
      <c r="J38" s="25"/>
      <c r="L38" s="1" t="s">
        <v>608</v>
      </c>
    </row>
    <row r="39" customFormat="false" ht="12.75" hidden="false" customHeight="false" outlineLevel="0" collapsed="false">
      <c r="A39" s="19" t="s">
        <v>609</v>
      </c>
      <c r="B39" s="50" t="s">
        <v>610</v>
      </c>
      <c r="C39" s="51"/>
      <c r="D39" s="51"/>
      <c r="E39" s="51"/>
      <c r="F39" s="51"/>
      <c r="G39" s="152"/>
      <c r="H39" s="152"/>
      <c r="I39" s="25" t="n">
        <f aca="false">G39/12</f>
        <v>0</v>
      </c>
      <c r="J39" s="25"/>
      <c r="L39" s="1" t="s">
        <v>611</v>
      </c>
    </row>
    <row r="40" customFormat="false" ht="12.75" hidden="false" customHeight="false" outlineLevel="0" collapsed="false">
      <c r="A40" s="19" t="s">
        <v>612</v>
      </c>
      <c r="B40" s="50" t="s">
        <v>613</v>
      </c>
      <c r="C40" s="51"/>
      <c r="D40" s="51"/>
      <c r="E40" s="51"/>
      <c r="F40" s="51"/>
      <c r="G40" s="152"/>
      <c r="H40" s="152"/>
      <c r="I40" s="25" t="n">
        <f aca="false">G40/12</f>
        <v>0</v>
      </c>
      <c r="J40" s="25"/>
    </row>
    <row r="41" customFormat="false" ht="12.75" hidden="false" customHeight="false" outlineLevel="0" collapsed="false">
      <c r="A41" s="153" t="s">
        <v>614</v>
      </c>
      <c r="B41" s="162" t="s">
        <v>407</v>
      </c>
      <c r="C41" s="163"/>
      <c r="D41" s="163"/>
      <c r="E41" s="163"/>
      <c r="F41" s="163"/>
      <c r="G41" s="152"/>
      <c r="H41" s="152"/>
      <c r="I41" s="25"/>
      <c r="J41" s="25"/>
    </row>
    <row r="42" customFormat="false" ht="12.75" hidden="false" customHeight="false" outlineLevel="0" collapsed="false">
      <c r="A42" s="142" t="str">
        <f aca="false">"Total mensal do "&amp;$A$36</f>
        <v>Total mensal do Módulo 3</v>
      </c>
      <c r="B42" s="142"/>
      <c r="C42" s="142"/>
      <c r="D42" s="142"/>
      <c r="E42" s="142"/>
      <c r="F42" s="142"/>
      <c r="G42" s="25" t="n">
        <f aca="false">SUM(G37:G41)</f>
        <v>0</v>
      </c>
      <c r="H42" s="25"/>
      <c r="I42" s="25" t="n">
        <f aca="false">SUM(I37:I41)</f>
        <v>0</v>
      </c>
      <c r="J42" s="25"/>
    </row>
    <row r="44" customFormat="false" ht="12.75" hidden="false" customHeight="false" outlineLevel="0" collapsed="false">
      <c r="A44" s="28" t="s">
        <v>615</v>
      </c>
      <c r="B44" s="147" t="s">
        <v>616</v>
      </c>
      <c r="C44" s="147"/>
      <c r="D44" s="147"/>
      <c r="E44" s="147"/>
      <c r="F44" s="147"/>
      <c r="G44" s="147"/>
      <c r="H44" s="147"/>
      <c r="I44" s="147"/>
      <c r="J44" s="148"/>
    </row>
    <row r="45" customFormat="false" ht="12.75" hidden="false" customHeight="false" outlineLevel="0" collapsed="false">
      <c r="A45" s="19" t="s">
        <v>449</v>
      </c>
      <c r="B45" s="50" t="s">
        <v>617</v>
      </c>
      <c r="C45" s="51"/>
      <c r="D45" s="51"/>
      <c r="E45" s="51"/>
      <c r="F45" s="51"/>
      <c r="G45" s="51"/>
      <c r="H45" s="52"/>
      <c r="I45" s="152"/>
      <c r="J45" s="152"/>
    </row>
    <row r="46" customFormat="false" ht="12.75" hidden="false" customHeight="false" outlineLevel="0" collapsed="false">
      <c r="A46" s="19" t="s">
        <v>470</v>
      </c>
      <c r="B46" s="50" t="s">
        <v>618</v>
      </c>
      <c r="C46" s="51"/>
      <c r="D46" s="51"/>
      <c r="E46" s="51"/>
      <c r="F46" s="51"/>
      <c r="G46" s="51"/>
      <c r="H46" s="52"/>
      <c r="I46" s="25" t="n">
        <f aca="false">5*12</f>
        <v>60</v>
      </c>
      <c r="J46" s="25"/>
    </row>
    <row r="47" customFormat="false" ht="12.75" hidden="false" customHeight="false" outlineLevel="0" collapsed="false">
      <c r="A47" s="16" t="s">
        <v>474</v>
      </c>
      <c r="B47" s="91" t="s">
        <v>619</v>
      </c>
      <c r="C47" s="92"/>
      <c r="D47" s="92"/>
      <c r="E47" s="92"/>
      <c r="F47" s="92"/>
      <c r="G47" s="92"/>
      <c r="H47" s="164"/>
      <c r="I47" s="154" t="n">
        <f aca="false">I45/I46</f>
        <v>0</v>
      </c>
      <c r="J47" s="154"/>
    </row>
    <row r="49" customFormat="false" ht="12.75" hidden="false" customHeight="false" outlineLevel="0" collapsed="false">
      <c r="A49" s="28" t="s">
        <v>620</v>
      </c>
      <c r="B49" s="165" t="s">
        <v>621</v>
      </c>
      <c r="C49" s="147"/>
      <c r="D49" s="147"/>
      <c r="E49" s="147"/>
      <c r="F49" s="147"/>
      <c r="G49" s="147"/>
      <c r="H49" s="148"/>
      <c r="I49" s="166" t="s">
        <v>580</v>
      </c>
      <c r="J49" s="166"/>
    </row>
    <row r="50" customFormat="false" ht="12.75" hidden="false" customHeight="false" outlineLevel="0" collapsed="false">
      <c r="A50" s="19" t="n">
        <v>1</v>
      </c>
      <c r="B50" s="50" t="str">
        <f aca="false">B17</f>
        <v>Custos Variáveis</v>
      </c>
      <c r="C50" s="51"/>
      <c r="D50" s="51"/>
      <c r="E50" s="51"/>
      <c r="F50" s="51"/>
      <c r="G50" s="51"/>
      <c r="H50" s="51"/>
      <c r="I50" s="25" t="n">
        <f aca="false">I24</f>
        <v>0</v>
      </c>
      <c r="J50" s="25"/>
    </row>
    <row r="51" customFormat="false" ht="12.75" hidden="false" customHeight="false" outlineLevel="0" collapsed="false">
      <c r="A51" s="19" t="n">
        <v>2</v>
      </c>
      <c r="B51" s="50" t="str">
        <f aca="false">B26</f>
        <v>Revisão Programada durante a vigência da concessão</v>
      </c>
      <c r="C51" s="51"/>
      <c r="D51" s="51"/>
      <c r="E51" s="51"/>
      <c r="F51" s="51"/>
      <c r="G51" s="51"/>
      <c r="H51" s="51"/>
      <c r="I51" s="25" t="n">
        <f aca="false">I34</f>
        <v>0</v>
      </c>
      <c r="J51" s="25"/>
    </row>
    <row r="52" customFormat="false" ht="12.75" hidden="false" customHeight="false" outlineLevel="0" collapsed="false">
      <c r="A52" s="19" t="n">
        <v>3</v>
      </c>
      <c r="B52" s="50" t="str">
        <f aca="false">B36</f>
        <v>Custos Fixos</v>
      </c>
      <c r="C52" s="51"/>
      <c r="D52" s="51"/>
      <c r="E52" s="51"/>
      <c r="F52" s="51"/>
      <c r="G52" s="51"/>
      <c r="H52" s="51"/>
      <c r="I52" s="25" t="n">
        <f aca="false">I42</f>
        <v>0</v>
      </c>
      <c r="J52" s="25"/>
    </row>
    <row r="53" customFormat="false" ht="12.75" hidden="false" customHeight="false" outlineLevel="0" collapsed="false">
      <c r="A53" s="19" t="n">
        <v>4</v>
      </c>
      <c r="B53" s="50" t="str">
        <f aca="false">B44</f>
        <v>Depreciação</v>
      </c>
      <c r="C53" s="51"/>
      <c r="D53" s="51"/>
      <c r="E53" s="51"/>
      <c r="F53" s="51"/>
      <c r="G53" s="51"/>
      <c r="H53" s="51"/>
      <c r="I53" s="25" t="n">
        <f aca="false">I47</f>
        <v>0</v>
      </c>
      <c r="J53" s="25"/>
    </row>
    <row r="54" customFormat="false" ht="12.75" hidden="false" customHeight="false" outlineLevel="0" collapsed="false">
      <c r="A54" s="16" t="s">
        <v>622</v>
      </c>
      <c r="B54" s="16"/>
      <c r="C54" s="16"/>
      <c r="D54" s="16"/>
      <c r="E54" s="16"/>
      <c r="F54" s="16"/>
      <c r="G54" s="16"/>
      <c r="H54" s="16"/>
      <c r="I54" s="154" t="n">
        <f aca="false">SUM(I50:I53)</f>
        <v>0</v>
      </c>
      <c r="J54" s="154"/>
    </row>
    <row r="56" customFormat="false" ht="12.75" hidden="false" customHeight="false" outlineLevel="0" collapsed="false">
      <c r="A56" s="147" t="s">
        <v>623</v>
      </c>
      <c r="B56" s="147"/>
      <c r="C56" s="147"/>
      <c r="D56" s="147"/>
      <c r="E56" s="147"/>
      <c r="F56" s="147"/>
      <c r="G56" s="147"/>
      <c r="H56" s="147"/>
      <c r="I56" s="147"/>
      <c r="J56" s="148"/>
    </row>
    <row r="57" customFormat="false" ht="12.75" hidden="false" customHeight="false" outlineLevel="0" collapsed="false">
      <c r="A57" s="16" t="str">
        <f aca="false">A17&amp;": "&amp;B17</f>
        <v>Módulo1: Custos Variáveis</v>
      </c>
      <c r="B57" s="16"/>
      <c r="C57" s="16"/>
      <c r="D57" s="16"/>
      <c r="E57" s="16"/>
      <c r="F57" s="16"/>
      <c r="G57" s="16"/>
      <c r="H57" s="16"/>
      <c r="I57" s="16"/>
      <c r="J57" s="16"/>
    </row>
    <row r="58" customFormat="false" ht="27.75" hidden="false" customHeight="true" outlineLevel="0" collapsed="false">
      <c r="A58" s="10" t="s">
        <v>120</v>
      </c>
      <c r="B58" s="23" t="s">
        <v>624</v>
      </c>
      <c r="C58" s="11" t="s">
        <v>625</v>
      </c>
      <c r="D58" s="11"/>
      <c r="E58" s="11"/>
      <c r="F58" s="11"/>
      <c r="G58" s="11"/>
      <c r="H58" s="11"/>
      <c r="I58" s="11"/>
      <c r="J58" s="11"/>
    </row>
    <row r="59" customFormat="false" ht="12.75" hidden="false" customHeight="true" outlineLevel="0" collapsed="false">
      <c r="A59" s="10"/>
      <c r="B59" s="23" t="s">
        <v>364</v>
      </c>
      <c r="C59" s="11" t="s">
        <v>626</v>
      </c>
      <c r="D59" s="11"/>
      <c r="E59" s="11"/>
      <c r="F59" s="11"/>
      <c r="G59" s="11"/>
      <c r="H59" s="11"/>
      <c r="I59" s="11"/>
      <c r="J59" s="11"/>
    </row>
    <row r="60" customFormat="false" ht="12.75" hidden="false" customHeight="true" outlineLevel="0" collapsed="false">
      <c r="A60" s="10" t="s">
        <v>123</v>
      </c>
      <c r="B60" s="23" t="s">
        <v>627</v>
      </c>
      <c r="C60" s="11" t="s">
        <v>628</v>
      </c>
      <c r="D60" s="11"/>
      <c r="E60" s="11"/>
      <c r="F60" s="11"/>
      <c r="G60" s="11"/>
      <c r="H60" s="11"/>
      <c r="I60" s="11"/>
      <c r="J60" s="11"/>
    </row>
    <row r="61" customFormat="false" ht="12.75" hidden="false" customHeight="true" outlineLevel="0" collapsed="false">
      <c r="A61" s="10"/>
      <c r="B61" s="23" t="s">
        <v>364</v>
      </c>
      <c r="C61" s="11" t="s">
        <v>629</v>
      </c>
      <c r="D61" s="11"/>
      <c r="E61" s="11"/>
      <c r="F61" s="11"/>
      <c r="G61" s="11"/>
      <c r="H61" s="11"/>
      <c r="I61" s="11"/>
      <c r="J61" s="11"/>
    </row>
    <row r="62" customFormat="false" ht="24.75" hidden="false" customHeight="true" outlineLevel="0" collapsed="false">
      <c r="A62" s="23" t="s">
        <v>126</v>
      </c>
      <c r="B62" s="23" t="s">
        <v>364</v>
      </c>
      <c r="C62" s="11" t="s">
        <v>630</v>
      </c>
      <c r="D62" s="11"/>
      <c r="E62" s="11"/>
      <c r="F62" s="11"/>
      <c r="G62" s="11"/>
      <c r="H62" s="11"/>
      <c r="I62" s="11"/>
      <c r="J62" s="11"/>
    </row>
    <row r="63" customFormat="false" ht="27.75" hidden="false" customHeight="true" outlineLevel="0" collapsed="false">
      <c r="A63" s="23" t="s">
        <v>160</v>
      </c>
      <c r="B63" s="23" t="s">
        <v>364</v>
      </c>
      <c r="C63" s="11" t="s">
        <v>631</v>
      </c>
      <c r="D63" s="11"/>
      <c r="E63" s="11"/>
      <c r="F63" s="11"/>
      <c r="G63" s="11"/>
      <c r="H63" s="11"/>
      <c r="I63" s="11"/>
      <c r="J63" s="11"/>
    </row>
    <row r="64" customFormat="false" ht="30.75" hidden="false" customHeight="true" outlineLevel="0" collapsed="false">
      <c r="A64" s="23" t="s">
        <v>161</v>
      </c>
      <c r="B64" s="23" t="s">
        <v>364</v>
      </c>
      <c r="C64" s="11" t="s">
        <v>632</v>
      </c>
      <c r="D64" s="11"/>
      <c r="E64" s="11"/>
      <c r="F64" s="11"/>
      <c r="G64" s="11"/>
      <c r="H64" s="11"/>
      <c r="I64" s="11"/>
      <c r="J64" s="11"/>
    </row>
    <row r="65" customFormat="false" ht="12.75" hidden="false" customHeight="false" outlineLevel="0" collapsed="false">
      <c r="A65" s="19"/>
      <c r="B65" s="19"/>
      <c r="C65" s="19"/>
      <c r="D65" s="19"/>
      <c r="E65" s="19"/>
      <c r="F65" s="19"/>
      <c r="G65" s="19"/>
      <c r="H65" s="19"/>
      <c r="I65" s="19"/>
      <c r="J65" s="19"/>
    </row>
    <row r="66" customFormat="false" ht="12.75" hidden="false" customHeight="false" outlineLevel="0" collapsed="false">
      <c r="A66" s="16" t="str">
        <f aca="false">A26&amp;": "&amp;B26</f>
        <v>Módulo 2: Revisão Programada durante a vigência da concessão</v>
      </c>
      <c r="B66" s="16"/>
      <c r="C66" s="16"/>
      <c r="D66" s="16"/>
      <c r="E66" s="16"/>
      <c r="F66" s="16"/>
      <c r="G66" s="16"/>
      <c r="H66" s="16"/>
      <c r="I66" s="16"/>
      <c r="J66" s="16"/>
    </row>
    <row r="67" customFormat="false" ht="12.75" hidden="false" customHeight="false" outlineLevel="0" collapsed="false">
      <c r="A67" s="23" t="s">
        <v>627</v>
      </c>
      <c r="B67" s="10" t="s">
        <v>633</v>
      </c>
      <c r="C67" s="10"/>
      <c r="D67" s="10"/>
      <c r="E67" s="10"/>
      <c r="F67" s="10"/>
      <c r="G67" s="10"/>
      <c r="H67" s="10"/>
      <c r="I67" s="10"/>
      <c r="J67" s="10"/>
    </row>
    <row r="68" customFormat="false" ht="12.75" hidden="false" customHeight="false" outlineLevel="0" collapsed="false">
      <c r="A68" s="23" t="s">
        <v>634</v>
      </c>
      <c r="B68" s="10" t="s">
        <v>635</v>
      </c>
      <c r="C68" s="10"/>
      <c r="D68" s="10"/>
      <c r="E68" s="10"/>
      <c r="F68" s="10"/>
      <c r="G68" s="10"/>
      <c r="H68" s="10"/>
      <c r="I68" s="10"/>
      <c r="J68" s="10"/>
    </row>
    <row r="69" customFormat="false" ht="12.75" hidden="false" customHeight="false" outlineLevel="0" collapsed="false">
      <c r="A69" s="19"/>
      <c r="B69" s="19"/>
      <c r="C69" s="19"/>
      <c r="D69" s="19"/>
      <c r="E69" s="19"/>
      <c r="F69" s="19"/>
      <c r="G69" s="19"/>
      <c r="H69" s="19"/>
      <c r="I69" s="19"/>
      <c r="J69" s="19"/>
    </row>
    <row r="70" customFormat="false" ht="12.75" hidden="false" customHeight="false" outlineLevel="0" collapsed="false">
      <c r="A70" s="16" t="str">
        <f aca="false">A36&amp;": "&amp;B36</f>
        <v>Módulo 3: Custos Fixos</v>
      </c>
      <c r="B70" s="16"/>
      <c r="C70" s="16"/>
      <c r="D70" s="16"/>
      <c r="E70" s="16"/>
      <c r="F70" s="16"/>
      <c r="G70" s="16"/>
      <c r="H70" s="16"/>
      <c r="I70" s="16"/>
      <c r="J70" s="16"/>
    </row>
    <row r="71" customFormat="false" ht="15" hidden="false" customHeight="true" outlineLevel="0" collapsed="false">
      <c r="A71" s="10" t="s">
        <v>348</v>
      </c>
      <c r="B71" s="23" t="s">
        <v>419</v>
      </c>
      <c r="C71" s="167" t="s">
        <v>636</v>
      </c>
      <c r="D71" s="167"/>
      <c r="E71" s="167"/>
      <c r="F71" s="167"/>
      <c r="G71" s="167"/>
      <c r="H71" s="167"/>
      <c r="I71" s="167"/>
      <c r="J71" s="167"/>
    </row>
    <row r="72" customFormat="false" ht="12.75" hidden="false" customHeight="false" outlineLevel="0" collapsed="false">
      <c r="A72" s="10"/>
      <c r="B72" s="23" t="s">
        <v>364</v>
      </c>
      <c r="C72" s="167" t="s">
        <v>637</v>
      </c>
      <c r="D72" s="167"/>
      <c r="E72" s="167"/>
      <c r="F72" s="167"/>
      <c r="G72" s="167"/>
      <c r="H72" s="167"/>
      <c r="I72" s="167"/>
      <c r="J72" s="167"/>
    </row>
    <row r="73" customFormat="false" ht="12.75" hidden="false" customHeight="false" outlineLevel="0" collapsed="false">
      <c r="A73" s="10" t="s">
        <v>439</v>
      </c>
      <c r="B73" s="23" t="s">
        <v>419</v>
      </c>
      <c r="C73" s="10" t="s">
        <v>638</v>
      </c>
      <c r="D73" s="10"/>
      <c r="E73" s="10"/>
      <c r="F73" s="10"/>
      <c r="G73" s="10"/>
      <c r="H73" s="10"/>
      <c r="I73" s="10"/>
      <c r="J73" s="10"/>
    </row>
    <row r="74" customFormat="false" ht="12.75" hidden="false" customHeight="false" outlineLevel="0" collapsed="false">
      <c r="A74" s="10"/>
      <c r="B74" s="23" t="s">
        <v>639</v>
      </c>
      <c r="C74" s="168" t="s">
        <v>640</v>
      </c>
      <c r="D74" s="168"/>
      <c r="E74" s="168"/>
      <c r="F74" s="168"/>
      <c r="G74" s="168"/>
      <c r="H74" s="168"/>
      <c r="I74" s="168"/>
      <c r="J74" s="168"/>
    </row>
    <row r="75" customFormat="false" ht="30" hidden="false" customHeight="true" outlineLevel="0" collapsed="false">
      <c r="A75" s="10"/>
      <c r="B75" s="23" t="s">
        <v>364</v>
      </c>
      <c r="C75" s="11" t="s">
        <v>641</v>
      </c>
      <c r="D75" s="11"/>
      <c r="E75" s="11"/>
      <c r="F75" s="11"/>
      <c r="G75" s="11"/>
      <c r="H75" s="11"/>
      <c r="I75" s="11"/>
      <c r="J75" s="11"/>
    </row>
    <row r="76" customFormat="false" ht="12.75" hidden="false" customHeight="false" outlineLevel="0" collapsed="false">
      <c r="A76" s="23" t="s">
        <v>609</v>
      </c>
      <c r="B76" s="23" t="s">
        <v>364</v>
      </c>
      <c r="C76" s="167" t="s">
        <v>642</v>
      </c>
      <c r="D76" s="167"/>
      <c r="E76" s="167"/>
      <c r="F76" s="167"/>
      <c r="G76" s="167"/>
      <c r="H76" s="167"/>
      <c r="I76" s="167"/>
      <c r="J76" s="167"/>
    </row>
    <row r="77" customFormat="false" ht="12.75" hidden="false" customHeight="false" outlineLevel="0" collapsed="false">
      <c r="A77" s="23" t="s">
        <v>612</v>
      </c>
      <c r="B77" s="23" t="s">
        <v>364</v>
      </c>
      <c r="C77" s="167" t="s">
        <v>643</v>
      </c>
      <c r="D77" s="167"/>
      <c r="E77" s="167"/>
      <c r="F77" s="167"/>
      <c r="G77" s="167"/>
      <c r="H77" s="167"/>
      <c r="I77" s="167"/>
      <c r="J77" s="167"/>
    </row>
    <row r="78" customFormat="false" ht="12.75" hidden="false" customHeight="false" outlineLevel="0" collapsed="false">
      <c r="A78" s="19"/>
      <c r="B78" s="19"/>
      <c r="C78" s="19"/>
      <c r="D78" s="19"/>
      <c r="E78" s="19"/>
      <c r="F78" s="19"/>
      <c r="G78" s="19"/>
      <c r="H78" s="19"/>
      <c r="I78" s="19"/>
      <c r="J78" s="19"/>
    </row>
    <row r="79" customFormat="false" ht="12.75" hidden="false" customHeight="false" outlineLevel="0" collapsed="false">
      <c r="A79" s="16" t="str">
        <f aca="false">A44&amp;": "&amp;B44</f>
        <v>Módulo 4: Depreciação</v>
      </c>
      <c r="B79" s="16"/>
      <c r="C79" s="16"/>
      <c r="D79" s="16"/>
      <c r="E79" s="16"/>
      <c r="F79" s="16"/>
      <c r="G79" s="16"/>
      <c r="H79" s="16"/>
      <c r="I79" s="16"/>
      <c r="J79" s="16"/>
    </row>
    <row r="80" customFormat="false" ht="12.75" hidden="true" customHeight="false" outlineLevel="0" collapsed="false">
      <c r="A80" s="23" t="s">
        <v>108</v>
      </c>
      <c r="B80" s="10" t="s">
        <v>644</v>
      </c>
      <c r="C80" s="10"/>
      <c r="D80" s="10"/>
      <c r="E80" s="10"/>
      <c r="F80" s="10"/>
      <c r="G80" s="10"/>
      <c r="H80" s="10"/>
      <c r="I80" s="10"/>
      <c r="J80" s="10"/>
    </row>
    <row r="81" customFormat="false" ht="12.75" hidden="false" customHeight="false" outlineLevel="0" collapsed="false">
      <c r="A81" s="23" t="s">
        <v>364</v>
      </c>
      <c r="B81" s="10" t="s">
        <v>645</v>
      </c>
      <c r="C81" s="10"/>
      <c r="D81" s="10"/>
      <c r="E81" s="10"/>
      <c r="F81" s="10"/>
      <c r="G81" s="10"/>
      <c r="H81" s="10"/>
      <c r="I81" s="10"/>
      <c r="J81" s="10"/>
    </row>
  </sheetData>
  <sheetProtection sheet="true" password="e536" objects="true" scenarios="true" formatColumns="false" formatRows="false"/>
  <mergeCells count="95">
    <mergeCell ref="A7:J7"/>
    <mergeCell ref="A9:J9"/>
    <mergeCell ref="G17:H17"/>
    <mergeCell ref="I17:J17"/>
    <mergeCell ref="G18:H18"/>
    <mergeCell ref="I18:J18"/>
    <mergeCell ref="G19:H19"/>
    <mergeCell ref="I19:J19"/>
    <mergeCell ref="G20:H20"/>
    <mergeCell ref="I20:J20"/>
    <mergeCell ref="G21:H21"/>
    <mergeCell ref="I21:J21"/>
    <mergeCell ref="G22:H22"/>
    <mergeCell ref="I22:J22"/>
    <mergeCell ref="G23:H23"/>
    <mergeCell ref="I23:J23"/>
    <mergeCell ref="A24:H24"/>
    <mergeCell ref="I24:J24"/>
    <mergeCell ref="C27:D27"/>
    <mergeCell ref="F27:G27"/>
    <mergeCell ref="I27:J27"/>
    <mergeCell ref="C28:D28"/>
    <mergeCell ref="F28:G28"/>
    <mergeCell ref="I28:J28"/>
    <mergeCell ref="C29:D29"/>
    <mergeCell ref="F29:G29"/>
    <mergeCell ref="I29:J29"/>
    <mergeCell ref="C30:D30"/>
    <mergeCell ref="F30:G30"/>
    <mergeCell ref="I30:J30"/>
    <mergeCell ref="C31:D31"/>
    <mergeCell ref="F31:G31"/>
    <mergeCell ref="I31:J31"/>
    <mergeCell ref="C32:D32"/>
    <mergeCell ref="F32:G32"/>
    <mergeCell ref="I32:J32"/>
    <mergeCell ref="C33:D33"/>
    <mergeCell ref="F33:G33"/>
    <mergeCell ref="I33:J33"/>
    <mergeCell ref="A34:H34"/>
    <mergeCell ref="I34:J34"/>
    <mergeCell ref="G36:H36"/>
    <mergeCell ref="I36:J36"/>
    <mergeCell ref="G37:H37"/>
    <mergeCell ref="I37:J37"/>
    <mergeCell ref="G38:H38"/>
    <mergeCell ref="I38:J38"/>
    <mergeCell ref="G39:H39"/>
    <mergeCell ref="I39:J39"/>
    <mergeCell ref="G40:H40"/>
    <mergeCell ref="I40:J40"/>
    <mergeCell ref="G41:H41"/>
    <mergeCell ref="I41:J41"/>
    <mergeCell ref="A42:F42"/>
    <mergeCell ref="G42:H42"/>
    <mergeCell ref="I42:J42"/>
    <mergeCell ref="I45:J45"/>
    <mergeCell ref="I46:J46"/>
    <mergeCell ref="I47:J47"/>
    <mergeCell ref="I49:J49"/>
    <mergeCell ref="I50:J50"/>
    <mergeCell ref="I51:J51"/>
    <mergeCell ref="I52:J52"/>
    <mergeCell ref="I53:J53"/>
    <mergeCell ref="A54:H54"/>
    <mergeCell ref="I54:J54"/>
    <mergeCell ref="A57:J57"/>
    <mergeCell ref="A58:A59"/>
    <mergeCell ref="C58:J58"/>
    <mergeCell ref="C59:J59"/>
    <mergeCell ref="A60:A61"/>
    <mergeCell ref="C60:J60"/>
    <mergeCell ref="C61:J61"/>
    <mergeCell ref="C62:J62"/>
    <mergeCell ref="C63:J63"/>
    <mergeCell ref="C64:J64"/>
    <mergeCell ref="A65:J65"/>
    <mergeCell ref="A66:J66"/>
    <mergeCell ref="B67:J67"/>
    <mergeCell ref="B68:J68"/>
    <mergeCell ref="A69:J69"/>
    <mergeCell ref="A70:J70"/>
    <mergeCell ref="A71:A72"/>
    <mergeCell ref="C71:J71"/>
    <mergeCell ref="C72:J72"/>
    <mergeCell ref="A73:A75"/>
    <mergeCell ref="C73:J73"/>
    <mergeCell ref="C74:J74"/>
    <mergeCell ref="C75:J75"/>
    <mergeCell ref="C76:J76"/>
    <mergeCell ref="C77:J77"/>
    <mergeCell ref="A78:J78"/>
    <mergeCell ref="A79:J79"/>
    <mergeCell ref="B80:J80"/>
    <mergeCell ref="B81:J81"/>
  </mergeCells>
  <hyperlinks>
    <hyperlink ref="K7" location="Início!A7" display="Início"/>
    <hyperlink ref="M7" location="'C. F. P. Vigia Noturno'!A7" display="Voltar"/>
    <hyperlink ref="N7" location="'Custo Mensal da Moto'!A7" display="Avançar"/>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Roman,Normal"&amp;10CUSTO MENSAL DO AUTOMÓVEL&amp;C&amp;"Times New Roman,Normal"&amp;10&lt;Inserir nome da empresa&gt;
&lt;Inserir endereço da empresa&gt;
&lt;Inserir telefone da empresa&gt;
&lt;Inserir correio eletrônico da empresa&gt;&amp;R&amp;"Times New Roman,Normal"&amp;10&amp;P/&amp;N</oddFooter>
  </headerFooter>
  <legacyDrawing r:id="rId2"/>
</worksheet>
</file>

<file path=xl/worksheets/sheet15.xml><?xml version="1.0" encoding="utf-8"?>
<worksheet xmlns="http://schemas.openxmlformats.org/spreadsheetml/2006/main" xmlns:r="http://schemas.openxmlformats.org/officeDocument/2006/relationships">
  <sheetPr filterMode="false">
    <pageSetUpPr fitToPage="false"/>
  </sheetPr>
  <dimension ref="A1:M79"/>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K7" activeCellId="0" sqref="K7"/>
    </sheetView>
  </sheetViews>
  <sheetFormatPr defaultRowHeight="12.75"/>
  <cols>
    <col collapsed="false" hidden="false" max="2" min="1" style="1" width="8.77551020408163"/>
    <col collapsed="false" hidden="false" max="8" min="3" style="1" width="9.04591836734694"/>
    <col collapsed="false" hidden="false" max="9" min="9" style="1" width="9.44897959183673"/>
    <col collapsed="false" hidden="false" max="10" min="10" style="1" width="10.1224489795918"/>
    <col collapsed="false" hidden="false" max="11" min="11" style="1" width="9.04591836734694"/>
    <col collapsed="false" hidden="true" max="12" min="12" style="1" width="0"/>
    <col collapsed="false" hidden="false" max="1025" min="13"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646</v>
      </c>
      <c r="B7" s="3"/>
      <c r="C7" s="3"/>
      <c r="D7" s="3"/>
      <c r="E7" s="3"/>
      <c r="F7" s="3"/>
      <c r="G7" s="3"/>
      <c r="H7" s="3"/>
      <c r="I7" s="3"/>
      <c r="J7" s="3"/>
      <c r="K7" s="26" t="s">
        <v>12</v>
      </c>
      <c r="M7" s="13" t="s">
        <v>45</v>
      </c>
    </row>
    <row r="9" customFormat="false" ht="12.75" hidden="false" customHeight="false" outlineLevel="0" collapsed="false">
      <c r="A9" s="27" t="s">
        <v>104</v>
      </c>
      <c r="B9" s="27"/>
      <c r="C9" s="27"/>
      <c r="D9" s="27"/>
      <c r="E9" s="27"/>
      <c r="F9" s="27"/>
      <c r="G9" s="27"/>
      <c r="H9" s="27"/>
      <c r="I9" s="27"/>
      <c r="J9" s="27"/>
    </row>
    <row r="11" customFormat="false" ht="12.75" hidden="false" customHeight="false" outlineLevel="0" collapsed="false">
      <c r="A11" s="147" t="s">
        <v>568</v>
      </c>
      <c r="B11" s="147"/>
      <c r="C11" s="147"/>
      <c r="D11" s="147"/>
      <c r="E11" s="147"/>
      <c r="F11" s="147"/>
      <c r="G11" s="147"/>
      <c r="H11" s="147"/>
      <c r="I11" s="147"/>
      <c r="J11" s="148"/>
    </row>
    <row r="12" customFormat="false" ht="12.75" hidden="false" customHeight="false" outlineLevel="0" collapsed="false">
      <c r="A12" s="1" t="s">
        <v>569</v>
      </c>
      <c r="E12" s="89" t="n">
        <v>60</v>
      </c>
      <c r="F12" s="1" t="s">
        <v>570</v>
      </c>
    </row>
    <row r="13" customFormat="false" ht="12.75" hidden="false" customHeight="false" outlineLevel="0" collapsed="false">
      <c r="A13" s="1" t="s">
        <v>647</v>
      </c>
      <c r="E13" s="149" t="s">
        <v>648</v>
      </c>
      <c r="F13" s="150"/>
      <c r="G13" s="150"/>
      <c r="H13" s="150"/>
      <c r="I13" s="150"/>
      <c r="J13" s="150"/>
    </row>
    <row r="14" customFormat="false" ht="12.75" hidden="false" customHeight="false" outlineLevel="0" collapsed="false">
      <c r="A14" s="1" t="s">
        <v>573</v>
      </c>
      <c r="E14" s="149"/>
      <c r="F14" s="1" t="s">
        <v>574</v>
      </c>
    </row>
    <row r="15" customFormat="false" ht="12.75" hidden="false" customHeight="false" outlineLevel="0" collapsed="false">
      <c r="A15" s="1" t="s">
        <v>575</v>
      </c>
      <c r="E15" s="89" t="n">
        <f aca="false">E14*E12</f>
        <v>0</v>
      </c>
      <c r="F15" s="1" t="s">
        <v>574</v>
      </c>
    </row>
    <row r="17" customFormat="false" ht="12.75" hidden="false" customHeight="false" outlineLevel="0" collapsed="false">
      <c r="A17" s="28" t="s">
        <v>396</v>
      </c>
      <c r="B17" s="147" t="s">
        <v>576</v>
      </c>
      <c r="C17" s="147"/>
      <c r="D17" s="147"/>
      <c r="E17" s="151" t="s">
        <v>577</v>
      </c>
      <c r="F17" s="28" t="s">
        <v>578</v>
      </c>
      <c r="G17" s="28" t="s">
        <v>579</v>
      </c>
      <c r="H17" s="28"/>
      <c r="I17" s="28" t="s">
        <v>580</v>
      </c>
      <c r="J17" s="28"/>
    </row>
    <row r="18" customFormat="false" ht="12.75" hidden="false" customHeight="false" outlineLevel="0" collapsed="false">
      <c r="A18" s="19" t="s">
        <v>120</v>
      </c>
      <c r="B18" s="50" t="s">
        <v>581</v>
      </c>
      <c r="C18" s="51"/>
      <c r="D18" s="52"/>
      <c r="E18" s="19" t="n">
        <v>32</v>
      </c>
      <c r="F18" s="19" t="s">
        <v>582</v>
      </c>
      <c r="G18" s="140"/>
      <c r="H18" s="140"/>
      <c r="I18" s="25" t="n">
        <f aca="false">$E$14*G18/$E18</f>
        <v>0</v>
      </c>
      <c r="J18" s="25"/>
    </row>
    <row r="19" customFormat="false" ht="12.75" hidden="false" customHeight="false" outlineLevel="0" collapsed="false">
      <c r="A19" s="19" t="s">
        <v>123</v>
      </c>
      <c r="B19" s="50" t="s">
        <v>583</v>
      </c>
      <c r="C19" s="51"/>
      <c r="D19" s="52"/>
      <c r="E19" s="19" t="n">
        <v>4</v>
      </c>
      <c r="F19" s="19" t="s">
        <v>584</v>
      </c>
      <c r="G19" s="152"/>
      <c r="H19" s="152"/>
      <c r="I19" s="25" t="n">
        <f aca="false">G19*E19</f>
        <v>0</v>
      </c>
      <c r="J19" s="25"/>
    </row>
    <row r="20" customFormat="false" ht="12.75" hidden="false" customHeight="true" outlineLevel="0" collapsed="false">
      <c r="A20" s="153" t="s">
        <v>126</v>
      </c>
      <c r="B20" s="50" t="s">
        <v>649</v>
      </c>
      <c r="C20" s="51"/>
      <c r="D20" s="52"/>
      <c r="E20" s="41" t="n">
        <v>20000</v>
      </c>
      <c r="F20" s="19" t="s">
        <v>586</v>
      </c>
      <c r="G20" s="152"/>
      <c r="H20" s="152"/>
      <c r="I20" s="25" t="n">
        <f aca="false">(G20/E20)*$E$14</f>
        <v>0</v>
      </c>
      <c r="J20" s="25"/>
    </row>
    <row r="21" customFormat="false" ht="12.75" hidden="false" customHeight="true" outlineLevel="0" collapsed="false">
      <c r="A21" s="153" t="s">
        <v>160</v>
      </c>
      <c r="B21" s="50" t="s">
        <v>650</v>
      </c>
      <c r="C21" s="51"/>
      <c r="D21" s="52"/>
      <c r="E21" s="41" t="n">
        <f aca="false">E20</f>
        <v>20000</v>
      </c>
      <c r="F21" s="19" t="s">
        <v>586</v>
      </c>
      <c r="G21" s="152"/>
      <c r="H21" s="152"/>
      <c r="I21" s="25" t="n">
        <f aca="false">(G21/E21)*$E$14</f>
        <v>0</v>
      </c>
      <c r="J21" s="25"/>
    </row>
    <row r="22" customFormat="false" ht="12.75" hidden="false" customHeight="true" outlineLevel="0" collapsed="false">
      <c r="A22" s="153" t="s">
        <v>161</v>
      </c>
      <c r="B22" s="50" t="s">
        <v>444</v>
      </c>
      <c r="C22" s="51"/>
      <c r="D22" s="52"/>
      <c r="E22" s="42"/>
      <c r="F22" s="140"/>
      <c r="G22" s="152"/>
      <c r="H22" s="152"/>
      <c r="I22" s="25" t="str">
        <f aca="false">IFERROR((G22/E22)*$E$14,"")</f>
        <v/>
      </c>
      <c r="J22" s="25"/>
    </row>
    <row r="23" customFormat="false" ht="12.75" hidden="false" customHeight="false" outlineLevel="0" collapsed="false">
      <c r="A23" s="141" t="str">
        <f aca="false">"Total mensal do "&amp;$A$17</f>
        <v>Total mensal do Módulo1</v>
      </c>
      <c r="B23" s="141"/>
      <c r="C23" s="141"/>
      <c r="D23" s="141"/>
      <c r="E23" s="141"/>
      <c r="F23" s="141"/>
      <c r="G23" s="141"/>
      <c r="H23" s="141"/>
      <c r="I23" s="154" t="n">
        <f aca="false">SUM(I18:I20)</f>
        <v>0</v>
      </c>
      <c r="J23" s="154"/>
    </row>
    <row r="25" customFormat="false" ht="12.75" hidden="false" customHeight="false" outlineLevel="0" collapsed="false">
      <c r="A25" s="28" t="s">
        <v>589</v>
      </c>
      <c r="B25" s="147" t="s">
        <v>590</v>
      </c>
      <c r="C25" s="147"/>
      <c r="D25" s="147"/>
      <c r="E25" s="155"/>
      <c r="F25" s="147"/>
      <c r="G25" s="155"/>
      <c r="H25" s="147"/>
      <c r="I25" s="147"/>
      <c r="J25" s="148"/>
    </row>
    <row r="26" customFormat="false" ht="12.75" hidden="false" customHeight="false" outlineLevel="0" collapsed="false">
      <c r="A26" s="19"/>
      <c r="B26" s="36" t="s">
        <v>591</v>
      </c>
      <c r="C26" s="156" t="s">
        <v>592</v>
      </c>
      <c r="D26" s="156"/>
      <c r="E26" s="16" t="s">
        <v>579</v>
      </c>
      <c r="F26" s="16" t="s">
        <v>593</v>
      </c>
      <c r="G26" s="16"/>
      <c r="H26" s="16" t="s">
        <v>594</v>
      </c>
      <c r="I26" s="16" t="s">
        <v>580</v>
      </c>
      <c r="J26" s="16"/>
    </row>
    <row r="27" customFormat="false" ht="12.75" hidden="false" customHeight="false" outlineLevel="0" collapsed="false">
      <c r="A27" s="19" t="s">
        <v>132</v>
      </c>
      <c r="B27" s="23" t="s">
        <v>595</v>
      </c>
      <c r="C27" s="157" t="n">
        <v>1000</v>
      </c>
      <c r="D27" s="157"/>
      <c r="E27" s="152"/>
      <c r="F27" s="19" t="str">
        <f aca="false">IF(C27&lt;=$E$15,"sim"," ")</f>
        <v> </v>
      </c>
      <c r="G27" s="19"/>
      <c r="H27" s="25" t="str">
        <f aca="false">IF(F27="sim",E27," ")</f>
        <v> </v>
      </c>
      <c r="I27" s="25" t="str">
        <f aca="false">IFERROR(H27/$E$12," ")</f>
        <v> </v>
      </c>
      <c r="J27" s="25"/>
    </row>
    <row r="28" customFormat="false" ht="12.75" hidden="false" customHeight="false" outlineLevel="0" collapsed="false">
      <c r="A28" s="19" t="s">
        <v>135</v>
      </c>
      <c r="B28" s="23" t="s">
        <v>596</v>
      </c>
      <c r="C28" s="157" t="n">
        <v>6000</v>
      </c>
      <c r="D28" s="157"/>
      <c r="E28" s="152"/>
      <c r="F28" s="19" t="str">
        <f aca="false">IF(C28&lt;=$E$15,"sim"," ")</f>
        <v> </v>
      </c>
      <c r="G28" s="19"/>
      <c r="H28" s="25" t="str">
        <f aca="false">IF(F28="sim",E28," ")</f>
        <v> </v>
      </c>
      <c r="I28" s="25" t="str">
        <f aca="false">IFERROR(H28/$E$12," ")</f>
        <v> </v>
      </c>
      <c r="J28" s="25"/>
    </row>
    <row r="29" customFormat="false" ht="12.75" hidden="false" customHeight="false" outlineLevel="0" collapsed="false">
      <c r="A29" s="19" t="s">
        <v>138</v>
      </c>
      <c r="B29" s="23" t="s">
        <v>597</v>
      </c>
      <c r="C29" s="157" t="n">
        <v>12000</v>
      </c>
      <c r="D29" s="157"/>
      <c r="E29" s="152"/>
      <c r="F29" s="19" t="str">
        <f aca="false">IF(C29&lt;=$E$15,"sim"," ")</f>
        <v> </v>
      </c>
      <c r="G29" s="19"/>
      <c r="H29" s="25" t="str">
        <f aca="false">IF(F29="sim",E29," ")</f>
        <v> </v>
      </c>
      <c r="I29" s="25" t="str">
        <f aca="false">IFERROR(H29/$E$12," ")</f>
        <v> </v>
      </c>
      <c r="J29" s="25"/>
    </row>
    <row r="30" customFormat="false" ht="12.75" hidden="false" customHeight="false" outlineLevel="0" collapsed="false">
      <c r="A30" s="19" t="s">
        <v>190</v>
      </c>
      <c r="B30" s="23" t="s">
        <v>598</v>
      </c>
      <c r="C30" s="157" t="n">
        <v>24000</v>
      </c>
      <c r="D30" s="157"/>
      <c r="E30" s="152"/>
      <c r="F30" s="19" t="str">
        <f aca="false">IF(C30&lt;=$E$15,"sim"," ")</f>
        <v> </v>
      </c>
      <c r="G30" s="19"/>
      <c r="H30" s="25" t="str">
        <f aca="false">IF(F30="sim",E30," ")</f>
        <v> </v>
      </c>
      <c r="I30" s="25" t="str">
        <f aca="false">IFERROR(H30/$E$12," ")</f>
        <v> </v>
      </c>
      <c r="J30" s="25"/>
    </row>
    <row r="31" customFormat="false" ht="12.75" hidden="false" customHeight="false" outlineLevel="0" collapsed="false">
      <c r="A31" s="19" t="s">
        <v>345</v>
      </c>
      <c r="B31" s="23" t="s">
        <v>599</v>
      </c>
      <c r="C31" s="157" t="n">
        <v>30000</v>
      </c>
      <c r="D31" s="157"/>
      <c r="E31" s="152"/>
      <c r="F31" s="19" t="str">
        <f aca="false">IF(C31&lt;=$E$15,"sim"," ")</f>
        <v> </v>
      </c>
      <c r="G31" s="19"/>
      <c r="H31" s="25" t="str">
        <f aca="false">IF(F31="sim",E31," ")</f>
        <v> </v>
      </c>
      <c r="I31" s="25" t="str">
        <f aca="false">IFERROR(H31/$E$12," ")</f>
        <v> </v>
      </c>
      <c r="J31" s="25"/>
    </row>
    <row r="32" customFormat="false" ht="12.75" hidden="false" customHeight="false" outlineLevel="0" collapsed="false">
      <c r="A32" s="153" t="s">
        <v>600</v>
      </c>
      <c r="B32" s="23" t="s">
        <v>601</v>
      </c>
      <c r="C32" s="157" t="n">
        <v>36000</v>
      </c>
      <c r="D32" s="157"/>
      <c r="E32" s="158"/>
      <c r="F32" s="153" t="str">
        <f aca="false">IF(C32&lt;=$E$15,"sim"," ")</f>
        <v> </v>
      </c>
      <c r="G32" s="153"/>
      <c r="H32" s="159" t="str">
        <f aca="false">IF(F32="sim",E32," ")</f>
        <v> </v>
      </c>
      <c r="I32" s="25" t="str">
        <f aca="false">IFERROR(H32/$E$12," ")</f>
        <v> </v>
      </c>
      <c r="J32" s="25"/>
    </row>
    <row r="33" customFormat="false" ht="12.75" hidden="false" customHeight="false" outlineLevel="0" collapsed="false">
      <c r="A33" s="160" t="str">
        <f aca="false">"Total mensal do "&amp;A25</f>
        <v>Total mensal do Módulo 2</v>
      </c>
      <c r="B33" s="160"/>
      <c r="C33" s="160"/>
      <c r="D33" s="160"/>
      <c r="E33" s="160"/>
      <c r="F33" s="160"/>
      <c r="G33" s="160"/>
      <c r="H33" s="160"/>
      <c r="I33" s="154" t="n">
        <f aca="false">SUM(I27:I32)</f>
        <v>0</v>
      </c>
      <c r="J33" s="154"/>
    </row>
    <row r="35" customFormat="false" ht="12.75" hidden="false" customHeight="false" outlineLevel="0" collapsed="false">
      <c r="A35" s="28" t="s">
        <v>602</v>
      </c>
      <c r="B35" s="147" t="s">
        <v>603</v>
      </c>
      <c r="C35" s="147"/>
      <c r="D35" s="147"/>
      <c r="E35" s="147"/>
      <c r="F35" s="147"/>
      <c r="G35" s="161" t="s">
        <v>604</v>
      </c>
      <c r="H35" s="161"/>
      <c r="I35" s="161" t="s">
        <v>580</v>
      </c>
      <c r="J35" s="161"/>
    </row>
    <row r="36" customFormat="false" ht="12.75" hidden="false" customHeight="false" outlineLevel="0" collapsed="false">
      <c r="A36" s="19" t="s">
        <v>348</v>
      </c>
      <c r="B36" s="50" t="s">
        <v>605</v>
      </c>
      <c r="C36" s="51"/>
      <c r="D36" s="51"/>
      <c r="E36" s="51"/>
      <c r="F36" s="51"/>
      <c r="G36" s="140"/>
      <c r="H36" s="140"/>
      <c r="I36" s="25" t="n">
        <f aca="false">G36/12</f>
        <v>0</v>
      </c>
      <c r="J36" s="25"/>
      <c r="L36" s="1" t="s">
        <v>606</v>
      </c>
    </row>
    <row r="37" customFormat="false" ht="12.75" hidden="false" customHeight="false" outlineLevel="0" collapsed="false">
      <c r="A37" s="19" t="s">
        <v>439</v>
      </c>
      <c r="B37" s="50" t="s">
        <v>607</v>
      </c>
      <c r="C37" s="51"/>
      <c r="D37" s="51"/>
      <c r="E37" s="51"/>
      <c r="F37" s="51"/>
      <c r="G37" s="152"/>
      <c r="H37" s="152"/>
      <c r="I37" s="25" t="n">
        <f aca="false">G37/12</f>
        <v>0</v>
      </c>
      <c r="J37" s="25"/>
      <c r="L37" s="1" t="s">
        <v>608</v>
      </c>
    </row>
    <row r="38" customFormat="false" ht="12.75" hidden="false" customHeight="false" outlineLevel="0" collapsed="false">
      <c r="A38" s="19" t="s">
        <v>609</v>
      </c>
      <c r="B38" s="50" t="s">
        <v>610</v>
      </c>
      <c r="C38" s="51"/>
      <c r="D38" s="51"/>
      <c r="E38" s="51"/>
      <c r="F38" s="51"/>
      <c r="G38" s="152"/>
      <c r="H38" s="152"/>
      <c r="I38" s="25" t="n">
        <f aca="false">G38/12</f>
        <v>0</v>
      </c>
      <c r="J38" s="25"/>
      <c r="L38" s="169" t="s">
        <v>611</v>
      </c>
    </row>
    <row r="39" customFormat="false" ht="12.75" hidden="false" customHeight="false" outlineLevel="0" collapsed="false">
      <c r="A39" s="19" t="s">
        <v>612</v>
      </c>
      <c r="B39" s="50" t="s">
        <v>613</v>
      </c>
      <c r="C39" s="51"/>
      <c r="D39" s="51"/>
      <c r="E39" s="51"/>
      <c r="F39" s="51"/>
      <c r="G39" s="152"/>
      <c r="H39" s="152"/>
      <c r="I39" s="25" t="n">
        <f aca="false">G39/12</f>
        <v>0</v>
      </c>
      <c r="J39" s="25"/>
    </row>
    <row r="40" customFormat="false" ht="12.75" hidden="false" customHeight="false" outlineLevel="0" collapsed="false">
      <c r="A40" s="153" t="s">
        <v>614</v>
      </c>
      <c r="B40" s="170" t="s">
        <v>407</v>
      </c>
      <c r="C40" s="171"/>
      <c r="D40" s="171"/>
      <c r="E40" s="171"/>
      <c r="F40" s="171"/>
      <c r="G40" s="152"/>
      <c r="H40" s="152"/>
      <c r="I40" s="25" t="n">
        <f aca="false">G40/12</f>
        <v>0</v>
      </c>
      <c r="J40" s="25"/>
    </row>
    <row r="41" customFormat="false" ht="12.75" hidden="false" customHeight="false" outlineLevel="0" collapsed="false">
      <c r="A41" s="142" t="str">
        <f aca="false">"Total mensal do "&amp;$A$35</f>
        <v>Total mensal do Módulo 3</v>
      </c>
      <c r="B41" s="142"/>
      <c r="C41" s="142"/>
      <c r="D41" s="142"/>
      <c r="E41" s="142"/>
      <c r="F41" s="142"/>
      <c r="G41" s="25" t="n">
        <f aca="false">SUM(G36:G40)</f>
        <v>0</v>
      </c>
      <c r="H41" s="25"/>
      <c r="I41" s="25" t="n">
        <f aca="false">SUM(I36:I40)</f>
        <v>0</v>
      </c>
      <c r="J41" s="25"/>
    </row>
    <row r="43" customFormat="false" ht="12.75" hidden="false" customHeight="false" outlineLevel="0" collapsed="false">
      <c r="A43" s="28" t="s">
        <v>615</v>
      </c>
      <c r="B43" s="147" t="s">
        <v>616</v>
      </c>
      <c r="C43" s="147"/>
      <c r="D43" s="147"/>
      <c r="E43" s="147"/>
      <c r="F43" s="147"/>
      <c r="G43" s="147"/>
      <c r="H43" s="147"/>
      <c r="I43" s="147"/>
      <c r="J43" s="148"/>
    </row>
    <row r="44" customFormat="false" ht="12.75" hidden="false" customHeight="false" outlineLevel="0" collapsed="false">
      <c r="A44" s="19" t="s">
        <v>449</v>
      </c>
      <c r="B44" s="50" t="s">
        <v>651</v>
      </c>
      <c r="C44" s="51"/>
      <c r="D44" s="51"/>
      <c r="E44" s="51"/>
      <c r="F44" s="51"/>
      <c r="G44" s="51"/>
      <c r="H44" s="52"/>
      <c r="I44" s="152"/>
      <c r="J44" s="152"/>
    </row>
    <row r="45" customFormat="false" ht="12.75" hidden="false" customHeight="false" outlineLevel="0" collapsed="false">
      <c r="A45" s="19" t="s">
        <v>470</v>
      </c>
      <c r="B45" s="50" t="s">
        <v>618</v>
      </c>
      <c r="C45" s="51"/>
      <c r="D45" s="51"/>
      <c r="E45" s="51"/>
      <c r="F45" s="51"/>
      <c r="G45" s="51"/>
      <c r="H45" s="52"/>
      <c r="I45" s="25" t="n">
        <f aca="false">5*12</f>
        <v>60</v>
      </c>
      <c r="J45" s="25"/>
    </row>
    <row r="46" customFormat="false" ht="12.75" hidden="false" customHeight="false" outlineLevel="0" collapsed="false">
      <c r="A46" s="16" t="s">
        <v>474</v>
      </c>
      <c r="B46" s="91" t="s">
        <v>619</v>
      </c>
      <c r="C46" s="92"/>
      <c r="D46" s="92"/>
      <c r="E46" s="92"/>
      <c r="F46" s="92"/>
      <c r="G46" s="92"/>
      <c r="H46" s="164"/>
      <c r="I46" s="154" t="n">
        <f aca="false">I44/I45</f>
        <v>0</v>
      </c>
      <c r="J46" s="154"/>
    </row>
    <row r="48" customFormat="false" ht="12.75" hidden="false" customHeight="false" outlineLevel="0" collapsed="false">
      <c r="A48" s="28" t="s">
        <v>620</v>
      </c>
      <c r="B48" s="165" t="s">
        <v>621</v>
      </c>
      <c r="C48" s="147"/>
      <c r="D48" s="147"/>
      <c r="E48" s="147"/>
      <c r="F48" s="147"/>
      <c r="G48" s="147"/>
      <c r="H48" s="148"/>
      <c r="I48" s="166" t="s">
        <v>580</v>
      </c>
      <c r="J48" s="166"/>
    </row>
    <row r="49" customFormat="false" ht="12.75" hidden="false" customHeight="false" outlineLevel="0" collapsed="false">
      <c r="A49" s="19" t="n">
        <v>1</v>
      </c>
      <c r="B49" s="50" t="str">
        <f aca="false">B17</f>
        <v>Custos Variáveis</v>
      </c>
      <c r="C49" s="51"/>
      <c r="D49" s="51"/>
      <c r="E49" s="51"/>
      <c r="F49" s="51"/>
      <c r="G49" s="51"/>
      <c r="H49" s="51"/>
      <c r="I49" s="25" t="n">
        <f aca="false">I23</f>
        <v>0</v>
      </c>
      <c r="J49" s="25"/>
    </row>
    <row r="50" customFormat="false" ht="12.75" hidden="false" customHeight="false" outlineLevel="0" collapsed="false">
      <c r="A50" s="19" t="n">
        <v>2</v>
      </c>
      <c r="B50" s="50" t="str">
        <f aca="false">B25</f>
        <v>Revisão Programada durante a vigência da concessão</v>
      </c>
      <c r="C50" s="51"/>
      <c r="D50" s="51"/>
      <c r="E50" s="51"/>
      <c r="F50" s="51"/>
      <c r="G50" s="51"/>
      <c r="H50" s="51"/>
      <c r="I50" s="25" t="n">
        <f aca="false">I33</f>
        <v>0</v>
      </c>
      <c r="J50" s="25"/>
    </row>
    <row r="51" customFormat="false" ht="12.75" hidden="false" customHeight="false" outlineLevel="0" collapsed="false">
      <c r="A51" s="19" t="n">
        <v>3</v>
      </c>
      <c r="B51" s="50" t="str">
        <f aca="false">B35</f>
        <v>Custos Fixos</v>
      </c>
      <c r="C51" s="51"/>
      <c r="D51" s="51"/>
      <c r="E51" s="51"/>
      <c r="F51" s="51"/>
      <c r="G51" s="51"/>
      <c r="H51" s="51"/>
      <c r="I51" s="25" t="n">
        <f aca="false">I41</f>
        <v>0</v>
      </c>
      <c r="J51" s="25"/>
    </row>
    <row r="52" customFormat="false" ht="12.75" hidden="false" customHeight="false" outlineLevel="0" collapsed="false">
      <c r="A52" s="19" t="n">
        <v>4</v>
      </c>
      <c r="B52" s="50" t="str">
        <f aca="false">B43</f>
        <v>Depreciação</v>
      </c>
      <c r="C52" s="51"/>
      <c r="D52" s="51"/>
      <c r="E52" s="51"/>
      <c r="F52" s="51"/>
      <c r="G52" s="51"/>
      <c r="H52" s="51"/>
      <c r="I52" s="25" t="n">
        <f aca="false">I46</f>
        <v>0</v>
      </c>
      <c r="J52" s="25"/>
    </row>
    <row r="53" customFormat="false" ht="12.75" hidden="false" customHeight="false" outlineLevel="0" collapsed="false">
      <c r="A53" s="16" t="s">
        <v>622</v>
      </c>
      <c r="B53" s="16"/>
      <c r="C53" s="16"/>
      <c r="D53" s="16"/>
      <c r="E53" s="16"/>
      <c r="F53" s="16"/>
      <c r="G53" s="16"/>
      <c r="H53" s="16"/>
      <c r="I53" s="154" t="n">
        <f aca="false">SUM(I49:I52)</f>
        <v>0</v>
      </c>
      <c r="J53" s="154"/>
    </row>
    <row r="55" customFormat="false" ht="12.75" hidden="false" customHeight="false" outlineLevel="0" collapsed="false">
      <c r="A55" s="147" t="s">
        <v>623</v>
      </c>
      <c r="B55" s="147"/>
      <c r="C55" s="147"/>
      <c r="D55" s="147"/>
      <c r="E55" s="147"/>
      <c r="F55" s="147"/>
      <c r="G55" s="147"/>
      <c r="H55" s="147"/>
      <c r="I55" s="147"/>
      <c r="J55" s="148"/>
    </row>
    <row r="56" customFormat="false" ht="12.75" hidden="false" customHeight="false" outlineLevel="0" collapsed="false">
      <c r="A56" s="16" t="str">
        <f aca="false">A17&amp;": "&amp;B17</f>
        <v>Módulo1: Custos Variáveis</v>
      </c>
      <c r="B56" s="16"/>
      <c r="C56" s="16"/>
      <c r="D56" s="16"/>
      <c r="E56" s="16"/>
      <c r="F56" s="16"/>
      <c r="G56" s="16"/>
      <c r="H56" s="16"/>
      <c r="I56" s="16"/>
      <c r="J56" s="16"/>
    </row>
    <row r="57" customFormat="false" ht="12.75" hidden="false" customHeight="false" outlineLevel="0" collapsed="false">
      <c r="A57" s="10" t="s">
        <v>120</v>
      </c>
      <c r="B57" s="23" t="s">
        <v>624</v>
      </c>
      <c r="C57" s="168" t="s">
        <v>652</v>
      </c>
      <c r="D57" s="168"/>
      <c r="E57" s="168"/>
      <c r="F57" s="168"/>
      <c r="G57" s="168"/>
      <c r="H57" s="168"/>
      <c r="I57" s="168"/>
      <c r="J57" s="168"/>
    </row>
    <row r="58" customFormat="false" ht="12.75" hidden="false" customHeight="true" outlineLevel="0" collapsed="false">
      <c r="A58" s="10"/>
      <c r="B58" s="23" t="s">
        <v>364</v>
      </c>
      <c r="C58" s="11" t="s">
        <v>626</v>
      </c>
      <c r="D58" s="11"/>
      <c r="E58" s="11"/>
      <c r="F58" s="11"/>
      <c r="G58" s="11"/>
      <c r="H58" s="11"/>
      <c r="I58" s="11"/>
      <c r="J58" s="11"/>
    </row>
    <row r="59" customFormat="false" ht="12.75" hidden="false" customHeight="true" outlineLevel="0" collapsed="false">
      <c r="A59" s="10" t="s">
        <v>123</v>
      </c>
      <c r="B59" s="23" t="s">
        <v>627</v>
      </c>
      <c r="C59" s="11" t="s">
        <v>628</v>
      </c>
      <c r="D59" s="11"/>
      <c r="E59" s="11"/>
      <c r="F59" s="11"/>
      <c r="G59" s="11"/>
      <c r="H59" s="11"/>
      <c r="I59" s="11"/>
      <c r="J59" s="11"/>
    </row>
    <row r="60" customFormat="false" ht="12.75" hidden="false" customHeight="true" outlineLevel="0" collapsed="false">
      <c r="A60" s="10"/>
      <c r="B60" s="23" t="s">
        <v>364</v>
      </c>
      <c r="C60" s="11" t="s">
        <v>629</v>
      </c>
      <c r="D60" s="11"/>
      <c r="E60" s="11"/>
      <c r="F60" s="11"/>
      <c r="G60" s="11"/>
      <c r="H60" s="11"/>
      <c r="I60" s="11"/>
      <c r="J60" s="11"/>
    </row>
    <row r="61" customFormat="false" ht="30.75" hidden="false" customHeight="true" outlineLevel="0" collapsed="false">
      <c r="A61" s="23" t="s">
        <v>126</v>
      </c>
      <c r="B61" s="23" t="s">
        <v>364</v>
      </c>
      <c r="C61" s="11" t="s">
        <v>632</v>
      </c>
      <c r="D61" s="11"/>
      <c r="E61" s="11"/>
      <c r="F61" s="11"/>
      <c r="G61" s="11"/>
      <c r="H61" s="11"/>
      <c r="I61" s="11"/>
      <c r="J61" s="11"/>
    </row>
    <row r="62" customFormat="false" ht="30.75" hidden="false" customHeight="true" outlineLevel="0" collapsed="false">
      <c r="A62" s="23" t="s">
        <v>160</v>
      </c>
      <c r="B62" s="23" t="s">
        <v>364</v>
      </c>
      <c r="C62" s="11" t="s">
        <v>632</v>
      </c>
      <c r="D62" s="11"/>
      <c r="E62" s="11"/>
      <c r="F62" s="11"/>
      <c r="G62" s="11"/>
      <c r="H62" s="11"/>
      <c r="I62" s="11"/>
      <c r="J62" s="11"/>
    </row>
    <row r="63" customFormat="false" ht="12.75" hidden="false" customHeight="false" outlineLevel="0" collapsed="false">
      <c r="A63" s="19"/>
      <c r="B63" s="19"/>
      <c r="C63" s="19"/>
      <c r="D63" s="19"/>
      <c r="E63" s="19"/>
      <c r="F63" s="19"/>
      <c r="G63" s="19"/>
      <c r="H63" s="19"/>
      <c r="I63" s="19"/>
      <c r="J63" s="19"/>
    </row>
    <row r="64" customFormat="false" ht="12.75" hidden="false" customHeight="false" outlineLevel="0" collapsed="false">
      <c r="A64" s="16" t="str">
        <f aca="false">A25&amp;": "&amp;B25</f>
        <v>Módulo 2: Revisão Programada durante a vigência da concessão</v>
      </c>
      <c r="B64" s="16"/>
      <c r="C64" s="16"/>
      <c r="D64" s="16"/>
      <c r="E64" s="16"/>
      <c r="F64" s="16"/>
      <c r="G64" s="16"/>
      <c r="H64" s="16"/>
      <c r="I64" s="16"/>
      <c r="J64" s="16"/>
    </row>
    <row r="65" customFormat="false" ht="12.75" hidden="false" customHeight="false" outlineLevel="0" collapsed="false">
      <c r="A65" s="23" t="s">
        <v>627</v>
      </c>
      <c r="B65" s="10" t="s">
        <v>653</v>
      </c>
      <c r="C65" s="10"/>
      <c r="D65" s="10"/>
      <c r="E65" s="10"/>
      <c r="F65" s="10"/>
      <c r="G65" s="10"/>
      <c r="H65" s="10"/>
      <c r="I65" s="10"/>
      <c r="J65" s="10"/>
    </row>
    <row r="66" customFormat="false" ht="12.75" hidden="false" customHeight="false" outlineLevel="0" collapsed="false">
      <c r="A66" s="23" t="s">
        <v>634</v>
      </c>
      <c r="B66" s="10" t="s">
        <v>635</v>
      </c>
      <c r="C66" s="10"/>
      <c r="D66" s="10"/>
      <c r="E66" s="10"/>
      <c r="F66" s="10"/>
      <c r="G66" s="10"/>
      <c r="H66" s="10"/>
      <c r="I66" s="10"/>
      <c r="J66" s="10"/>
    </row>
    <row r="67" customFormat="false" ht="12.75" hidden="false" customHeight="false" outlineLevel="0" collapsed="false">
      <c r="A67" s="19"/>
      <c r="B67" s="19"/>
      <c r="C67" s="19"/>
      <c r="D67" s="19"/>
      <c r="E67" s="19"/>
      <c r="F67" s="19"/>
      <c r="G67" s="19"/>
      <c r="H67" s="19"/>
      <c r="I67" s="19"/>
      <c r="J67" s="19"/>
    </row>
    <row r="68" customFormat="false" ht="12.75" hidden="false" customHeight="false" outlineLevel="0" collapsed="false">
      <c r="A68" s="16" t="str">
        <f aca="false">A35&amp;": "&amp;B35</f>
        <v>Módulo 3: Custos Fixos</v>
      </c>
      <c r="B68" s="16"/>
      <c r="C68" s="16"/>
      <c r="D68" s="16"/>
      <c r="E68" s="16"/>
      <c r="F68" s="16"/>
      <c r="G68" s="16"/>
      <c r="H68" s="16"/>
      <c r="I68" s="16"/>
      <c r="J68" s="16"/>
    </row>
    <row r="69" customFormat="false" ht="15" hidden="false" customHeight="true" outlineLevel="0" collapsed="false">
      <c r="A69" s="10" t="s">
        <v>348</v>
      </c>
      <c r="B69" s="23" t="s">
        <v>419</v>
      </c>
      <c r="C69" s="167" t="s">
        <v>636</v>
      </c>
      <c r="D69" s="167"/>
      <c r="E69" s="167"/>
      <c r="F69" s="167"/>
      <c r="G69" s="167"/>
      <c r="H69" s="167"/>
      <c r="I69" s="167"/>
      <c r="J69" s="167"/>
    </row>
    <row r="70" customFormat="false" ht="12.75" hidden="false" customHeight="false" outlineLevel="0" collapsed="false">
      <c r="A70" s="10"/>
      <c r="B70" s="23" t="s">
        <v>364</v>
      </c>
      <c r="C70" s="167" t="s">
        <v>654</v>
      </c>
      <c r="D70" s="167"/>
      <c r="E70" s="167"/>
      <c r="F70" s="167"/>
      <c r="G70" s="167"/>
      <c r="H70" s="167"/>
      <c r="I70" s="167"/>
      <c r="J70" s="167"/>
    </row>
    <row r="71" customFormat="false" ht="12.75" hidden="false" customHeight="false" outlineLevel="0" collapsed="false">
      <c r="A71" s="10" t="s">
        <v>439</v>
      </c>
      <c r="B71" s="23" t="s">
        <v>419</v>
      </c>
      <c r="C71" s="10" t="s">
        <v>638</v>
      </c>
      <c r="D71" s="10"/>
      <c r="E71" s="10"/>
      <c r="F71" s="10"/>
      <c r="G71" s="10"/>
      <c r="H71" s="10"/>
      <c r="I71" s="10"/>
      <c r="J71" s="10"/>
    </row>
    <row r="72" customFormat="false" ht="12.75" hidden="false" customHeight="false" outlineLevel="0" collapsed="false">
      <c r="A72" s="10"/>
      <c r="B72" s="23" t="s">
        <v>639</v>
      </c>
      <c r="C72" s="168" t="s">
        <v>640</v>
      </c>
      <c r="D72" s="168"/>
      <c r="E72" s="168"/>
      <c r="F72" s="168"/>
      <c r="G72" s="168"/>
      <c r="H72" s="168"/>
      <c r="I72" s="168"/>
      <c r="J72" s="168"/>
    </row>
    <row r="73" customFormat="false" ht="30" hidden="false" customHeight="true" outlineLevel="0" collapsed="false">
      <c r="A73" s="10"/>
      <c r="B73" s="23" t="s">
        <v>364</v>
      </c>
      <c r="C73" s="11" t="s">
        <v>641</v>
      </c>
      <c r="D73" s="11"/>
      <c r="E73" s="11"/>
      <c r="F73" s="11"/>
      <c r="G73" s="11"/>
      <c r="H73" s="11"/>
      <c r="I73" s="11"/>
      <c r="J73" s="11"/>
    </row>
    <row r="74" customFormat="false" ht="12.75" hidden="false" customHeight="false" outlineLevel="0" collapsed="false">
      <c r="A74" s="23" t="s">
        <v>609</v>
      </c>
      <c r="B74" s="23" t="s">
        <v>364</v>
      </c>
      <c r="C74" s="167" t="s">
        <v>642</v>
      </c>
      <c r="D74" s="167"/>
      <c r="E74" s="167"/>
      <c r="F74" s="167"/>
      <c r="G74" s="167"/>
      <c r="H74" s="167"/>
      <c r="I74" s="167"/>
      <c r="J74" s="167"/>
    </row>
    <row r="75" customFormat="false" ht="12.75" hidden="false" customHeight="false" outlineLevel="0" collapsed="false">
      <c r="A75" s="23" t="s">
        <v>612</v>
      </c>
      <c r="B75" s="23" t="s">
        <v>364</v>
      </c>
      <c r="C75" s="167" t="s">
        <v>643</v>
      </c>
      <c r="D75" s="167"/>
      <c r="E75" s="167"/>
      <c r="F75" s="167"/>
      <c r="G75" s="167"/>
      <c r="H75" s="167"/>
      <c r="I75" s="167"/>
      <c r="J75" s="167"/>
    </row>
    <row r="76" customFormat="false" ht="12.75" hidden="false" customHeight="false" outlineLevel="0" collapsed="false">
      <c r="A76" s="19"/>
      <c r="B76" s="19"/>
      <c r="C76" s="19"/>
      <c r="D76" s="19"/>
      <c r="E76" s="19"/>
      <c r="F76" s="19"/>
      <c r="G76" s="19"/>
      <c r="H76" s="19"/>
      <c r="I76" s="19"/>
      <c r="J76" s="19"/>
    </row>
    <row r="77" customFormat="false" ht="12.75" hidden="false" customHeight="false" outlineLevel="0" collapsed="false">
      <c r="A77" s="16" t="str">
        <f aca="false">A43&amp;": "&amp;B43</f>
        <v>Módulo 4: Depreciação</v>
      </c>
      <c r="B77" s="16"/>
      <c r="C77" s="16"/>
      <c r="D77" s="16"/>
      <c r="E77" s="16"/>
      <c r="F77" s="16"/>
      <c r="G77" s="16"/>
      <c r="H77" s="16"/>
      <c r="I77" s="16"/>
      <c r="J77" s="16"/>
    </row>
    <row r="78" customFormat="false" ht="12.75" hidden="true" customHeight="false" outlineLevel="0" collapsed="false">
      <c r="A78" s="23" t="s">
        <v>108</v>
      </c>
      <c r="B78" s="10" t="s">
        <v>644</v>
      </c>
      <c r="C78" s="10"/>
      <c r="D78" s="10"/>
      <c r="E78" s="10"/>
      <c r="F78" s="10"/>
      <c r="G78" s="10"/>
      <c r="H78" s="10"/>
      <c r="I78" s="10"/>
      <c r="J78" s="10"/>
    </row>
    <row r="79" customFormat="false" ht="12.75" hidden="false" customHeight="false" outlineLevel="0" collapsed="false">
      <c r="A79" s="23" t="s">
        <v>364</v>
      </c>
      <c r="B79" s="10" t="s">
        <v>645</v>
      </c>
      <c r="C79" s="10"/>
      <c r="D79" s="10"/>
      <c r="E79" s="10"/>
      <c r="F79" s="10"/>
      <c r="G79" s="10"/>
      <c r="H79" s="10"/>
      <c r="I79" s="10"/>
      <c r="J79" s="10"/>
    </row>
  </sheetData>
  <sheetProtection sheet="true" password="e536" objects="true" scenarios="true" formatColumns="false" formatRows="false"/>
  <mergeCells count="92">
    <mergeCell ref="A7:J7"/>
    <mergeCell ref="A9:J9"/>
    <mergeCell ref="G17:H17"/>
    <mergeCell ref="I17:J17"/>
    <mergeCell ref="G18:H18"/>
    <mergeCell ref="I18:J18"/>
    <mergeCell ref="G19:H19"/>
    <mergeCell ref="I19:J19"/>
    <mergeCell ref="G20:H20"/>
    <mergeCell ref="I20:J20"/>
    <mergeCell ref="G21:H21"/>
    <mergeCell ref="I21:J21"/>
    <mergeCell ref="G22:H22"/>
    <mergeCell ref="I22:J22"/>
    <mergeCell ref="A23:H23"/>
    <mergeCell ref="I23:J23"/>
    <mergeCell ref="C26:D26"/>
    <mergeCell ref="F26:G26"/>
    <mergeCell ref="I26:J26"/>
    <mergeCell ref="C27:D27"/>
    <mergeCell ref="F27:G27"/>
    <mergeCell ref="I27:J27"/>
    <mergeCell ref="C28:D28"/>
    <mergeCell ref="F28:G28"/>
    <mergeCell ref="I28:J28"/>
    <mergeCell ref="C29:D29"/>
    <mergeCell ref="F29:G29"/>
    <mergeCell ref="I29:J29"/>
    <mergeCell ref="C30:D30"/>
    <mergeCell ref="F30:G30"/>
    <mergeCell ref="I30:J30"/>
    <mergeCell ref="C31:D31"/>
    <mergeCell ref="F31:G31"/>
    <mergeCell ref="I31:J31"/>
    <mergeCell ref="C32:D32"/>
    <mergeCell ref="F32:G32"/>
    <mergeCell ref="I32:J32"/>
    <mergeCell ref="A33:H33"/>
    <mergeCell ref="I33:J33"/>
    <mergeCell ref="G35:H35"/>
    <mergeCell ref="I35:J35"/>
    <mergeCell ref="G36:H36"/>
    <mergeCell ref="I36:J36"/>
    <mergeCell ref="G37:H37"/>
    <mergeCell ref="I37:J37"/>
    <mergeCell ref="G38:H38"/>
    <mergeCell ref="I38:J38"/>
    <mergeCell ref="G39:H39"/>
    <mergeCell ref="I39:J39"/>
    <mergeCell ref="G40:H40"/>
    <mergeCell ref="I40:J40"/>
    <mergeCell ref="A41:F41"/>
    <mergeCell ref="G41:H41"/>
    <mergeCell ref="I41:J41"/>
    <mergeCell ref="I44:J44"/>
    <mergeCell ref="I45:J45"/>
    <mergeCell ref="I46:J46"/>
    <mergeCell ref="I48:J48"/>
    <mergeCell ref="I49:J49"/>
    <mergeCell ref="I50:J50"/>
    <mergeCell ref="I51:J51"/>
    <mergeCell ref="I52:J52"/>
    <mergeCell ref="A53:H53"/>
    <mergeCell ref="I53:J53"/>
    <mergeCell ref="A56:J56"/>
    <mergeCell ref="A57:A58"/>
    <mergeCell ref="C57:J57"/>
    <mergeCell ref="C58:J58"/>
    <mergeCell ref="A59:A60"/>
    <mergeCell ref="C59:J59"/>
    <mergeCell ref="C60:J60"/>
    <mergeCell ref="C61:J61"/>
    <mergeCell ref="C62:J62"/>
    <mergeCell ref="A63:J63"/>
    <mergeCell ref="A64:J64"/>
    <mergeCell ref="B65:J65"/>
    <mergeCell ref="B66:J66"/>
    <mergeCell ref="A67:J67"/>
    <mergeCell ref="A68:J68"/>
    <mergeCell ref="A69:A70"/>
    <mergeCell ref="C69:J69"/>
    <mergeCell ref="C70:J70"/>
    <mergeCell ref="A71:A73"/>
    <mergeCell ref="C71:J71"/>
    <mergeCell ref="C72:J72"/>
    <mergeCell ref="C73:J73"/>
    <mergeCell ref="C74:J74"/>
    <mergeCell ref="C75:J75"/>
    <mergeCell ref="A76:J76"/>
    <mergeCell ref="A77:J77"/>
    <mergeCell ref="B78:J78"/>
    <mergeCell ref="B79:J79"/>
  </mergeCells>
  <hyperlinks>
    <hyperlink ref="K7" location="Início!A7" display="Início"/>
    <hyperlink ref="M7" location="'Custo Mensal do Veículo'!A7" display="Voltar"/>
    <hyperlink ref="L38" r:id="rId2" location="taxa" display="http://www.detran.rj.gov.br/_documento.asp?cod=1231#taxa"/>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Roman,Normal"&amp;10CUSTO MENSAL DA MOTO&amp;C&amp;"Times New Roman,Normal"&amp;10&lt;Inserir nome da empresa&gt;
&lt;Inserir endereço da empresa&gt;
&lt;Inserir telefone da empresa&gt;
&lt;Inserir correio eletrônico da empresa&gt;&amp;R&amp;"Times New Roman,Normal"&amp;10&amp;P/&amp;N</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L49"/>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A7" activeCellId="0" sqref="A7"/>
    </sheetView>
  </sheetViews>
  <sheetFormatPr defaultRowHeight="12.75"/>
  <cols>
    <col collapsed="false" hidden="false" max="1025" min="1"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44</v>
      </c>
      <c r="B7" s="3"/>
      <c r="C7" s="3"/>
      <c r="D7" s="3"/>
      <c r="E7" s="3"/>
      <c r="F7" s="3"/>
      <c r="G7" s="3"/>
      <c r="H7" s="3"/>
      <c r="I7" s="3"/>
      <c r="J7" s="3"/>
      <c r="K7" s="13" t="s">
        <v>45</v>
      </c>
      <c r="L7" s="5" t="s">
        <v>6</v>
      </c>
    </row>
    <row r="8" customFormat="false" ht="12.75" hidden="false" customHeight="false" outlineLevel="0" collapsed="false">
      <c r="A8" s="6"/>
      <c r="B8" s="6"/>
      <c r="C8" s="6"/>
      <c r="D8" s="6"/>
      <c r="E8" s="6"/>
      <c r="F8" s="6"/>
      <c r="G8" s="6"/>
      <c r="H8" s="6"/>
      <c r="I8" s="6"/>
      <c r="J8" s="6"/>
      <c r="L8" s="14"/>
    </row>
    <row r="9" customFormat="false" ht="24.75" hidden="false" customHeight="true" outlineLevel="0" collapsed="false">
      <c r="A9" s="15" t="s">
        <v>46</v>
      </c>
      <c r="B9" s="15"/>
      <c r="C9" s="15"/>
      <c r="D9" s="15"/>
      <c r="E9" s="15"/>
      <c r="F9" s="15"/>
      <c r="G9" s="15"/>
      <c r="H9" s="15"/>
      <c r="I9" s="15"/>
      <c r="J9" s="15"/>
    </row>
    <row r="11" customFormat="false" ht="12.75" hidden="false" customHeight="false" outlineLevel="0" collapsed="false">
      <c r="A11" s="16" t="s">
        <v>47</v>
      </c>
      <c r="B11" s="16"/>
      <c r="C11" s="16"/>
      <c r="D11" s="16"/>
      <c r="E11" s="16"/>
      <c r="F11" s="16"/>
      <c r="G11" s="16"/>
      <c r="H11" s="16"/>
      <c r="I11" s="16"/>
      <c r="J11" s="16"/>
    </row>
    <row r="12" customFormat="false" ht="48" hidden="false" customHeight="false" outlineLevel="0" collapsed="false">
      <c r="A12" s="16" t="s">
        <v>48</v>
      </c>
      <c r="B12" s="16" t="s">
        <v>49</v>
      </c>
      <c r="C12" s="16" t="s">
        <v>50</v>
      </c>
      <c r="D12" s="16" t="s">
        <v>51</v>
      </c>
      <c r="E12" s="16" t="s">
        <v>52</v>
      </c>
      <c r="F12" s="16" t="s">
        <v>53</v>
      </c>
      <c r="G12" s="16" t="s">
        <v>54</v>
      </c>
      <c r="H12" s="17" t="s">
        <v>55</v>
      </c>
      <c r="I12" s="18" t="s">
        <v>56</v>
      </c>
      <c r="J12" s="18" t="s">
        <v>57</v>
      </c>
    </row>
    <row r="13" customFormat="false" ht="12.75" hidden="false" customHeight="false" outlineLevel="0" collapsed="false">
      <c r="A13" s="19" t="n">
        <v>1</v>
      </c>
      <c r="B13" s="19" t="s">
        <v>58</v>
      </c>
      <c r="C13" s="19" t="s">
        <v>59</v>
      </c>
      <c r="D13" s="19" t="n">
        <v>12406.38</v>
      </c>
      <c r="E13" s="19" t="n">
        <v>372</v>
      </c>
      <c r="F13" s="19" t="n">
        <v>22</v>
      </c>
      <c r="G13" s="19" t="n">
        <v>1</v>
      </c>
      <c r="H13" s="19" t="n">
        <v>1</v>
      </c>
      <c r="I13" s="19" t="n">
        <v>400</v>
      </c>
      <c r="J13" s="19" t="n">
        <f aca="false">I13</f>
        <v>400</v>
      </c>
    </row>
    <row r="14" customFormat="false" ht="12.75" hidden="false" customHeight="false" outlineLevel="0" collapsed="false">
      <c r="A14" s="19" t="n">
        <v>2</v>
      </c>
      <c r="B14" s="19" t="s">
        <v>60</v>
      </c>
      <c r="C14" s="19" t="s">
        <v>61</v>
      </c>
      <c r="D14" s="19" t="n">
        <v>2572.6</v>
      </c>
      <c r="E14" s="19" t="n">
        <v>70</v>
      </c>
      <c r="F14" s="19" t="n">
        <v>7</v>
      </c>
      <c r="G14" s="19" t="n">
        <v>0</v>
      </c>
      <c r="H14" s="19" t="n">
        <v>0</v>
      </c>
      <c r="I14" s="19" t="n">
        <v>600</v>
      </c>
      <c r="J14" s="19" t="n">
        <f aca="false">I14</f>
        <v>600</v>
      </c>
    </row>
    <row r="15" customFormat="false" ht="12.75" hidden="false" customHeight="false" outlineLevel="0" collapsed="false">
      <c r="A15" s="19" t="n">
        <v>3</v>
      </c>
      <c r="B15" s="19" t="s">
        <v>62</v>
      </c>
      <c r="C15" s="19" t="s">
        <v>63</v>
      </c>
      <c r="D15" s="19" t="n">
        <v>21397.76</v>
      </c>
      <c r="E15" s="19" t="n">
        <v>938</v>
      </c>
      <c r="F15" s="19" t="n">
        <v>33</v>
      </c>
      <c r="G15" s="19" t="n">
        <v>1</v>
      </c>
      <c r="H15" s="19" t="n">
        <v>2</v>
      </c>
      <c r="I15" s="19" t="n">
        <v>600</v>
      </c>
      <c r="J15" s="19" t="n">
        <f aca="false">I15</f>
        <v>600</v>
      </c>
    </row>
    <row r="16" customFormat="false" ht="12.75" hidden="false" customHeight="false" outlineLevel="0" collapsed="false">
      <c r="A16" s="19" t="n">
        <v>4</v>
      </c>
      <c r="B16" s="19" t="s">
        <v>64</v>
      </c>
      <c r="C16" s="19" t="s">
        <v>65</v>
      </c>
      <c r="D16" s="19" t="n">
        <v>8789.4</v>
      </c>
      <c r="E16" s="19" t="n">
        <v>268</v>
      </c>
      <c r="F16" s="19" t="n">
        <v>12</v>
      </c>
      <c r="G16" s="19" t="n">
        <v>0</v>
      </c>
      <c r="H16" s="19" t="n">
        <v>1</v>
      </c>
      <c r="I16" s="19" t="n">
        <v>800</v>
      </c>
      <c r="J16" s="19" t="n">
        <f aca="false">I16</f>
        <v>800</v>
      </c>
    </row>
    <row r="17" customFormat="false" ht="12.75" hidden="false" customHeight="false" outlineLevel="0" collapsed="false">
      <c r="A17" s="19" t="n">
        <v>5</v>
      </c>
      <c r="B17" s="19" t="s">
        <v>66</v>
      </c>
      <c r="C17" s="19" t="s">
        <v>67</v>
      </c>
      <c r="D17" s="19" t="n">
        <v>3010.47</v>
      </c>
      <c r="E17" s="19" t="n">
        <v>234</v>
      </c>
      <c r="F17" s="19" t="n">
        <v>11</v>
      </c>
      <c r="G17" s="19" t="n">
        <v>0</v>
      </c>
      <c r="H17" s="19" t="n">
        <v>1</v>
      </c>
      <c r="I17" s="19" t="n">
        <v>650</v>
      </c>
      <c r="J17" s="19" t="n">
        <f aca="false">I17</f>
        <v>650</v>
      </c>
    </row>
    <row r="18" customFormat="false" ht="12.75" hidden="false" customHeight="false" outlineLevel="0" collapsed="false">
      <c r="A18" s="16" t="s">
        <v>68</v>
      </c>
      <c r="B18" s="16"/>
      <c r="C18" s="16"/>
      <c r="D18" s="16" t="n">
        <f aca="false">SUM(D13:D17)</f>
        <v>48176.61</v>
      </c>
      <c r="E18" s="16" t="n">
        <f aca="false">SUM(E13:E17)</f>
        <v>1882</v>
      </c>
      <c r="F18" s="16" t="n">
        <f aca="false">SUM(F13:F17)</f>
        <v>85</v>
      </c>
      <c r="G18" s="16" t="n">
        <f aca="false">SUM(G13:G17)</f>
        <v>2</v>
      </c>
      <c r="H18" s="16" t="n">
        <f aca="false">SUM(H13:H17)</f>
        <v>5</v>
      </c>
      <c r="I18" s="16" t="n">
        <f aca="false">SUM(I13:I17)</f>
        <v>3050</v>
      </c>
      <c r="J18" s="16" t="n">
        <f aca="false">SUM(J13:J17)</f>
        <v>3050</v>
      </c>
    </row>
    <row r="20" customFormat="false" ht="15" hidden="false" customHeight="false" outlineLevel="0" collapsed="false">
      <c r="A20" s="20" t="s">
        <v>69</v>
      </c>
      <c r="B20" s="20"/>
      <c r="C20" s="20"/>
      <c r="D20" s="20"/>
      <c r="E20" s="20"/>
      <c r="F20" s="20"/>
      <c r="G20" s="20"/>
      <c r="H20" s="20"/>
      <c r="I20" s="20"/>
      <c r="J20" s="20"/>
    </row>
    <row r="21" customFormat="false" ht="29.25" hidden="false" customHeight="true" outlineLevel="0" collapsed="false">
      <c r="A21" s="21" t="s">
        <v>70</v>
      </c>
      <c r="B21" s="21"/>
      <c r="C21" s="21"/>
      <c r="D21" s="21"/>
      <c r="E21" s="21"/>
      <c r="F21" s="21"/>
      <c r="G21" s="21"/>
      <c r="H21" s="21"/>
      <c r="I21" s="21"/>
      <c r="J21" s="21"/>
    </row>
    <row r="22" customFormat="false" ht="15" hidden="false" customHeight="true" outlineLevel="0" collapsed="false">
      <c r="A22" s="21" t="s">
        <v>71</v>
      </c>
      <c r="B22" s="21"/>
      <c r="C22" s="21"/>
      <c r="D22" s="21"/>
      <c r="E22" s="21"/>
      <c r="F22" s="21"/>
      <c r="G22" s="21"/>
      <c r="H22" s="21"/>
      <c r="I22" s="21"/>
      <c r="J22" s="21"/>
    </row>
    <row r="23" customFormat="false" ht="15" hidden="false" customHeight="false" outlineLevel="0" collapsed="false">
      <c r="A23" s="21" t="str">
        <f aca="false">"3 - Considerando as premissas 1 e 2 tem-se que o número máximo de vagas gerador de recursos é de: "&amp;(E18-E14)*1.5&amp;" vagas"</f>
        <v>3 - Considerando as premissas 1 e 2 tem-se que o número máximo de vagas gerador de recursos é de: 2718 vagas</v>
      </c>
      <c r="B23" s="21"/>
      <c r="C23" s="21"/>
      <c r="D23" s="21"/>
      <c r="E23" s="21"/>
      <c r="F23" s="21"/>
      <c r="G23" s="21"/>
      <c r="H23" s="21"/>
      <c r="I23" s="21"/>
      <c r="J23" s="21"/>
    </row>
    <row r="24" customFormat="false" ht="23.25" hidden="false" customHeight="true" outlineLevel="0" collapsed="false">
      <c r="A24" s="21" t="s">
        <v>72</v>
      </c>
      <c r="B24" s="21"/>
      <c r="C24" s="21"/>
      <c r="D24" s="21"/>
      <c r="E24" s="21"/>
      <c r="F24" s="21"/>
      <c r="G24" s="21"/>
      <c r="H24" s="21"/>
      <c r="I24" s="21"/>
      <c r="J24" s="21"/>
    </row>
    <row r="26" customFormat="false" ht="12.75" hidden="false" customHeight="false" outlineLevel="0" collapsed="false">
      <c r="A26" s="16" t="s">
        <v>73</v>
      </c>
      <c r="B26" s="16"/>
      <c r="C26" s="16"/>
      <c r="D26" s="16"/>
      <c r="E26" s="16"/>
      <c r="F26" s="16"/>
    </row>
    <row r="27" customFormat="false" ht="12.75" hidden="false" customHeight="false" outlineLevel="0" collapsed="false">
      <c r="A27" s="22" t="s">
        <v>74</v>
      </c>
      <c r="B27" s="16" t="s">
        <v>75</v>
      </c>
      <c r="C27" s="22" t="s">
        <v>74</v>
      </c>
      <c r="D27" s="16" t="s">
        <v>75</v>
      </c>
      <c r="E27" s="22" t="s">
        <v>74</v>
      </c>
      <c r="F27" s="16" t="s">
        <v>75</v>
      </c>
    </row>
    <row r="28" customFormat="false" ht="12.75" hidden="false" customHeight="false" outlineLevel="0" collapsed="false">
      <c r="A28" s="23" t="s">
        <v>76</v>
      </c>
      <c r="B28" s="24" t="n">
        <v>0.6</v>
      </c>
      <c r="C28" s="23" t="s">
        <v>77</v>
      </c>
      <c r="D28" s="24" t="n">
        <v>1</v>
      </c>
      <c r="E28" s="23" t="s">
        <v>78</v>
      </c>
      <c r="F28" s="24" t="n">
        <v>1</v>
      </c>
    </row>
    <row r="29" customFormat="false" ht="12.75" hidden="false" customHeight="false" outlineLevel="0" collapsed="false">
      <c r="A29" s="23" t="s">
        <v>79</v>
      </c>
      <c r="B29" s="24" t="n">
        <v>0.7</v>
      </c>
      <c r="C29" s="23" t="s">
        <v>80</v>
      </c>
      <c r="D29" s="24" t="n">
        <v>1</v>
      </c>
      <c r="E29" s="23" t="s">
        <v>81</v>
      </c>
      <c r="F29" s="24" t="n">
        <v>1</v>
      </c>
    </row>
    <row r="30" customFormat="false" ht="12.75" hidden="false" customHeight="false" outlineLevel="0" collapsed="false">
      <c r="A30" s="23" t="s">
        <v>82</v>
      </c>
      <c r="B30" s="24" t="n">
        <v>1</v>
      </c>
      <c r="C30" s="23" t="s">
        <v>83</v>
      </c>
      <c r="D30" s="24" t="n">
        <v>0.6</v>
      </c>
      <c r="E30" s="23" t="s">
        <v>84</v>
      </c>
      <c r="F30" s="24" t="n">
        <v>1</v>
      </c>
    </row>
    <row r="31" customFormat="false" ht="12.75" hidden="false" customHeight="false" outlineLevel="0" collapsed="false">
      <c r="A31" s="23" t="s">
        <v>85</v>
      </c>
      <c r="B31" s="24" t="n">
        <v>1</v>
      </c>
      <c r="C31" s="23" t="s">
        <v>86</v>
      </c>
      <c r="D31" s="24" t="n">
        <v>1</v>
      </c>
      <c r="E31" s="23" t="s">
        <v>87</v>
      </c>
      <c r="F31" s="24" t="n">
        <v>0.6</v>
      </c>
    </row>
    <row r="33" customFormat="false" ht="15" hidden="false" customHeight="false" outlineLevel="0" collapsed="false">
      <c r="A33" s="20" t="s">
        <v>88</v>
      </c>
      <c r="B33" s="20"/>
      <c r="C33" s="20"/>
      <c r="D33" s="20"/>
      <c r="E33" s="20"/>
      <c r="F33" s="20"/>
      <c r="G33" s="20"/>
      <c r="H33" s="20"/>
      <c r="I33" s="20"/>
      <c r="J33" s="20"/>
    </row>
    <row r="34" customFormat="false" ht="29.25" hidden="false" customHeight="true" outlineLevel="0" collapsed="false">
      <c r="A34" s="21" t="s">
        <v>89</v>
      </c>
      <c r="B34" s="21"/>
      <c r="C34" s="21"/>
      <c r="D34" s="21"/>
      <c r="E34" s="21"/>
      <c r="F34" s="21"/>
      <c r="G34" s="21"/>
      <c r="H34" s="21"/>
      <c r="I34" s="21"/>
      <c r="J34" s="21"/>
    </row>
    <row r="36" customFormat="false" ht="12.75" hidden="false" customHeight="false" outlineLevel="0" collapsed="false">
      <c r="A36" s="16" t="s">
        <v>90</v>
      </c>
      <c r="B36" s="16"/>
      <c r="C36" s="16"/>
      <c r="D36" s="16"/>
      <c r="E36" s="16"/>
      <c r="F36" s="16"/>
    </row>
    <row r="37" customFormat="false" ht="12.75" hidden="false" customHeight="false" outlineLevel="0" collapsed="false">
      <c r="A37" s="16" t="s">
        <v>91</v>
      </c>
      <c r="B37" s="16"/>
      <c r="C37" s="16" t="s">
        <v>92</v>
      </c>
      <c r="D37" s="16"/>
      <c r="E37" s="16" t="s">
        <v>93</v>
      </c>
      <c r="F37" s="16"/>
    </row>
    <row r="38" customFormat="false" ht="12.75" hidden="false" customHeight="false" outlineLevel="0" collapsed="false">
      <c r="A38" s="19" t="s">
        <v>94</v>
      </c>
      <c r="B38" s="19"/>
      <c r="C38" s="25" t="n">
        <v>4</v>
      </c>
      <c r="D38" s="25"/>
      <c r="E38" s="25" t="n">
        <v>80</v>
      </c>
      <c r="F38" s="25"/>
    </row>
    <row r="39" customFormat="false" ht="12.75" hidden="false" customHeight="false" outlineLevel="0" collapsed="false">
      <c r="A39" s="19" t="s">
        <v>95</v>
      </c>
      <c r="B39" s="19"/>
      <c r="C39" s="25" t="n">
        <v>4.5</v>
      </c>
      <c r="D39" s="25"/>
      <c r="E39" s="25" t="n">
        <v>90</v>
      </c>
      <c r="F39" s="25"/>
    </row>
    <row r="40" customFormat="false" ht="12.75" hidden="false" customHeight="false" outlineLevel="0" collapsed="false">
      <c r="A40" s="19" t="s">
        <v>96</v>
      </c>
      <c r="B40" s="19"/>
      <c r="C40" s="25" t="n">
        <v>5</v>
      </c>
      <c r="D40" s="25"/>
      <c r="E40" s="25" t="n">
        <v>100</v>
      </c>
      <c r="F40" s="25"/>
    </row>
    <row r="41" customFormat="false" ht="12.75" hidden="false" customHeight="false" outlineLevel="0" collapsed="false">
      <c r="A41" s="19" t="s">
        <v>97</v>
      </c>
      <c r="B41" s="19"/>
      <c r="C41" s="25" t="n">
        <v>5.5</v>
      </c>
      <c r="D41" s="25"/>
      <c r="E41" s="25" t="n">
        <v>110</v>
      </c>
      <c r="F41" s="25"/>
    </row>
    <row r="42" customFormat="false" ht="12.75" hidden="false" customHeight="false" outlineLevel="0" collapsed="false">
      <c r="A42" s="19" t="s">
        <v>98</v>
      </c>
      <c r="B42" s="19"/>
      <c r="C42" s="25" t="n">
        <v>6</v>
      </c>
      <c r="D42" s="25"/>
      <c r="E42" s="25" t="n">
        <v>120</v>
      </c>
      <c r="F42" s="25"/>
    </row>
    <row r="44" customFormat="false" ht="12.75" hidden="false" customHeight="false" outlineLevel="0" collapsed="false">
      <c r="A44" s="20" t="s">
        <v>88</v>
      </c>
      <c r="B44" s="20"/>
      <c r="C44" s="20"/>
      <c r="D44" s="20"/>
      <c r="E44" s="20"/>
      <c r="F44" s="20"/>
      <c r="G44" s="20"/>
      <c r="H44" s="20"/>
      <c r="I44" s="20"/>
      <c r="J44" s="20"/>
    </row>
    <row r="45" customFormat="false" ht="29.25" hidden="false" customHeight="true" outlineLevel="0" collapsed="false">
      <c r="A45" s="21" t="s">
        <v>99</v>
      </c>
      <c r="B45" s="21"/>
      <c r="C45" s="21"/>
      <c r="D45" s="21"/>
      <c r="E45" s="21"/>
      <c r="F45" s="21"/>
      <c r="G45" s="21"/>
      <c r="H45" s="21"/>
      <c r="I45" s="21"/>
      <c r="J45" s="21"/>
    </row>
    <row r="47" customFormat="false" ht="12.75" hidden="false" customHeight="false" outlineLevel="0" collapsed="false">
      <c r="A47" s="16" t="s">
        <v>100</v>
      </c>
      <c r="B47" s="16"/>
      <c r="C47" s="16"/>
      <c r="D47" s="16"/>
      <c r="E47" s="16"/>
      <c r="F47" s="16"/>
    </row>
    <row r="48" customFormat="false" ht="12.75" hidden="false" customHeight="false" outlineLevel="0" collapsed="false">
      <c r="A48" s="16" t="s">
        <v>101</v>
      </c>
      <c r="B48" s="16"/>
      <c r="C48" s="16"/>
      <c r="D48" s="16" t="s">
        <v>102</v>
      </c>
      <c r="E48" s="16"/>
      <c r="F48" s="16"/>
    </row>
    <row r="49" customFormat="false" ht="12.75" hidden="false" customHeight="false" outlineLevel="0" collapsed="false">
      <c r="A49" s="24" t="n">
        <v>0.45</v>
      </c>
      <c r="B49" s="24"/>
      <c r="C49" s="24"/>
      <c r="D49" s="24" t="n">
        <v>0.55</v>
      </c>
      <c r="E49" s="24"/>
      <c r="F49" s="24"/>
    </row>
  </sheetData>
  <sheetProtection sheet="true" password="e536" objects="true" scenarios="true" formatColumns="false" formatRows="false"/>
  <mergeCells count="38">
    <mergeCell ref="A7:J7"/>
    <mergeCell ref="A9:J9"/>
    <mergeCell ref="A11:J11"/>
    <mergeCell ref="A18:C18"/>
    <mergeCell ref="A20:J20"/>
    <mergeCell ref="A21:J21"/>
    <mergeCell ref="A22:J22"/>
    <mergeCell ref="A23:J23"/>
    <mergeCell ref="A24:J24"/>
    <mergeCell ref="A26:F26"/>
    <mergeCell ref="A33:J33"/>
    <mergeCell ref="A34:J34"/>
    <mergeCell ref="A36:F36"/>
    <mergeCell ref="A37:B37"/>
    <mergeCell ref="C37:D37"/>
    <mergeCell ref="E37:F37"/>
    <mergeCell ref="A38:B38"/>
    <mergeCell ref="C38:D38"/>
    <mergeCell ref="E38:F38"/>
    <mergeCell ref="A39:B39"/>
    <mergeCell ref="C39:D39"/>
    <mergeCell ref="E39:F39"/>
    <mergeCell ref="A40:B40"/>
    <mergeCell ref="C40:D40"/>
    <mergeCell ref="E40:F40"/>
    <mergeCell ref="A41:B41"/>
    <mergeCell ref="C41:D41"/>
    <mergeCell ref="E41:F41"/>
    <mergeCell ref="A42:B42"/>
    <mergeCell ref="C42:D42"/>
    <mergeCell ref="E42:F42"/>
    <mergeCell ref="A44:J44"/>
    <mergeCell ref="A45:J45"/>
    <mergeCell ref="A47:F47"/>
    <mergeCell ref="A48:C48"/>
    <mergeCell ref="D48:F48"/>
    <mergeCell ref="A49:C49"/>
    <mergeCell ref="D49:F49"/>
  </mergeCells>
  <hyperlinks>
    <hyperlink ref="K7" location="Início!A7" display="Voltar"/>
    <hyperlink ref="L7" location="'DI, Tri e Pag'!A7" display="Avançar"/>
  </hyperlinks>
  <printOptions headings="false" gridLines="false" gridLinesSet="true" horizontalCentered="true" verticalCentered="false"/>
  <pageMargins left="0.511805555555555" right="0.511805555555555"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Roman,Normal"&amp;10PREMISSAS&amp;C&amp;"Times New Roman,Normal"&amp;10&lt;Inserir nome da empresa&gt;
&lt;Inserir endereço da empresa&gt;
&lt;Inserir telefone da empresa&gt;
&lt;Inserir correio eletrônico da empresa&gt;&amp;R&amp;"Times New Roman,Normal"&amp;10&amp;P/&amp;N</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P30"/>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A7" activeCellId="0" sqref="A7"/>
    </sheetView>
  </sheetViews>
  <sheetFormatPr defaultRowHeight="12.75"/>
  <cols>
    <col collapsed="false" hidden="false" max="10" min="1" style="1" width="9.04591836734694"/>
    <col collapsed="false" hidden="true" max="12" min="11" style="1" width="0"/>
    <col collapsed="false" hidden="false" max="1025" min="13" style="1" width="9.04591836734694"/>
  </cols>
  <sheetData>
    <row r="1" customFormat="false" ht="15" hidden="false" customHeight="false" outlineLevel="0" collapsed="false">
      <c r="A1" s="2" t="str">
        <f aca="false">Início!A1</f>
        <v>RAZÃO SOCIAL DA EMPRESA:</v>
      </c>
      <c r="B1" s="2"/>
      <c r="C1" s="2"/>
      <c r="D1" s="2"/>
      <c r="E1" s="2"/>
      <c r="F1" s="2"/>
      <c r="G1" s="2"/>
      <c r="H1" s="2"/>
      <c r="I1" s="2"/>
      <c r="J1" s="2"/>
    </row>
    <row r="2" customFormat="false" ht="15" hidden="false" customHeight="false" outlineLevel="0" collapsed="false">
      <c r="A2" s="2" t="str">
        <f aca="false">Início!A2</f>
        <v>Endereço:</v>
      </c>
      <c r="B2" s="2"/>
      <c r="C2" s="2"/>
      <c r="D2" s="2"/>
      <c r="E2" s="2"/>
      <c r="F2" s="2"/>
      <c r="G2" s="2"/>
      <c r="H2" s="2"/>
      <c r="I2" s="2"/>
      <c r="J2" s="2"/>
    </row>
    <row r="3" customFormat="false" ht="15" hidden="false" customHeight="false" outlineLevel="0" collapsed="false">
      <c r="A3" s="2" t="str">
        <f aca="false">Início!A3</f>
        <v>CNPJ:</v>
      </c>
      <c r="B3" s="2"/>
      <c r="C3" s="2"/>
      <c r="D3" s="2"/>
      <c r="E3" s="2"/>
      <c r="F3" s="2"/>
      <c r="G3" s="2"/>
      <c r="H3" s="2"/>
      <c r="I3" s="2"/>
      <c r="J3" s="2"/>
    </row>
    <row r="4" customFormat="false" ht="15" hidden="false" customHeight="false" outlineLevel="0" collapsed="false">
      <c r="A4" s="2" t="str">
        <f aca="false">Início!A4</f>
        <v>Telefone</v>
      </c>
      <c r="B4" s="2"/>
      <c r="C4" s="2"/>
      <c r="D4" s="2"/>
      <c r="E4" s="2"/>
      <c r="F4" s="2"/>
      <c r="G4" s="2"/>
      <c r="H4" s="2"/>
      <c r="I4" s="2"/>
      <c r="J4" s="2"/>
    </row>
    <row r="5" customFormat="false" ht="15" hidden="false" customHeight="false" outlineLevel="0" collapsed="false">
      <c r="A5" s="2" t="str">
        <f aca="false">Início!A5</f>
        <v>E-mail:</v>
      </c>
      <c r="B5" s="2"/>
      <c r="C5" s="2"/>
      <c r="D5" s="2"/>
      <c r="E5" s="2"/>
      <c r="F5" s="2"/>
      <c r="G5" s="2"/>
      <c r="H5" s="2"/>
      <c r="I5" s="2"/>
      <c r="J5" s="2"/>
    </row>
    <row r="6" customFormat="false" ht="15" hidden="false" customHeight="false" outlineLevel="0" collapsed="false">
      <c r="A6" s="2"/>
      <c r="B6" s="2"/>
      <c r="C6" s="2"/>
      <c r="D6" s="2"/>
      <c r="E6" s="2"/>
      <c r="F6" s="2"/>
      <c r="G6" s="2"/>
      <c r="H6" s="2"/>
      <c r="I6" s="2"/>
      <c r="J6" s="2"/>
    </row>
    <row r="7" customFormat="false" ht="15" hidden="false" customHeight="false" outlineLevel="0" collapsed="false">
      <c r="A7" s="3" t="s">
        <v>103</v>
      </c>
      <c r="B7" s="3"/>
      <c r="C7" s="3"/>
      <c r="D7" s="3"/>
      <c r="E7" s="3"/>
      <c r="F7" s="3"/>
      <c r="G7" s="3"/>
      <c r="H7" s="3"/>
      <c r="I7" s="3"/>
      <c r="J7" s="3"/>
      <c r="M7" s="26" t="s">
        <v>12</v>
      </c>
      <c r="N7" s="13" t="s">
        <v>45</v>
      </c>
      <c r="O7" s="5" t="s">
        <v>6</v>
      </c>
    </row>
    <row r="9" customFormat="false" ht="12.75" hidden="false" customHeight="false" outlineLevel="0" collapsed="false">
      <c r="A9" s="27" t="s">
        <v>104</v>
      </c>
      <c r="B9" s="27"/>
      <c r="C9" s="27"/>
      <c r="D9" s="27"/>
      <c r="E9" s="27"/>
      <c r="F9" s="27"/>
      <c r="G9" s="27"/>
      <c r="H9" s="27"/>
      <c r="I9" s="27"/>
      <c r="J9" s="27"/>
    </row>
    <row r="11" customFormat="false" ht="12.75" hidden="false" customHeight="false" outlineLevel="0" collapsed="false">
      <c r="A11" s="28" t="s">
        <v>13</v>
      </c>
      <c r="B11" s="28"/>
      <c r="C11" s="28"/>
      <c r="D11" s="28"/>
      <c r="E11" s="28"/>
      <c r="F11" s="28"/>
      <c r="G11" s="28"/>
      <c r="H11" s="28"/>
      <c r="I11" s="28"/>
      <c r="J11" s="28"/>
    </row>
    <row r="12" customFormat="false" ht="12.75" hidden="false" customHeight="true" outlineLevel="0" collapsed="false">
      <c r="A12" s="19" t="n">
        <v>1</v>
      </c>
      <c r="B12" s="21" t="s">
        <v>105</v>
      </c>
      <c r="C12" s="21"/>
      <c r="D12" s="21"/>
      <c r="E12" s="21"/>
      <c r="F12" s="21"/>
      <c r="G12" s="21"/>
      <c r="H12" s="29" t="s">
        <v>106</v>
      </c>
      <c r="I12" s="29"/>
      <c r="J12" s="29"/>
      <c r="K12" s="1" t="s">
        <v>106</v>
      </c>
      <c r="L12" s="1" t="s">
        <v>107</v>
      </c>
    </row>
    <row r="13" customFormat="false" ht="25.5" hidden="false" customHeight="true" outlineLevel="0" collapsed="false">
      <c r="A13" s="30" t="s">
        <v>108</v>
      </c>
      <c r="B13" s="31" t="s">
        <v>109</v>
      </c>
      <c r="C13" s="31"/>
      <c r="D13" s="31"/>
      <c r="E13" s="31"/>
      <c r="F13" s="31"/>
      <c r="G13" s="31"/>
      <c r="H13" s="31"/>
      <c r="I13" s="31"/>
      <c r="J13" s="31"/>
    </row>
    <row r="14" customFormat="false" ht="12.75" hidden="false" customHeight="true" outlineLevel="0" collapsed="false">
      <c r="A14" s="19" t="n">
        <v>2</v>
      </c>
      <c r="B14" s="21" t="s">
        <v>110</v>
      </c>
      <c r="C14" s="21"/>
      <c r="D14" s="21"/>
      <c r="E14" s="21"/>
      <c r="F14" s="21"/>
      <c r="G14" s="21"/>
      <c r="H14" s="29" t="s">
        <v>111</v>
      </c>
      <c r="I14" s="29"/>
      <c r="J14" s="29"/>
      <c r="K14" s="1" t="s">
        <v>112</v>
      </c>
      <c r="L14" s="1" t="s">
        <v>111</v>
      </c>
    </row>
    <row r="15" customFormat="false" ht="12.75" hidden="false" customHeight="true" outlineLevel="0" collapsed="false">
      <c r="A15" s="30" t="s">
        <v>108</v>
      </c>
      <c r="B15" s="31" t="s">
        <v>113</v>
      </c>
      <c r="C15" s="31"/>
      <c r="D15" s="31"/>
      <c r="E15" s="31"/>
      <c r="F15" s="31"/>
      <c r="G15" s="31"/>
      <c r="H15" s="31"/>
      <c r="I15" s="31"/>
      <c r="J15" s="31"/>
    </row>
    <row r="17" customFormat="false" ht="12.75" hidden="false" customHeight="false" outlineLevel="0" collapsed="false">
      <c r="A17" s="19" t="s">
        <v>114</v>
      </c>
      <c r="B17" s="19" t="s">
        <v>11</v>
      </c>
      <c r="C17" s="19"/>
      <c r="D17" s="19"/>
      <c r="E17" s="19"/>
      <c r="F17" s="19"/>
      <c r="G17" s="19" t="s">
        <v>115</v>
      </c>
      <c r="H17" s="19" t="s">
        <v>116</v>
      </c>
    </row>
    <row r="18" customFormat="false" ht="12.75" hidden="false" customHeight="false" outlineLevel="0" collapsed="false">
      <c r="A18" s="16" t="s">
        <v>117</v>
      </c>
      <c r="B18" s="22" t="s">
        <v>118</v>
      </c>
      <c r="C18" s="22"/>
      <c r="D18" s="22"/>
      <c r="E18" s="22"/>
      <c r="F18" s="22"/>
      <c r="G18" s="16" t="s">
        <v>119</v>
      </c>
      <c r="H18" s="32" t="n">
        <f aca="false">($H$19+$H$20)*(1+$H$21)</f>
        <v>0.05334821</v>
      </c>
    </row>
    <row r="19" customFormat="false" ht="12.75" hidden="false" customHeight="true" outlineLevel="0" collapsed="false">
      <c r="A19" s="19" t="s">
        <v>120</v>
      </c>
      <c r="B19" s="21" t="s">
        <v>121</v>
      </c>
      <c r="C19" s="21"/>
      <c r="D19" s="21"/>
      <c r="E19" s="21"/>
      <c r="F19" s="21"/>
      <c r="G19" s="33" t="s">
        <v>122</v>
      </c>
      <c r="H19" s="34" t="n">
        <v>0.04</v>
      </c>
    </row>
    <row r="20" customFormat="false" ht="12.75" hidden="false" customHeight="false" outlineLevel="0" collapsed="false">
      <c r="A20" s="19" t="s">
        <v>123</v>
      </c>
      <c r="B20" s="23" t="s">
        <v>124</v>
      </c>
      <c r="C20" s="23"/>
      <c r="D20" s="23"/>
      <c r="E20" s="23"/>
      <c r="F20" s="23"/>
      <c r="G20" s="19" t="s">
        <v>125</v>
      </c>
      <c r="H20" s="34" t="n">
        <v>0.0127</v>
      </c>
    </row>
    <row r="21" customFormat="false" ht="12.75" hidden="false" customHeight="false" outlineLevel="0" collapsed="false">
      <c r="A21" s="19" t="s">
        <v>126</v>
      </c>
      <c r="B21" s="23" t="s">
        <v>127</v>
      </c>
      <c r="C21" s="23"/>
      <c r="D21" s="23"/>
      <c r="E21" s="23"/>
      <c r="F21" s="23"/>
      <c r="G21" s="19" t="s">
        <v>128</v>
      </c>
      <c r="H21" s="34" t="n">
        <v>0.0123</v>
      </c>
    </row>
    <row r="22" customFormat="false" ht="12.75" hidden="false" customHeight="false" outlineLevel="0" collapsed="false">
      <c r="A22" s="16" t="s">
        <v>129</v>
      </c>
      <c r="B22" s="22" t="s">
        <v>130</v>
      </c>
      <c r="C22" s="22"/>
      <c r="D22" s="22"/>
      <c r="E22" s="22"/>
      <c r="F22" s="22"/>
      <c r="G22" s="16" t="s">
        <v>131</v>
      </c>
      <c r="H22" s="32" t="n">
        <f aca="false">SUM($H$23:$H$25)</f>
        <v>0.0865</v>
      </c>
    </row>
    <row r="23" customFormat="false" ht="12.75" hidden="false" customHeight="false" outlineLevel="0" collapsed="false">
      <c r="A23" s="19" t="s">
        <v>132</v>
      </c>
      <c r="B23" s="10" t="s">
        <v>133</v>
      </c>
      <c r="C23" s="10"/>
      <c r="D23" s="10"/>
      <c r="E23" s="10"/>
      <c r="F23" s="10"/>
      <c r="G23" s="19" t="s">
        <v>134</v>
      </c>
      <c r="H23" s="35" t="n">
        <f aca="false">IF(H12=K12,0.03,0.076)</f>
        <v>0.03</v>
      </c>
    </row>
    <row r="24" customFormat="false" ht="12.75" hidden="false" customHeight="false" outlineLevel="0" collapsed="false">
      <c r="A24" s="19" t="s">
        <v>135</v>
      </c>
      <c r="B24" s="10" t="s">
        <v>136</v>
      </c>
      <c r="C24" s="10"/>
      <c r="D24" s="10"/>
      <c r="E24" s="10"/>
      <c r="F24" s="10"/>
      <c r="G24" s="19" t="s">
        <v>137</v>
      </c>
      <c r="H24" s="35" t="n">
        <f aca="false">IF(H12=K12,0.0065,0.0165)</f>
        <v>0.0065</v>
      </c>
    </row>
    <row r="25" customFormat="false" ht="12.75" hidden="false" customHeight="false" outlineLevel="0" collapsed="false">
      <c r="A25" s="19" t="s">
        <v>138</v>
      </c>
      <c r="B25" s="10" t="s">
        <v>139</v>
      </c>
      <c r="C25" s="10"/>
      <c r="D25" s="10"/>
      <c r="E25" s="10"/>
      <c r="F25" s="10"/>
      <c r="G25" s="19" t="s">
        <v>140</v>
      </c>
      <c r="H25" s="34" t="n">
        <v>0.05</v>
      </c>
    </row>
    <row r="26" customFormat="false" ht="12.75" hidden="false" customHeight="false" outlineLevel="0" collapsed="false">
      <c r="A26" s="16" t="s">
        <v>141</v>
      </c>
      <c r="B26" s="36" t="s">
        <v>142</v>
      </c>
      <c r="C26" s="36"/>
      <c r="D26" s="36"/>
      <c r="E26" s="36"/>
      <c r="F26" s="36"/>
      <c r="G26" s="16" t="s">
        <v>143</v>
      </c>
      <c r="H26" s="37" t="n">
        <v>0.2</v>
      </c>
    </row>
    <row r="28" customFormat="false" ht="15" hidden="false" customHeight="false" outlineLevel="0" collapsed="false">
      <c r="A28" s="20" t="s">
        <v>69</v>
      </c>
      <c r="B28" s="20"/>
      <c r="C28" s="20"/>
      <c r="D28" s="20"/>
      <c r="E28" s="20"/>
      <c r="F28" s="20"/>
      <c r="G28" s="20"/>
      <c r="H28" s="20"/>
      <c r="I28" s="20"/>
      <c r="J28" s="20"/>
    </row>
    <row r="29" customFormat="false" ht="40.5" hidden="false" customHeight="true" outlineLevel="0" collapsed="false">
      <c r="A29" s="21" t="s">
        <v>144</v>
      </c>
      <c r="B29" s="21"/>
      <c r="C29" s="21"/>
      <c r="D29" s="21"/>
      <c r="E29" s="21"/>
      <c r="F29" s="21"/>
      <c r="G29" s="21"/>
      <c r="H29" s="21"/>
      <c r="I29" s="21"/>
      <c r="J29" s="21"/>
      <c r="P29" s="38"/>
    </row>
    <row r="30" customFormat="false" ht="26.25" hidden="false" customHeight="true" outlineLevel="0" collapsed="false">
      <c r="A30" s="11" t="s">
        <v>145</v>
      </c>
      <c r="B30" s="11"/>
      <c r="C30" s="11"/>
      <c r="D30" s="11"/>
      <c r="E30" s="11"/>
      <c r="F30" s="11"/>
      <c r="G30" s="11"/>
      <c r="H30" s="11"/>
      <c r="I30" s="11"/>
      <c r="J30" s="11"/>
    </row>
  </sheetData>
  <sheetProtection sheet="true" password="e536" objects="true" scenarios="true" formatColumns="false" formatRows="false"/>
  <mergeCells count="21">
    <mergeCell ref="A7:J7"/>
    <mergeCell ref="A9:J9"/>
    <mergeCell ref="A11:J11"/>
    <mergeCell ref="B12:G12"/>
    <mergeCell ref="H12:J12"/>
    <mergeCell ref="B13:J13"/>
    <mergeCell ref="B14:G14"/>
    <mergeCell ref="H14:J14"/>
    <mergeCell ref="B15:J15"/>
    <mergeCell ref="B17:F17"/>
    <mergeCell ref="B18:F18"/>
    <mergeCell ref="B19:F19"/>
    <mergeCell ref="B20:F20"/>
    <mergeCell ref="B21:F21"/>
    <mergeCell ref="B22:F22"/>
    <mergeCell ref="B23:F23"/>
    <mergeCell ref="B24:F24"/>
    <mergeCell ref="B25:F25"/>
    <mergeCell ref="A28:J28"/>
    <mergeCell ref="A29:J29"/>
    <mergeCell ref="A30:J30"/>
  </mergeCells>
  <dataValidations count="3">
    <dataValidation allowBlank="true" operator="between" showDropDown="false" showErrorMessage="true" showInputMessage="true" sqref="H12:J12" type="list">
      <formula1>$K$12:$L$12</formula1>
      <formula2>0</formula2>
    </dataValidation>
    <dataValidation allowBlank="true" operator="between" showDropDown="false" showErrorMessage="true" showInputMessage="true" sqref="H14:J14" type="list">
      <formula1>$K$14:$L$14</formula1>
      <formula2>0</formula2>
    </dataValidation>
    <dataValidation allowBlank="true" error="Insira valor maior ou igual a 20%" errorTitle="Taxa de Benfeitoria" operator="between" prompt="Percentual calculado sobre o lucro líquido a ser convertido em benfeitorias para o estacionamento do Centro de Tecnologia." promptTitle="Taxa de Benfeitorias" showDropDown="false" showErrorMessage="true" showInputMessage="true" sqref="H26" type="custom">
      <formula1>H26&gt;=0.2</formula1>
      <formula2>0</formula2>
    </dataValidation>
  </dataValidations>
  <hyperlinks>
    <hyperlink ref="M7" location="Início!A7" display="Início"/>
    <hyperlink ref="N7" location="Premissas!A7" display="Voltar"/>
    <hyperlink ref="O7" location="'Inv. Inicial'!A7" display="Avançar"/>
  </hyperlinks>
  <printOptions headings="false" gridLines="false" gridLinesSet="true" horizontalCentered="false" verticalCentered="false"/>
  <pageMargins left="0.511805555555555" right="0.511805555555555"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Roman,Normal"&amp;10DESPESAS INDIRETAS,
TRIBUTOS E BENFEITORIAS&amp;C&amp;"Times New Roman,Normal"&amp;10&lt;Inserir nome da empresa&gt;
&lt;Inserir endereço da empresa&gt;
&lt;Inserir telefone da empresa&gt;
&lt;Inserir correio eletrônico da empresa&gt;&amp;R&amp;"Times New Roman,Normal"&amp;10&amp;P/&amp;N</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M57"/>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A7" activeCellId="0" sqref="A7"/>
    </sheetView>
  </sheetViews>
  <sheetFormatPr defaultRowHeight="12.75"/>
  <cols>
    <col collapsed="false" hidden="false" max="7" min="1" style="1" width="9.04591836734694"/>
    <col collapsed="false" hidden="false" max="8" min="8" style="1" width="7.69387755102041"/>
    <col collapsed="false" hidden="false" max="9" min="9" style="1" width="8.50510204081633"/>
    <col collapsed="false" hidden="false" max="10" min="10" style="1" width="9.85204081632653"/>
    <col collapsed="false" hidden="false" max="1025" min="11" style="1" width="9.04591836734694"/>
  </cols>
  <sheetData>
    <row r="1" customFormat="false" ht="15" hidden="false" customHeight="false" outlineLevel="0" collapsed="false">
      <c r="A1" s="2" t="str">
        <f aca="false">Início!A1</f>
        <v>RAZÃO SOCIAL DA EMPRESA:</v>
      </c>
      <c r="B1" s="2"/>
      <c r="C1" s="2"/>
      <c r="D1" s="2"/>
      <c r="E1" s="2"/>
      <c r="F1" s="2"/>
      <c r="G1" s="2"/>
      <c r="H1" s="2"/>
      <c r="I1" s="2"/>
      <c r="J1" s="2"/>
    </row>
    <row r="2" customFormat="false" ht="15" hidden="false" customHeight="false" outlineLevel="0" collapsed="false">
      <c r="A2" s="2" t="str">
        <f aca="false">Início!A2</f>
        <v>Endereço:</v>
      </c>
      <c r="B2" s="2"/>
      <c r="C2" s="2"/>
      <c r="D2" s="2"/>
      <c r="E2" s="2"/>
      <c r="F2" s="2"/>
      <c r="G2" s="2"/>
      <c r="H2" s="2"/>
      <c r="I2" s="2"/>
      <c r="J2" s="2"/>
    </row>
    <row r="3" customFormat="false" ht="15" hidden="false" customHeight="false" outlineLevel="0" collapsed="false">
      <c r="A3" s="2" t="str">
        <f aca="false">Início!A3</f>
        <v>CNPJ:</v>
      </c>
      <c r="B3" s="2"/>
      <c r="C3" s="2"/>
      <c r="D3" s="2"/>
      <c r="E3" s="2"/>
      <c r="F3" s="2"/>
      <c r="G3" s="2"/>
      <c r="H3" s="2"/>
      <c r="I3" s="2"/>
      <c r="J3" s="2"/>
    </row>
    <row r="4" customFormat="false" ht="15" hidden="false" customHeight="false" outlineLevel="0" collapsed="false">
      <c r="A4" s="2" t="str">
        <f aca="false">Início!A4</f>
        <v>Telefone</v>
      </c>
      <c r="B4" s="2"/>
      <c r="C4" s="2"/>
      <c r="D4" s="2"/>
      <c r="E4" s="2"/>
      <c r="F4" s="2"/>
      <c r="G4" s="2"/>
      <c r="H4" s="2"/>
      <c r="I4" s="2"/>
      <c r="J4" s="2"/>
    </row>
    <row r="5" customFormat="false" ht="15" hidden="false" customHeight="false" outlineLevel="0" collapsed="false">
      <c r="A5" s="2" t="str">
        <f aca="false">Início!A5</f>
        <v>E-mail:</v>
      </c>
      <c r="B5" s="2"/>
      <c r="C5" s="2"/>
      <c r="D5" s="2"/>
      <c r="E5" s="2"/>
      <c r="F5" s="2"/>
      <c r="G5" s="2"/>
      <c r="H5" s="2"/>
      <c r="I5" s="2"/>
      <c r="J5" s="2"/>
    </row>
    <row r="6" customFormat="false" ht="15" hidden="false" customHeight="false" outlineLevel="0" collapsed="false">
      <c r="A6" s="2"/>
      <c r="B6" s="2"/>
      <c r="C6" s="2"/>
      <c r="D6" s="2"/>
      <c r="E6" s="2"/>
      <c r="F6" s="2"/>
      <c r="G6" s="2"/>
      <c r="H6" s="2"/>
      <c r="I6" s="2"/>
      <c r="J6" s="2"/>
    </row>
    <row r="7" customFormat="false" ht="15" hidden="false" customHeight="false" outlineLevel="0" collapsed="false">
      <c r="A7" s="8" t="s">
        <v>146</v>
      </c>
      <c r="B7" s="8"/>
      <c r="C7" s="8"/>
      <c r="D7" s="8"/>
      <c r="E7" s="8"/>
      <c r="F7" s="8"/>
      <c r="G7" s="8"/>
      <c r="H7" s="8"/>
      <c r="I7" s="8"/>
      <c r="J7" s="8"/>
      <c r="K7" s="26" t="s">
        <v>12</v>
      </c>
      <c r="L7" s="13" t="s">
        <v>45</v>
      </c>
      <c r="M7" s="5" t="s">
        <v>6</v>
      </c>
    </row>
    <row r="9" customFormat="false" ht="12.75" hidden="false" customHeight="false" outlineLevel="0" collapsed="false">
      <c r="A9" s="27" t="s">
        <v>104</v>
      </c>
      <c r="B9" s="27"/>
      <c r="C9" s="27"/>
      <c r="D9" s="27"/>
      <c r="E9" s="27"/>
      <c r="F9" s="27"/>
      <c r="G9" s="27"/>
      <c r="H9" s="27"/>
      <c r="I9" s="27"/>
      <c r="J9" s="27"/>
    </row>
    <row r="11" customFormat="false" ht="12.75" hidden="false" customHeight="false" outlineLevel="0" collapsed="false">
      <c r="A11" s="19" t="s">
        <v>114</v>
      </c>
      <c r="B11" s="19" t="s">
        <v>147</v>
      </c>
      <c r="C11" s="19" t="s">
        <v>148</v>
      </c>
      <c r="D11" s="19" t="s">
        <v>11</v>
      </c>
      <c r="E11" s="19"/>
      <c r="F11" s="19"/>
      <c r="G11" s="19" t="s">
        <v>149</v>
      </c>
      <c r="H11" s="19" t="s">
        <v>150</v>
      </c>
      <c r="I11" s="19" t="s">
        <v>151</v>
      </c>
      <c r="J11" s="19"/>
    </row>
    <row r="12" customFormat="false" ht="12.75" hidden="false" customHeight="false" outlineLevel="0" collapsed="false">
      <c r="A12" s="19"/>
      <c r="B12" s="19"/>
      <c r="C12" s="19"/>
      <c r="D12" s="19"/>
      <c r="E12" s="19"/>
      <c r="F12" s="19"/>
      <c r="G12" s="19"/>
      <c r="H12" s="19"/>
      <c r="I12" s="19" t="s">
        <v>152</v>
      </c>
      <c r="J12" s="19" t="s">
        <v>68</v>
      </c>
    </row>
    <row r="13" customFormat="false" ht="12.75" hidden="false" customHeight="false" outlineLevel="0" collapsed="false">
      <c r="A13" s="16" t="s">
        <v>117</v>
      </c>
      <c r="B13" s="22" t="s">
        <v>153</v>
      </c>
      <c r="C13" s="22"/>
      <c r="D13" s="22"/>
      <c r="E13" s="22"/>
      <c r="F13" s="22"/>
      <c r="G13" s="22"/>
      <c r="H13" s="22"/>
      <c r="I13" s="22"/>
      <c r="J13" s="39" t="n">
        <f aca="false">SUM(J14:J26)</f>
        <v>0</v>
      </c>
    </row>
    <row r="14" customFormat="false" ht="12.75" hidden="false" customHeight="true" outlineLevel="0" collapsed="false">
      <c r="A14" s="19" t="s">
        <v>120</v>
      </c>
      <c r="B14" s="19" t="s">
        <v>154</v>
      </c>
      <c r="C14" s="40" t="n">
        <v>1</v>
      </c>
      <c r="D14" s="11" t="s">
        <v>155</v>
      </c>
      <c r="E14" s="11"/>
      <c r="F14" s="11"/>
      <c r="G14" s="19" t="s">
        <v>156</v>
      </c>
      <c r="H14" s="41" t="n">
        <f aca="false">Premissas!I18</f>
        <v>3050</v>
      </c>
      <c r="I14" s="42"/>
      <c r="J14" s="41" t="n">
        <f aca="false">PRODUCT(H14*I14)</f>
        <v>0</v>
      </c>
    </row>
    <row r="15" customFormat="false" ht="12.75" hidden="false" customHeight="true" outlineLevel="0" collapsed="false">
      <c r="A15" s="19" t="s">
        <v>123</v>
      </c>
      <c r="B15" s="19" t="s">
        <v>154</v>
      </c>
      <c r="C15" s="40" t="n">
        <v>2</v>
      </c>
      <c r="D15" s="11" t="s">
        <v>157</v>
      </c>
      <c r="E15" s="11"/>
      <c r="F15" s="11"/>
      <c r="G15" s="19" t="s">
        <v>156</v>
      </c>
      <c r="H15" s="41" t="n">
        <f aca="false">Premissas!J18</f>
        <v>3050</v>
      </c>
      <c r="I15" s="42"/>
      <c r="J15" s="41" t="n">
        <f aca="false">PRODUCT(H15*I15)</f>
        <v>0</v>
      </c>
    </row>
    <row r="16" customFormat="false" ht="12.75" hidden="false" customHeight="true" outlineLevel="0" collapsed="false">
      <c r="A16" s="19" t="s">
        <v>126</v>
      </c>
      <c r="B16" s="19" t="s">
        <v>154</v>
      </c>
      <c r="C16" s="40" t="n">
        <v>3</v>
      </c>
      <c r="D16" s="11" t="s">
        <v>158</v>
      </c>
      <c r="E16" s="11"/>
      <c r="F16" s="11"/>
      <c r="G16" s="19" t="s">
        <v>159</v>
      </c>
      <c r="H16" s="41" t="n">
        <f aca="false">Premissas!G18</f>
        <v>2</v>
      </c>
      <c r="I16" s="42"/>
      <c r="J16" s="41" t="n">
        <f aca="false">PRODUCT(H16*I16)</f>
        <v>0</v>
      </c>
    </row>
    <row r="17" customFormat="false" ht="12.75" hidden="false" customHeight="true" outlineLevel="0" collapsed="false">
      <c r="A17" s="19" t="s">
        <v>160</v>
      </c>
      <c r="B17" s="19" t="s">
        <v>154</v>
      </c>
      <c r="C17" s="40" t="n">
        <v>4</v>
      </c>
      <c r="D17" s="11" t="s">
        <v>53</v>
      </c>
      <c r="E17" s="11"/>
      <c r="F17" s="11"/>
      <c r="G17" s="19" t="s">
        <v>159</v>
      </c>
      <c r="H17" s="41" t="n">
        <v>85</v>
      </c>
      <c r="I17" s="42"/>
      <c r="J17" s="41" t="n">
        <f aca="false">PRODUCT(H17*I17)</f>
        <v>0</v>
      </c>
      <c r="L17" s="43"/>
    </row>
    <row r="18" customFormat="false" ht="12.75" hidden="false" customHeight="true" outlineLevel="0" collapsed="false">
      <c r="A18" s="19" t="s">
        <v>161</v>
      </c>
      <c r="B18" s="19" t="s">
        <v>154</v>
      </c>
      <c r="C18" s="40" t="n">
        <v>5</v>
      </c>
      <c r="D18" s="11" t="s">
        <v>162</v>
      </c>
      <c r="E18" s="11"/>
      <c r="F18" s="11"/>
      <c r="G18" s="19" t="s">
        <v>156</v>
      </c>
      <c r="H18" s="41" t="n">
        <f aca="false">H15</f>
        <v>3050</v>
      </c>
      <c r="I18" s="42"/>
      <c r="J18" s="41" t="n">
        <f aca="false">PRODUCT(H18*I18)</f>
        <v>0</v>
      </c>
    </row>
    <row r="19" customFormat="false" ht="12.75" hidden="false" customHeight="true" outlineLevel="0" collapsed="false">
      <c r="A19" s="19" t="s">
        <v>163</v>
      </c>
      <c r="B19" s="19" t="s">
        <v>154</v>
      </c>
      <c r="C19" s="40" t="n">
        <v>6</v>
      </c>
      <c r="D19" s="11" t="s">
        <v>164</v>
      </c>
      <c r="E19" s="11"/>
      <c r="F19" s="11"/>
      <c r="G19" s="19" t="s">
        <v>159</v>
      </c>
      <c r="H19" s="41" t="n">
        <v>1</v>
      </c>
      <c r="I19" s="42"/>
      <c r="J19" s="41" t="n">
        <f aca="false">PRODUCT(H19*I19)</f>
        <v>0</v>
      </c>
    </row>
    <row r="20" customFormat="false" ht="12.75" hidden="false" customHeight="true" outlineLevel="0" collapsed="false">
      <c r="A20" s="19" t="s">
        <v>165</v>
      </c>
      <c r="B20" s="19" t="s">
        <v>154</v>
      </c>
      <c r="C20" s="40" t="n">
        <v>7</v>
      </c>
      <c r="D20" s="11" t="s">
        <v>166</v>
      </c>
      <c r="E20" s="11"/>
      <c r="F20" s="11"/>
      <c r="G20" s="19" t="s">
        <v>159</v>
      </c>
      <c r="H20" s="41" t="n">
        <v>1</v>
      </c>
      <c r="I20" s="42"/>
      <c r="J20" s="41" t="n">
        <f aca="false">PRODUCT(H20*I20)</f>
        <v>0</v>
      </c>
    </row>
    <row r="21" customFormat="false" ht="12.75" hidden="false" customHeight="true" outlineLevel="0" collapsed="false">
      <c r="A21" s="19" t="s">
        <v>167</v>
      </c>
      <c r="B21" s="19" t="s">
        <v>154</v>
      </c>
      <c r="C21" s="40" t="n">
        <v>8</v>
      </c>
      <c r="D21" s="11" t="s">
        <v>168</v>
      </c>
      <c r="E21" s="11"/>
      <c r="F21" s="11"/>
      <c r="G21" s="19" t="s">
        <v>169</v>
      </c>
      <c r="H21" s="41" t="n">
        <v>7</v>
      </c>
      <c r="I21" s="42"/>
      <c r="J21" s="41" t="n">
        <f aca="false">PRODUCT(H21*I21)</f>
        <v>0</v>
      </c>
    </row>
    <row r="22" customFormat="false" ht="12.75" hidden="false" customHeight="true" outlineLevel="0" collapsed="false">
      <c r="A22" s="19" t="s">
        <v>170</v>
      </c>
      <c r="B22" s="19" t="s">
        <v>154</v>
      </c>
      <c r="C22" s="40" t="n">
        <v>9</v>
      </c>
      <c r="D22" s="11" t="s">
        <v>171</v>
      </c>
      <c r="E22" s="11"/>
      <c r="F22" s="11"/>
      <c r="G22" s="19" t="s">
        <v>159</v>
      </c>
      <c r="H22" s="41" t="n">
        <v>10</v>
      </c>
      <c r="I22" s="42"/>
      <c r="J22" s="41" t="n">
        <f aca="false">PRODUCT(H22*I22)</f>
        <v>0</v>
      </c>
    </row>
    <row r="23" customFormat="false" ht="12.75" hidden="false" customHeight="true" outlineLevel="0" collapsed="false">
      <c r="A23" s="19" t="s">
        <v>172</v>
      </c>
      <c r="B23" s="19" t="s">
        <v>154</v>
      </c>
      <c r="C23" s="40" t="n">
        <v>10</v>
      </c>
      <c r="D23" s="11" t="s">
        <v>173</v>
      </c>
      <c r="E23" s="11"/>
      <c r="F23" s="11"/>
      <c r="G23" s="19" t="s">
        <v>159</v>
      </c>
      <c r="H23" s="41" t="n">
        <v>40</v>
      </c>
      <c r="I23" s="42"/>
      <c r="J23" s="41" t="n">
        <f aca="false">PRODUCT(H23*I23)</f>
        <v>0</v>
      </c>
    </row>
    <row r="24" customFormat="false" ht="12.75" hidden="false" customHeight="true" outlineLevel="0" collapsed="false">
      <c r="A24" s="19" t="s">
        <v>174</v>
      </c>
      <c r="B24" s="19" t="s">
        <v>154</v>
      </c>
      <c r="C24" s="40" t="n">
        <v>11</v>
      </c>
      <c r="D24" s="11" t="s">
        <v>175</v>
      </c>
      <c r="E24" s="11"/>
      <c r="F24" s="11"/>
      <c r="G24" s="19" t="s">
        <v>156</v>
      </c>
      <c r="H24" s="41" t="n">
        <v>300</v>
      </c>
      <c r="I24" s="42"/>
      <c r="J24" s="41" t="n">
        <f aca="false">PRODUCT(H24*I24)</f>
        <v>0</v>
      </c>
    </row>
    <row r="25" customFormat="false" ht="12.75" hidden="false" customHeight="true" outlineLevel="0" collapsed="false">
      <c r="A25" s="19" t="s">
        <v>176</v>
      </c>
      <c r="B25" s="19" t="s">
        <v>177</v>
      </c>
      <c r="C25" s="44" t="s">
        <v>178</v>
      </c>
      <c r="D25" s="11" t="s">
        <v>179</v>
      </c>
      <c r="E25" s="11"/>
      <c r="F25" s="11"/>
      <c r="G25" s="19" t="s">
        <v>159</v>
      </c>
      <c r="H25" s="41" t="n">
        <v>4</v>
      </c>
      <c r="I25" s="42"/>
      <c r="J25" s="41" t="n">
        <f aca="false">PRODUCT(H25*I25)</f>
        <v>0</v>
      </c>
    </row>
    <row r="26" customFormat="false" ht="27" hidden="false" customHeight="true" outlineLevel="0" collapsed="false">
      <c r="A26" s="19" t="s">
        <v>180</v>
      </c>
      <c r="B26" s="19" t="s">
        <v>177</v>
      </c>
      <c r="C26" s="44" t="s">
        <v>181</v>
      </c>
      <c r="D26" s="11" t="s">
        <v>182</v>
      </c>
      <c r="E26" s="11"/>
      <c r="F26" s="11"/>
      <c r="G26" s="19" t="s">
        <v>159</v>
      </c>
      <c r="H26" s="41" t="n">
        <v>4</v>
      </c>
      <c r="I26" s="42"/>
      <c r="J26" s="41" t="n">
        <f aca="false">PRODUCT(H26*I26)</f>
        <v>0</v>
      </c>
    </row>
    <row r="27" customFormat="false" ht="12.75" hidden="false" customHeight="false" outlineLevel="0" collapsed="false">
      <c r="A27" s="16" t="s">
        <v>129</v>
      </c>
      <c r="B27" s="22" t="s">
        <v>183</v>
      </c>
      <c r="C27" s="22"/>
      <c r="D27" s="22"/>
      <c r="E27" s="22"/>
      <c r="F27" s="22"/>
      <c r="G27" s="22"/>
      <c r="H27" s="22"/>
      <c r="I27" s="22"/>
      <c r="J27" s="39" t="n">
        <f aca="false">SUM(J28:J31)</f>
        <v>0</v>
      </c>
    </row>
    <row r="28" customFormat="false" ht="12.75" hidden="false" customHeight="true" outlineLevel="0" collapsed="false">
      <c r="A28" s="19" t="s">
        <v>132</v>
      </c>
      <c r="B28" s="19" t="s">
        <v>184</v>
      </c>
      <c r="C28" s="19" t="n">
        <v>4915757</v>
      </c>
      <c r="D28" s="11" t="s">
        <v>185</v>
      </c>
      <c r="E28" s="11"/>
      <c r="F28" s="11"/>
      <c r="G28" s="19" t="s">
        <v>186</v>
      </c>
      <c r="H28" s="41" t="n">
        <f aca="false">SUM(Premissas!$D$13,Premissas!$D$15,Premissas!$D$16)*0.05*0.1</f>
        <v>212.9677</v>
      </c>
      <c r="I28" s="42"/>
      <c r="J28" s="41" t="n">
        <f aca="false">PRODUCT(H28*I28)</f>
        <v>0</v>
      </c>
    </row>
    <row r="29" customFormat="false" ht="27" hidden="false" customHeight="true" outlineLevel="0" collapsed="false">
      <c r="A29" s="19" t="s">
        <v>135</v>
      </c>
      <c r="B29" s="19" t="s">
        <v>184</v>
      </c>
      <c r="C29" s="19" t="n">
        <v>5213356</v>
      </c>
      <c r="D29" s="11" t="s">
        <v>187</v>
      </c>
      <c r="E29" s="11"/>
      <c r="F29" s="11"/>
      <c r="G29" s="19" t="s">
        <v>188</v>
      </c>
      <c r="H29" s="41" t="n">
        <f aca="false">SUM(Premissas!$E$13,Premissas!$E$15,Premissas!$E$16)*2.5*0.15+(SUM(Premissas!$E$13,Premissas!$E$15,Premissas!$E$16)+1)*5*0.15</f>
        <v>1776</v>
      </c>
      <c r="I29" s="42"/>
      <c r="J29" s="41" t="n">
        <f aca="false">PRODUCT(H29*I29)</f>
        <v>0</v>
      </c>
    </row>
    <row r="30" customFormat="false" ht="24.75" hidden="false" customHeight="true" outlineLevel="0" collapsed="false">
      <c r="A30" s="19" t="s">
        <v>138</v>
      </c>
      <c r="B30" s="19" t="s">
        <v>184</v>
      </c>
      <c r="C30" s="19" t="n">
        <v>4915719</v>
      </c>
      <c r="D30" s="11" t="s">
        <v>189</v>
      </c>
      <c r="E30" s="11"/>
      <c r="F30" s="11"/>
      <c r="G30" s="19" t="s">
        <v>188</v>
      </c>
      <c r="H30" s="41" t="n">
        <f aca="false">35*0.4*0.7</f>
        <v>9.8</v>
      </c>
      <c r="I30" s="42"/>
      <c r="J30" s="41" t="n">
        <f aca="false">PRODUCT(H30*I30)</f>
        <v>0</v>
      </c>
    </row>
    <row r="31" customFormat="false" ht="24.75" hidden="false" customHeight="true" outlineLevel="0" collapsed="false">
      <c r="A31" s="19" t="s">
        <v>190</v>
      </c>
      <c r="B31" s="19" t="s">
        <v>154</v>
      </c>
      <c r="C31" s="45" t="s">
        <v>191</v>
      </c>
      <c r="D31" s="11" t="s">
        <v>192</v>
      </c>
      <c r="E31" s="11"/>
      <c r="F31" s="11"/>
      <c r="G31" s="19" t="s">
        <v>188</v>
      </c>
      <c r="H31" s="41" t="n">
        <f aca="false">2572.6</f>
        <v>2572.6</v>
      </c>
      <c r="I31" s="42"/>
      <c r="J31" s="41" t="n">
        <f aca="false">PRODUCT(H31*I31)</f>
        <v>0</v>
      </c>
    </row>
    <row r="32" customFormat="false" ht="12.75" hidden="false" customHeight="false" outlineLevel="0" collapsed="false">
      <c r="A32" s="16" t="s">
        <v>141</v>
      </c>
      <c r="B32" s="22" t="s">
        <v>193</v>
      </c>
      <c r="C32" s="22"/>
      <c r="D32" s="22"/>
      <c r="E32" s="22"/>
      <c r="F32" s="22"/>
      <c r="G32" s="22"/>
      <c r="H32" s="22"/>
      <c r="I32" s="22"/>
      <c r="J32" s="39" t="n">
        <f aca="false">SUM(J13,J27)</f>
        <v>0</v>
      </c>
    </row>
    <row r="33" customFormat="false" ht="12.75" hidden="false" customHeight="false" outlineLevel="0" collapsed="false">
      <c r="G33" s="46"/>
      <c r="J33" s="47"/>
    </row>
    <row r="34" customFormat="false" ht="15" hidden="false" customHeight="false" outlineLevel="0" collapsed="false">
      <c r="A34" s="20" t="s">
        <v>88</v>
      </c>
      <c r="B34" s="20"/>
      <c r="C34" s="20"/>
      <c r="D34" s="20"/>
      <c r="E34" s="20"/>
      <c r="F34" s="20"/>
      <c r="G34" s="20"/>
      <c r="H34" s="20"/>
      <c r="I34" s="20"/>
      <c r="J34" s="20"/>
    </row>
    <row r="35" customFormat="false" ht="31.5" hidden="true" customHeight="true" outlineLevel="0" collapsed="false">
      <c r="A35" s="21" t="str">
        <f aca="false">"1 - A metodologia utilizada para obtenção dos preços dos itens "&amp;A14&amp;", "&amp;A15&amp;", "&amp;A16&amp;", "&amp;A17&amp;", "&amp;A18&amp;" e "&amp;A21&amp;" é a média dos valores obtidos na pesquisa de preço"</f>
        <v>1 - A metodologia utilizada para obtenção dos preços dos itens 1.1, 1.2, 1.3, 1.4, 1.5 e 1.8 é a média dos valores obtidos na pesquisa de preço</v>
      </c>
      <c r="B35" s="21"/>
      <c r="C35" s="21"/>
      <c r="D35" s="21"/>
      <c r="E35" s="21"/>
      <c r="F35" s="21"/>
      <c r="G35" s="21"/>
      <c r="H35" s="21"/>
      <c r="I35" s="21"/>
      <c r="J35" s="21"/>
    </row>
    <row r="36" customFormat="false" ht="33.75" hidden="true" customHeight="true" outlineLevel="0" collapsed="false">
      <c r="A36" s="21" t="str">
        <f aca="false">"2 - A pesquisa de preço dos itens "&amp;A19&amp;", "&amp;A20&amp;", "&amp;A22&amp;", "&amp;A23&amp;" e "&amp;A24&amp;" foi realizada utilizando como parâmetro o Painel de Preços, disponível no endereço eletrônico http://paineldeprecos.planejamento.gov.br, conforme prevê IN 03/2017 do MPOG"</f>
        <v>2 - A pesquisa de preço dos itens 1.6, 1.7, 1.9, 1.10 e 1.11 foi realizada utilizando como parâmetro o Painel de Preços, disponível no endereço eletrônico http://paineldeprecos.planejamento.gov.br, conforme prevê IN 03/2017 do MPOG</v>
      </c>
      <c r="B36" s="21"/>
      <c r="C36" s="21"/>
      <c r="D36" s="21"/>
      <c r="E36" s="21"/>
      <c r="F36" s="21"/>
      <c r="G36" s="21"/>
      <c r="H36" s="21"/>
      <c r="I36" s="21"/>
      <c r="J36" s="21"/>
    </row>
    <row r="37" customFormat="false" ht="45.75" hidden="false" customHeight="true" outlineLevel="0" collapsed="false">
      <c r="A37" s="11" t="str">
        <f aca="false">"1 - O item "&amp;A21&amp;" compreende a aquisição e instalação dos seguintes equipamentos de automação:estações automática de entrada/ saída e cancelas, software e aplicativo de gestão de estacionamento, tickets descartáveis, cartões RFID, terminais de autoatendimento. "&amp;"Todos descritos no item 7.3 do Termo de Referência."</f>
        <v>1 - O item 1.8 compreende a aquisição e instalação dos seguintes equipamentos de automação:estações automática de entrada/ saída e cancelas, software e aplicativo de gestão de estacionamento, tickets descartáveis, cartões RFID, terminais de autoatendimento. Todos descritos no item 7.3 do Termo de Referência.</v>
      </c>
      <c r="B37" s="11"/>
      <c r="C37" s="11"/>
      <c r="D37" s="11"/>
      <c r="E37" s="11"/>
      <c r="F37" s="11"/>
      <c r="G37" s="11"/>
      <c r="H37" s="11"/>
      <c r="I37" s="11"/>
      <c r="J37" s="11"/>
    </row>
    <row r="38" customFormat="false" ht="12.75" hidden="false" customHeight="true" outlineLevel="0" collapsed="false">
      <c r="A38" s="21" t="s">
        <v>194</v>
      </c>
      <c r="B38" s="21"/>
      <c r="C38" s="21"/>
      <c r="D38" s="21"/>
      <c r="E38" s="21"/>
      <c r="F38" s="21"/>
      <c r="G38" s="21"/>
      <c r="H38" s="21"/>
      <c r="I38" s="21"/>
      <c r="J38" s="21"/>
    </row>
    <row r="39" customFormat="false" ht="32.25" hidden="true" customHeight="true" outlineLevel="0" collapsed="false">
      <c r="A39" s="21" t="str">
        <f aca="false">"5 - Os custos dos serviços dos itens "&amp;A28&amp;", "&amp;A29&amp;" e "&amp;A30&amp;" foram obtidos a partir das composições dos custos unitários de referência do Sistema de Custos Referenciais de Obras - Sicro."</f>
        <v>5 - Os custos dos serviços dos itens 2.1, 2.2 e 2.3 foram obtidos a partir das composições dos custos unitários de referência do Sistema de Custos Referenciais de Obras - Sicro.</v>
      </c>
      <c r="B39" s="21"/>
      <c r="C39" s="21"/>
      <c r="D39" s="21"/>
      <c r="E39" s="21"/>
      <c r="F39" s="21"/>
      <c r="G39" s="21"/>
      <c r="H39" s="21"/>
      <c r="I39" s="21"/>
      <c r="J39" s="21"/>
    </row>
    <row r="40" customFormat="false" ht="12.75" hidden="false" customHeight="true" outlineLevel="0" collapsed="false">
      <c r="A40" s="21" t="s">
        <v>195</v>
      </c>
      <c r="B40" s="21"/>
      <c r="C40" s="21"/>
      <c r="D40" s="21"/>
      <c r="E40" s="21"/>
      <c r="F40" s="21"/>
      <c r="G40" s="21"/>
      <c r="H40" s="21"/>
      <c r="I40" s="21"/>
      <c r="J40" s="21"/>
    </row>
    <row r="41" customFormat="false" ht="29.25" hidden="false" customHeight="true" outlineLevel="0" collapsed="false">
      <c r="A41" s="21" t="s">
        <v>196</v>
      </c>
      <c r="B41" s="21"/>
      <c r="C41" s="21"/>
      <c r="D41" s="21"/>
      <c r="E41" s="21"/>
      <c r="F41" s="21"/>
      <c r="G41" s="21"/>
      <c r="H41" s="21"/>
      <c r="I41" s="21"/>
      <c r="J41" s="21"/>
    </row>
    <row r="42" customFormat="false" ht="29.25" hidden="false" customHeight="true" outlineLevel="0" collapsed="false">
      <c r="A42" s="21" t="s">
        <v>197</v>
      </c>
      <c r="B42" s="21"/>
      <c r="C42" s="21"/>
      <c r="D42" s="21"/>
      <c r="E42" s="21"/>
      <c r="F42" s="21"/>
      <c r="G42" s="21"/>
      <c r="H42" s="21"/>
      <c r="I42" s="21"/>
      <c r="J42" s="21"/>
    </row>
    <row r="43" customFormat="false" ht="24.75" hidden="false" customHeight="true" outlineLevel="0" collapsed="false">
      <c r="A43" s="21" t="s">
        <v>198</v>
      </c>
      <c r="B43" s="21"/>
      <c r="C43" s="21"/>
      <c r="D43" s="21"/>
      <c r="E43" s="21"/>
      <c r="F43" s="21"/>
      <c r="G43" s="21"/>
      <c r="H43" s="21"/>
      <c r="I43" s="21"/>
      <c r="J43" s="21"/>
    </row>
    <row r="45" customFormat="false" ht="12.75" hidden="true" customHeight="true" outlineLevel="0" collapsed="false">
      <c r="A45" s="8" t="s">
        <v>199</v>
      </c>
      <c r="B45" s="8"/>
      <c r="C45" s="8"/>
      <c r="D45" s="8"/>
      <c r="E45" s="8"/>
      <c r="F45" s="8"/>
      <c r="G45" s="8"/>
      <c r="H45" s="8"/>
      <c r="I45" s="8"/>
      <c r="J45" s="8"/>
    </row>
    <row r="46" s="49" customFormat="true" ht="12.75" hidden="true" customHeight="true" outlineLevel="0" collapsed="false">
      <c r="A46" s="6"/>
      <c r="B46" s="48"/>
      <c r="C46" s="48"/>
      <c r="D46" s="48"/>
      <c r="E46" s="48"/>
      <c r="F46" s="48"/>
      <c r="G46" s="48"/>
      <c r="H46" s="48"/>
      <c r="I46" s="48"/>
      <c r="J46" s="48"/>
    </row>
    <row r="47" customFormat="false" ht="12.75" hidden="true" customHeight="false" outlineLevel="0" collapsed="false">
      <c r="A47" s="50" t="s">
        <v>200</v>
      </c>
      <c r="B47" s="51"/>
      <c r="C47" s="51"/>
      <c r="D47" s="52"/>
      <c r="E47" s="53"/>
      <c r="F47" s="53"/>
      <c r="G47" s="53"/>
      <c r="H47" s="53"/>
      <c r="I47" s="53"/>
      <c r="J47" s="53"/>
    </row>
    <row r="48" customFormat="false" ht="12.75" hidden="true" customHeight="false" outlineLevel="0" collapsed="false">
      <c r="A48" s="50" t="s">
        <v>201</v>
      </c>
      <c r="B48" s="51"/>
      <c r="C48" s="51"/>
      <c r="D48" s="52"/>
      <c r="E48" s="53"/>
      <c r="F48" s="53"/>
      <c r="G48" s="53"/>
      <c r="H48" s="53"/>
      <c r="I48" s="53"/>
      <c r="J48" s="53"/>
    </row>
    <row r="49" customFormat="false" ht="12.75" hidden="true" customHeight="false" outlineLevel="0" collapsed="false">
      <c r="A49" s="50" t="s">
        <v>202</v>
      </c>
      <c r="B49" s="51"/>
      <c r="C49" s="51"/>
      <c r="D49" s="52"/>
      <c r="E49" s="53"/>
      <c r="F49" s="53"/>
      <c r="G49" s="53"/>
      <c r="H49" s="53"/>
      <c r="I49" s="53"/>
      <c r="J49" s="53"/>
    </row>
    <row r="50" customFormat="false" ht="12.75" hidden="true" customHeight="false" outlineLevel="0" collapsed="false"/>
    <row r="51" customFormat="false" ht="12.75" hidden="true" customHeight="false" outlineLevel="0" collapsed="false">
      <c r="A51" s="36" t="s">
        <v>203</v>
      </c>
      <c r="B51" s="23"/>
      <c r="C51" s="16" t="s">
        <v>204</v>
      </c>
      <c r="D51" s="16" t="s">
        <v>205</v>
      </c>
      <c r="E51" s="16" t="s">
        <v>206</v>
      </c>
      <c r="F51" s="16" t="s">
        <v>207</v>
      </c>
    </row>
    <row r="52" customFormat="false" ht="12.75" hidden="true" customHeight="false" outlineLevel="0" collapsed="false">
      <c r="A52" s="36" t="str">
        <f aca="false">D14</f>
        <v>Fibra Óptica</v>
      </c>
      <c r="B52" s="23"/>
      <c r="C52" s="54" t="n">
        <v>3.89</v>
      </c>
      <c r="D52" s="54" t="n">
        <v>4.9</v>
      </c>
      <c r="E52" s="54" t="n">
        <v>5.3</v>
      </c>
      <c r="F52" s="55" t="n">
        <f aca="false">AVERAGE(C52:E52)</f>
        <v>4.69666666666667</v>
      </c>
    </row>
    <row r="53" customFormat="false" ht="12.75" hidden="true" customHeight="false" outlineLevel="0" collapsed="false">
      <c r="A53" s="22" t="str">
        <f aca="false">D15</f>
        <v>Cabo PP</v>
      </c>
      <c r="B53" s="22"/>
      <c r="C53" s="54" t="n">
        <v>14</v>
      </c>
      <c r="D53" s="54" t="n">
        <v>19.5</v>
      </c>
      <c r="E53" s="54" t="n">
        <v>22.5</v>
      </c>
      <c r="F53" s="55" t="n">
        <f aca="false">AVERAGE(C53:E53)</f>
        <v>18.6666666666667</v>
      </c>
    </row>
    <row r="54" customFormat="false" ht="12.75" hidden="true" customHeight="false" outlineLevel="0" collapsed="false">
      <c r="A54" s="36" t="str">
        <f aca="false">D16</f>
        <v>Cabines de cobrança</v>
      </c>
      <c r="B54" s="23"/>
      <c r="C54" s="54" t="n">
        <v>1500</v>
      </c>
      <c r="D54" s="54" t="n">
        <v>1900</v>
      </c>
      <c r="E54" s="54" t="n">
        <v>2400</v>
      </c>
      <c r="F54" s="55" t="n">
        <f aca="false">AVERAGE(C54:E54)</f>
        <v>1933.33333333333</v>
      </c>
    </row>
    <row r="55" customFormat="false" ht="12.75" hidden="true" customHeight="false" outlineLevel="0" collapsed="false">
      <c r="A55" s="22" t="str">
        <f aca="false">D17</f>
        <v>Câmeras</v>
      </c>
      <c r="B55" s="22"/>
      <c r="C55" s="54" t="n">
        <v>568</v>
      </c>
      <c r="D55" s="54" t="n">
        <v>795</v>
      </c>
      <c r="E55" s="54" t="n">
        <v>1020</v>
      </c>
      <c r="F55" s="55" t="n">
        <f aca="false">AVERAGE(C55:E55)</f>
        <v>794.333333333333</v>
      </c>
    </row>
    <row r="56" customFormat="false" ht="12.75" hidden="true" customHeight="false" outlineLevel="0" collapsed="false">
      <c r="A56" s="36" t="str">
        <f aca="false">D18</f>
        <v>Mão de obra</v>
      </c>
      <c r="B56" s="23"/>
      <c r="C56" s="41" t="n">
        <v>43</v>
      </c>
      <c r="D56" s="41" t="n">
        <v>55</v>
      </c>
      <c r="E56" s="41" t="n">
        <v>88</v>
      </c>
      <c r="F56" s="55" t="n">
        <f aca="false">AVERAGE(C56:E56)</f>
        <v>62</v>
      </c>
    </row>
    <row r="57" customFormat="false" ht="12.75" hidden="true" customHeight="false" outlineLevel="0" collapsed="false">
      <c r="A57" s="36" t="str">
        <f aca="false">D21</f>
        <v>Equip. de Aut / estc.</v>
      </c>
      <c r="B57" s="23"/>
      <c r="C57" s="41" t="n">
        <f aca="false">250440.8/4</f>
        <v>62610.2</v>
      </c>
      <c r="D57" s="41" t="n">
        <f aca="false">321600/4</f>
        <v>80400</v>
      </c>
      <c r="E57" s="41" t="n">
        <f aca="false">326160/4</f>
        <v>81540</v>
      </c>
      <c r="F57" s="56" t="n">
        <f aca="false">AVERAGE(C57:E57)</f>
        <v>74850.0666666667</v>
      </c>
    </row>
  </sheetData>
  <sheetProtection sheet="true" password="e536" objects="true" scenarios="true" formatColumns="false" formatRows="false"/>
  <mergeCells count="42">
    <mergeCell ref="A7:J7"/>
    <mergeCell ref="A9:J9"/>
    <mergeCell ref="A11:A12"/>
    <mergeCell ref="B11:B12"/>
    <mergeCell ref="C11:C12"/>
    <mergeCell ref="D11:F12"/>
    <mergeCell ref="G11:G12"/>
    <mergeCell ref="H11:H12"/>
    <mergeCell ref="I11:J11"/>
    <mergeCell ref="B13:I13"/>
    <mergeCell ref="D14:F14"/>
    <mergeCell ref="D15:F15"/>
    <mergeCell ref="D16:F16"/>
    <mergeCell ref="D17:F17"/>
    <mergeCell ref="D18:F18"/>
    <mergeCell ref="D19:F19"/>
    <mergeCell ref="D20:F20"/>
    <mergeCell ref="D21:F21"/>
    <mergeCell ref="D22:F22"/>
    <mergeCell ref="D23:F23"/>
    <mergeCell ref="D24:F24"/>
    <mergeCell ref="D25:F25"/>
    <mergeCell ref="D26:F26"/>
    <mergeCell ref="B27:I27"/>
    <mergeCell ref="D28:F28"/>
    <mergeCell ref="D29:F29"/>
    <mergeCell ref="D30:F30"/>
    <mergeCell ref="D31:F31"/>
    <mergeCell ref="B32:I32"/>
    <mergeCell ref="A34:J34"/>
    <mergeCell ref="A35:J35"/>
    <mergeCell ref="A36:J36"/>
    <mergeCell ref="A37:J37"/>
    <mergeCell ref="A38:J38"/>
    <mergeCell ref="A39:J39"/>
    <mergeCell ref="A40:J40"/>
    <mergeCell ref="A41:J41"/>
    <mergeCell ref="A42:J42"/>
    <mergeCell ref="A43:J43"/>
    <mergeCell ref="A45:J45"/>
    <mergeCell ref="A53:B53"/>
    <mergeCell ref="A55:B55"/>
  </mergeCells>
  <hyperlinks>
    <hyperlink ref="K7" location="Início!A7" display="Início"/>
    <hyperlink ref="L7" location="'DI, Tri e Pag'!A7" display="Voltar"/>
    <hyperlink ref="M7" location="VxTxR!A7" display="Avançar"/>
  </hyperlinks>
  <printOptions headings="false" gridLines="false" gridLinesSet="true" horizontalCentered="true" verticalCentered="false"/>
  <pageMargins left="0.511805555555555" right="0.511805555555555"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Roman,Normal"&amp;10INVESTIMENTO INICIAL&amp;C&amp;"Times New Roman,Normal"&amp;10&lt;Inserir nome da empresa&gt;
&lt;Inserir endereço da empresa&gt;
&lt;Inserir telefone da empresa&gt;
&lt;Inserir correio eletrônico da empresa&gt;&amp;R&amp;"Times New Roman,Normal"&amp;10&amp;P/&amp;N</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M89"/>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9" topLeftCell="A10" activePane="bottomLeft" state="frozen"/>
      <selection pane="topLeft" activeCell="A1" activeCellId="0" sqref="A1"/>
      <selection pane="bottomLeft" activeCell="A7" activeCellId="0" sqref="A7"/>
    </sheetView>
  </sheetViews>
  <sheetFormatPr defaultRowHeight="15"/>
  <cols>
    <col collapsed="false" hidden="false" max="8" min="1" style="0" width="8.50510204081633"/>
    <col collapsed="false" hidden="false" max="9" min="9" style="0" width="9.44897959183673"/>
    <col collapsed="false" hidden="false" max="1025" min="10" style="0" width="8.50510204081633"/>
  </cols>
  <sheetData>
    <row r="1" customFormat="false" ht="15" hidden="false" customHeight="false" outlineLevel="0" collapsed="false">
      <c r="A1" s="2" t="str">
        <f aca="false">Início!A1</f>
        <v>RAZÃO SOCIAL DA EMPRESA:</v>
      </c>
      <c r="B1" s="2"/>
      <c r="C1" s="2"/>
      <c r="D1" s="2"/>
      <c r="E1" s="2"/>
      <c r="F1" s="2"/>
      <c r="G1" s="2"/>
      <c r="H1" s="2"/>
      <c r="I1" s="2"/>
      <c r="J1" s="2"/>
    </row>
    <row r="2" customFormat="false" ht="15" hidden="false" customHeight="false" outlineLevel="0" collapsed="false">
      <c r="A2" s="2" t="str">
        <f aca="false">Início!A2</f>
        <v>Endereço:</v>
      </c>
      <c r="B2" s="2"/>
      <c r="C2" s="2"/>
      <c r="D2" s="2"/>
      <c r="E2" s="2"/>
      <c r="F2" s="2"/>
      <c r="G2" s="2"/>
      <c r="H2" s="2"/>
      <c r="I2" s="2"/>
      <c r="J2" s="2"/>
    </row>
    <row r="3" customFormat="false" ht="15" hidden="false" customHeight="false" outlineLevel="0" collapsed="false">
      <c r="A3" s="2" t="str">
        <f aca="false">Início!A3</f>
        <v>CNPJ:</v>
      </c>
      <c r="B3" s="2"/>
      <c r="C3" s="2"/>
      <c r="D3" s="2"/>
      <c r="E3" s="2"/>
      <c r="F3" s="2"/>
      <c r="G3" s="2"/>
      <c r="H3" s="2"/>
      <c r="I3" s="2"/>
      <c r="J3" s="2"/>
    </row>
    <row r="4" customFormat="false" ht="15" hidden="false" customHeight="false" outlineLevel="0" collapsed="false">
      <c r="A4" s="2" t="str">
        <f aca="false">Início!A4</f>
        <v>Telefone</v>
      </c>
      <c r="B4" s="2"/>
      <c r="C4" s="2"/>
      <c r="D4" s="2"/>
      <c r="E4" s="2"/>
      <c r="F4" s="2"/>
      <c r="G4" s="2"/>
      <c r="H4" s="2"/>
      <c r="I4" s="2"/>
      <c r="J4" s="2"/>
    </row>
    <row r="5" customFormat="false" ht="15" hidden="false" customHeight="false" outlineLevel="0" collapsed="false">
      <c r="A5" s="2" t="str">
        <f aca="false">Início!A5</f>
        <v>E-mail:</v>
      </c>
      <c r="B5" s="2"/>
      <c r="C5" s="2"/>
      <c r="D5" s="2"/>
      <c r="E5" s="2"/>
      <c r="F5" s="2"/>
      <c r="G5" s="2"/>
      <c r="H5" s="2"/>
      <c r="I5" s="2"/>
      <c r="J5" s="2"/>
    </row>
    <row r="6" customFormat="false" ht="15" hidden="false" customHeight="false" outlineLevel="0" collapsed="false">
      <c r="A6" s="2"/>
      <c r="B6" s="2"/>
      <c r="C6" s="2"/>
      <c r="D6" s="2"/>
      <c r="E6" s="2"/>
      <c r="F6" s="2"/>
      <c r="G6" s="2"/>
      <c r="H6" s="2"/>
      <c r="I6" s="2"/>
      <c r="J6" s="2"/>
    </row>
    <row r="7" customFormat="false" ht="15" hidden="false" customHeight="false" outlineLevel="0" collapsed="false">
      <c r="A7" s="8" t="s">
        <v>208</v>
      </c>
      <c r="B7" s="8"/>
      <c r="C7" s="8"/>
      <c r="D7" s="8"/>
      <c r="E7" s="8"/>
      <c r="F7" s="8"/>
      <c r="G7" s="8"/>
      <c r="H7" s="8"/>
      <c r="I7" s="8"/>
      <c r="J7" s="8"/>
      <c r="K7" s="26" t="s">
        <v>12</v>
      </c>
      <c r="L7" s="13" t="s">
        <v>45</v>
      </c>
      <c r="M7" s="5" t="s">
        <v>6</v>
      </c>
    </row>
    <row r="8" customFormat="false" ht="15" hidden="false" customHeight="false" outlineLevel="0" collapsed="false">
      <c r="A8" s="8" t="s">
        <v>209</v>
      </c>
      <c r="B8" s="8" t="s">
        <v>210</v>
      </c>
      <c r="C8" s="8" t="s">
        <v>211</v>
      </c>
      <c r="D8" s="8" t="s">
        <v>212</v>
      </c>
      <c r="E8" s="8" t="s">
        <v>213</v>
      </c>
      <c r="F8" s="8"/>
      <c r="G8" s="8" t="s">
        <v>214</v>
      </c>
      <c r="H8" s="8"/>
      <c r="I8" s="8" t="s">
        <v>215</v>
      </c>
      <c r="J8" s="8"/>
    </row>
    <row r="9" customFormat="false" ht="15" hidden="false" customHeight="false" outlineLevel="0" collapsed="false">
      <c r="A9" s="8"/>
      <c r="B9" s="8"/>
      <c r="C9" s="8"/>
      <c r="D9" s="8"/>
      <c r="E9" s="8" t="s">
        <v>101</v>
      </c>
      <c r="F9" s="8" t="s">
        <v>102</v>
      </c>
      <c r="G9" s="8" t="s">
        <v>101</v>
      </c>
      <c r="H9" s="8" t="s">
        <v>102</v>
      </c>
      <c r="I9" s="8"/>
      <c r="J9" s="8"/>
    </row>
    <row r="10" customFormat="false" ht="15" hidden="false" customHeight="false" outlineLevel="0" collapsed="false">
      <c r="A10" s="19" t="s">
        <v>216</v>
      </c>
      <c r="B10" s="19" t="n">
        <v>22</v>
      </c>
      <c r="C10" s="57" t="n">
        <f aca="false">(Premissas!$E$18-Premissas!$E$14)*1.5</f>
        <v>2718</v>
      </c>
      <c r="D10" s="58" t="n">
        <f aca="false">IFERROR(VLOOKUP(LEFT(A10,3),Jan_Abril,2,0),IFERROR((VLOOKUP(LEFT(A10,3),Mai_Ago,2,0)),(VLOOKUP(LEFT(A10,3),Set_Dez,2,0))))</f>
        <v>0.6</v>
      </c>
      <c r="E10" s="57" t="n">
        <f aca="false">ROUND(C10*D10*Premissas!$A$49,0)</f>
        <v>734</v>
      </c>
      <c r="F10" s="57" t="n">
        <f aca="false">ROUND(C10*D10*Premissas!$D$49,0)</f>
        <v>897</v>
      </c>
      <c r="G10" s="59" t="n">
        <v>0</v>
      </c>
      <c r="H10" s="59" t="n">
        <v>0</v>
      </c>
      <c r="I10" s="60" t="n">
        <f aca="false">B10*E10*G10+F10*H10</f>
        <v>0</v>
      </c>
      <c r="J10" s="60"/>
    </row>
    <row r="11" customFormat="false" ht="15" hidden="false" customHeight="false" outlineLevel="0" collapsed="false">
      <c r="A11" s="19" t="s">
        <v>217</v>
      </c>
      <c r="B11" s="19" t="n">
        <v>22</v>
      </c>
      <c r="C11" s="57" t="n">
        <f aca="false">(Premissas!$E$18-Premissas!$E$14)*1.5</f>
        <v>2718</v>
      </c>
      <c r="D11" s="58" t="n">
        <f aca="false">IFERROR(VLOOKUP(LEFT(A11,3),Jan_Abril,2,0),IFERROR((VLOOKUP(LEFT(A11,3),Mai_Ago,2,0)),(VLOOKUP(LEFT(A11,3),Set_Dez,2,0))))</f>
        <v>0.7</v>
      </c>
      <c r="E11" s="57" t="n">
        <f aca="false">ROUND(C11*D11*Premissas!$A$49,0)</f>
        <v>856</v>
      </c>
      <c r="F11" s="57" t="n">
        <f aca="false">ROUND(C11*D11*Premissas!$D$49,0)</f>
        <v>1046</v>
      </c>
      <c r="G11" s="59" t="n">
        <f aca="false">IF(RIGHT(A11,1)="1",Premissas!$C$38,IF(RIGHT(A11,1)="2",Premissas!$C$39,IF(RIGHT(A11,1)="3",Premissas!$C$40,IF(RIGHT(A11,1)="4",Premissas!$C$41,IF(RIGHT(A11,1)="5",Premissas!$C$42,"valor não encontrado")))))</f>
        <v>4</v>
      </c>
      <c r="H11" s="57" t="n">
        <f aca="false">IF(RIGHT(A11,1)="1",Premissas!$E$38,IF(RIGHT(A11,1)="2",Premissas!$E$39,IF(RIGHT(A11,1)="3",Premissas!$E$40,IF(RIGHT(A11,1)="4",Premissas!$E$41,IF(RIGHT(A11,1)="5",Premissas!$E$42,"valor não encontrado")))))</f>
        <v>80</v>
      </c>
      <c r="I11" s="60" t="n">
        <f aca="false">B11*E11*G11+F11*H11</f>
        <v>159008</v>
      </c>
      <c r="J11" s="60"/>
    </row>
    <row r="12" customFormat="false" ht="15" hidden="false" customHeight="false" outlineLevel="0" collapsed="false">
      <c r="A12" s="19" t="s">
        <v>218</v>
      </c>
      <c r="B12" s="19" t="n">
        <v>22</v>
      </c>
      <c r="C12" s="57" t="n">
        <f aca="false">(Premissas!$E$18-Premissas!$E$14)*1.5</f>
        <v>2718</v>
      </c>
      <c r="D12" s="58" t="n">
        <f aca="false">IFERROR(VLOOKUP(LEFT(A12,3),Jan_Abril,2,0),IFERROR((VLOOKUP(LEFT(A12,3),Mai_Ago,2,0)),(VLOOKUP(LEFT(A12,3),Set_Dez,2,0))))</f>
        <v>1</v>
      </c>
      <c r="E12" s="57" t="n">
        <f aca="false">ROUND(C12*D12*Premissas!$A$49,0)</f>
        <v>1223</v>
      </c>
      <c r="F12" s="57" t="n">
        <f aca="false">ROUND(C12*D12*Premissas!$D$49,0)</f>
        <v>1495</v>
      </c>
      <c r="G12" s="59" t="n">
        <f aca="false">IF(RIGHT(A12,1)="1",Premissas!$C$38,IF(RIGHT(A12,1)="2",Premissas!$C$39,IF(RIGHT(A12,1)="3",Premissas!$C$40,IF(RIGHT(A12,1)="4",Premissas!$C$41,IF(RIGHT(A12,1)="5",Premissas!$C$42,"valor não encontrado")))))</f>
        <v>4</v>
      </c>
      <c r="H12" s="57" t="n">
        <f aca="false">IF(RIGHT(A12,1)="1",Premissas!$E$38,IF(RIGHT(A12,1)="2",Premissas!$E$39,IF(RIGHT(A12,1)="3",Premissas!$E$40,IF(RIGHT(A12,1)="4",Premissas!$E$41,IF(RIGHT(A12,1)="5",Premissas!$E$42,"valor não encontrado")))))</f>
        <v>80</v>
      </c>
      <c r="I12" s="60" t="n">
        <f aca="false">B12*E12*G12+F12*H12</f>
        <v>227224</v>
      </c>
      <c r="J12" s="60"/>
    </row>
    <row r="13" customFormat="false" ht="15" hidden="false" customHeight="false" outlineLevel="0" collapsed="false">
      <c r="A13" s="19" t="s">
        <v>219</v>
      </c>
      <c r="B13" s="19" t="n">
        <v>22</v>
      </c>
      <c r="C13" s="57" t="n">
        <f aca="false">(Premissas!$E$18-Premissas!$E$14)*1.5</f>
        <v>2718</v>
      </c>
      <c r="D13" s="58" t="n">
        <f aca="false">IFERROR(VLOOKUP(LEFT(A13,3),Jan_Abril,2,0),IFERROR((VLOOKUP(LEFT(A13,3),Mai_Ago,2,0)),(VLOOKUP(LEFT(A13,3),Set_Dez,2,0))))</f>
        <v>1</v>
      </c>
      <c r="E13" s="57" t="n">
        <f aca="false">ROUND(C13*D13*Premissas!$A$49,0)</f>
        <v>1223</v>
      </c>
      <c r="F13" s="57" t="n">
        <f aca="false">ROUND(C13*D13*Premissas!$D$49,0)</f>
        <v>1495</v>
      </c>
      <c r="G13" s="59" t="n">
        <f aca="false">IF(RIGHT(A13,1)="1",Premissas!$C$38,IF(RIGHT(A13,1)="2",Premissas!$C$39,IF(RIGHT(A13,1)="3",Premissas!$C$40,IF(RIGHT(A13,1)="4",Premissas!$C$41,IF(RIGHT(A13,1)="5",Premissas!$C$42,"valor não encontrado")))))</f>
        <v>4</v>
      </c>
      <c r="H13" s="57" t="n">
        <f aca="false">IF(RIGHT(A13,1)="1",Premissas!$E$38,IF(RIGHT(A13,1)="2",Premissas!$E$39,IF(RIGHT(A13,1)="3",Premissas!$E$40,IF(RIGHT(A13,1)="4",Premissas!$E$41,IF(RIGHT(A13,1)="5",Premissas!$E$42,"valor não encontrado")))))</f>
        <v>80</v>
      </c>
      <c r="I13" s="60" t="n">
        <f aca="false">B13*E13*G13+F13*H13</f>
        <v>227224</v>
      </c>
      <c r="J13" s="60"/>
    </row>
    <row r="14" customFormat="false" ht="15" hidden="false" customHeight="false" outlineLevel="0" collapsed="false">
      <c r="A14" s="19" t="s">
        <v>220</v>
      </c>
      <c r="B14" s="19" t="n">
        <v>22</v>
      </c>
      <c r="C14" s="57" t="n">
        <f aca="false">(Premissas!$E$18-Premissas!$E$14)*1.5</f>
        <v>2718</v>
      </c>
      <c r="D14" s="58" t="n">
        <f aca="false">IFERROR(VLOOKUP(LEFT(A14,3),Jan_Abril,2,0),IFERROR((VLOOKUP(LEFT(A14,3),Mai_Ago,2,0)),(VLOOKUP(LEFT(A14,3),Set_Dez,2,0))))</f>
        <v>1</v>
      </c>
      <c r="E14" s="57" t="n">
        <f aca="false">ROUND(C14*D14*Premissas!$A$49,0)</f>
        <v>1223</v>
      </c>
      <c r="F14" s="57" t="n">
        <f aca="false">ROUND(C14*D14*Premissas!$D$49,0)</f>
        <v>1495</v>
      </c>
      <c r="G14" s="59" t="n">
        <f aca="false">IF(RIGHT(A14,1)="1",Premissas!$C$38,IF(RIGHT(A14,1)="2",Premissas!$C$39,IF(RIGHT(A14,1)="3",Premissas!$C$40,IF(RIGHT(A14,1)="4",Premissas!$C$41,IF(RIGHT(A14,1)="5",Premissas!$C$42,"valor não encontrado")))))</f>
        <v>4</v>
      </c>
      <c r="H14" s="57" t="n">
        <f aca="false">IF(RIGHT(A14,1)="1",Premissas!$E$38,IF(RIGHT(A14,1)="2",Premissas!$E$39,IF(RIGHT(A14,1)="3",Premissas!$E$40,IF(RIGHT(A14,1)="4",Premissas!$E$41,IF(RIGHT(A14,1)="5",Premissas!$E$42,"valor não encontrado")))))</f>
        <v>80</v>
      </c>
      <c r="I14" s="60" t="n">
        <f aca="false">B14*E14*G14+F14*H14</f>
        <v>227224</v>
      </c>
      <c r="J14" s="60"/>
    </row>
    <row r="15" customFormat="false" ht="15" hidden="false" customHeight="false" outlineLevel="0" collapsed="false">
      <c r="A15" s="19" t="s">
        <v>221</v>
      </c>
      <c r="B15" s="19" t="n">
        <v>22</v>
      </c>
      <c r="C15" s="57" t="n">
        <f aca="false">(Premissas!$E$18-Premissas!$E$14)*1.5</f>
        <v>2718</v>
      </c>
      <c r="D15" s="58" t="n">
        <f aca="false">IFERROR(VLOOKUP(LEFT(A15,3),Jan_Abril,2,0),IFERROR((VLOOKUP(LEFT(A15,3),Mai_Ago,2,0)),(VLOOKUP(LEFT(A15,3),Set_Dez,2,0))))</f>
        <v>1</v>
      </c>
      <c r="E15" s="57" t="n">
        <f aca="false">ROUND(C15*D15*Premissas!$A$49,0)</f>
        <v>1223</v>
      </c>
      <c r="F15" s="57" t="n">
        <f aca="false">ROUND(C15*D15*Premissas!$D$49,0)</f>
        <v>1495</v>
      </c>
      <c r="G15" s="59" t="n">
        <f aca="false">IF(RIGHT(A15,1)="1",Premissas!$C$38,IF(RIGHT(A15,1)="2",Premissas!$C$39,IF(RIGHT(A15,1)="3",Premissas!$C$40,IF(RIGHT(A15,1)="4",Premissas!$C$41,IF(RIGHT(A15,1)="5",Premissas!$C$42,"valor não encontrado")))))</f>
        <v>4</v>
      </c>
      <c r="H15" s="57" t="n">
        <f aca="false">IF(RIGHT(A15,1)="1",Premissas!$E$38,IF(RIGHT(A15,1)="2",Premissas!$E$39,IF(RIGHT(A15,1)="3",Premissas!$E$40,IF(RIGHT(A15,1)="4",Premissas!$E$41,IF(RIGHT(A15,1)="5",Premissas!$E$42,"valor não encontrado")))))</f>
        <v>80</v>
      </c>
      <c r="I15" s="60" t="n">
        <f aca="false">B15*E15*G15+F15*H15</f>
        <v>227224</v>
      </c>
      <c r="J15" s="60"/>
    </row>
    <row r="16" customFormat="false" ht="15" hidden="false" customHeight="false" outlineLevel="0" collapsed="false">
      <c r="A16" s="19" t="s">
        <v>222</v>
      </c>
      <c r="B16" s="19" t="n">
        <v>22</v>
      </c>
      <c r="C16" s="57" t="n">
        <f aca="false">(Premissas!$E$18-Premissas!$E$14)*1.5</f>
        <v>2718</v>
      </c>
      <c r="D16" s="58" t="n">
        <f aca="false">IFERROR(VLOOKUP(LEFT(A16,3),Jan_Abril,2,0),IFERROR((VLOOKUP(LEFT(A16,3),Mai_Ago,2,0)),(VLOOKUP(LEFT(A16,3),Set_Dez,2,0))))</f>
        <v>0.6</v>
      </c>
      <c r="E16" s="57" t="n">
        <f aca="false">ROUND(C16*D16*Premissas!$A$49,0)</f>
        <v>734</v>
      </c>
      <c r="F16" s="57" t="n">
        <f aca="false">ROUND(C16*D16*Premissas!$D$49,0)</f>
        <v>897</v>
      </c>
      <c r="G16" s="59" t="n">
        <f aca="false">IF(RIGHT(A16,1)="1",Premissas!$C$38,IF(RIGHT(A16,1)="2",Premissas!$C$39,IF(RIGHT(A16,1)="3",Premissas!$C$40,IF(RIGHT(A16,1)="4",Premissas!$C$41,IF(RIGHT(A16,1)="5",Premissas!$C$42,"valor não encontrado")))))</f>
        <v>4</v>
      </c>
      <c r="H16" s="57" t="n">
        <f aca="false">IF(RIGHT(A16,1)="1",Premissas!$E$38,IF(RIGHT(A16,1)="2",Premissas!$E$39,IF(RIGHT(A16,1)="3",Premissas!$E$40,IF(RIGHT(A16,1)="4",Premissas!$E$41,IF(RIGHT(A16,1)="5",Premissas!$E$42,"valor não encontrado")))))</f>
        <v>80</v>
      </c>
      <c r="I16" s="60" t="n">
        <f aca="false">B16*E16*G16+F16*H16</f>
        <v>136352</v>
      </c>
      <c r="J16" s="60"/>
    </row>
    <row r="17" customFormat="false" ht="15" hidden="false" customHeight="false" outlineLevel="0" collapsed="false">
      <c r="A17" s="19" t="s">
        <v>223</v>
      </c>
      <c r="B17" s="19" t="n">
        <v>22</v>
      </c>
      <c r="C17" s="57" t="n">
        <f aca="false">(Premissas!$E$18-Premissas!$E$14)*1.5</f>
        <v>2718</v>
      </c>
      <c r="D17" s="58" t="n">
        <f aca="false">IFERROR(VLOOKUP(LEFT(A17,3),Jan_Abril,2,0),IFERROR((VLOOKUP(LEFT(A17,3),Mai_Ago,2,0)),(VLOOKUP(LEFT(A17,3),Set_Dez,2,0))))</f>
        <v>1</v>
      </c>
      <c r="E17" s="57" t="n">
        <f aca="false">ROUND(C17*D17*Premissas!$A$49,0)</f>
        <v>1223</v>
      </c>
      <c r="F17" s="57" t="n">
        <f aca="false">ROUND(C17*D17*Premissas!$D$49,0)</f>
        <v>1495</v>
      </c>
      <c r="G17" s="59" t="n">
        <f aca="false">IF(RIGHT(A17,1)="1",Premissas!$C$38,IF(RIGHT(A17,1)="2",Premissas!$C$39,IF(RIGHT(A17,1)="3",Premissas!$C$40,IF(RIGHT(A17,1)="4",Premissas!$C$41,IF(RIGHT(A17,1)="5",Premissas!$C$42,"valor não encontrado")))))</f>
        <v>4</v>
      </c>
      <c r="H17" s="57" t="n">
        <f aca="false">IF(RIGHT(A17,1)="1",Premissas!$E$38,IF(RIGHT(A17,1)="2",Premissas!$E$39,IF(RIGHT(A17,1)="3",Premissas!$E$40,IF(RIGHT(A17,1)="4",Premissas!$E$41,IF(RIGHT(A17,1)="5",Premissas!$E$42,"valor não encontrado")))))</f>
        <v>80</v>
      </c>
      <c r="I17" s="60" t="n">
        <f aca="false">B17*E17*G17+F17*H17</f>
        <v>227224</v>
      </c>
      <c r="J17" s="60"/>
    </row>
    <row r="18" customFormat="false" ht="15" hidden="false" customHeight="false" outlineLevel="0" collapsed="false">
      <c r="A18" s="19" t="s">
        <v>224</v>
      </c>
      <c r="B18" s="19" t="n">
        <v>22</v>
      </c>
      <c r="C18" s="57" t="n">
        <f aca="false">(Premissas!$E$18-Premissas!$E$14)*1.5</f>
        <v>2718</v>
      </c>
      <c r="D18" s="58" t="n">
        <f aca="false">IFERROR(VLOOKUP(LEFT(A18,3),Jan_Abril,2,0),IFERROR((VLOOKUP(LEFT(A18,3),Mai_Ago,2,0)),(VLOOKUP(LEFT(A18,3),Set_Dez,2,0))))</f>
        <v>1</v>
      </c>
      <c r="E18" s="57" t="n">
        <f aca="false">ROUND(C18*D18*Premissas!$A$49,0)</f>
        <v>1223</v>
      </c>
      <c r="F18" s="57" t="n">
        <f aca="false">ROUND(C18*D18*Premissas!$D$49,0)</f>
        <v>1495</v>
      </c>
      <c r="G18" s="59" t="n">
        <f aca="false">IF(RIGHT(A18,1)="1",Premissas!$C$38,IF(RIGHT(A18,1)="2",Premissas!$C$39,IF(RIGHT(A18,1)="3",Premissas!$C$40,IF(RIGHT(A18,1)="4",Premissas!$C$41,IF(RIGHT(A18,1)="5",Premissas!$C$42,"valor não encontrado")))))</f>
        <v>4</v>
      </c>
      <c r="H18" s="57" t="n">
        <f aca="false">IF(RIGHT(A18,1)="1",Premissas!$E$38,IF(RIGHT(A18,1)="2",Premissas!$E$39,IF(RIGHT(A18,1)="3",Premissas!$E$40,IF(RIGHT(A18,1)="4",Premissas!$E$41,IF(RIGHT(A18,1)="5",Premissas!$E$42,"valor não encontrado")))))</f>
        <v>80</v>
      </c>
      <c r="I18" s="60" t="n">
        <f aca="false">B18*E18*G18+F18*H18</f>
        <v>227224</v>
      </c>
      <c r="J18" s="60"/>
    </row>
    <row r="19" customFormat="false" ht="15" hidden="false" customHeight="false" outlineLevel="0" collapsed="false">
      <c r="A19" s="19" t="s">
        <v>225</v>
      </c>
      <c r="B19" s="19" t="n">
        <v>22</v>
      </c>
      <c r="C19" s="57" t="n">
        <f aca="false">(Premissas!$E$18-Premissas!$E$14)*1.5</f>
        <v>2718</v>
      </c>
      <c r="D19" s="58" t="n">
        <f aca="false">IFERROR(VLOOKUP(LEFT(A19,3),Jan_Abril,2,0),IFERROR((VLOOKUP(LEFT(A19,3),Mai_Ago,2,0)),(VLOOKUP(LEFT(A19,3),Set_Dez,2,0))))</f>
        <v>1</v>
      </c>
      <c r="E19" s="57" t="n">
        <f aca="false">ROUND(C19*D19*Premissas!$A$49,0)</f>
        <v>1223</v>
      </c>
      <c r="F19" s="57" t="n">
        <f aca="false">ROUND(C19*D19*Premissas!$D$49,0)</f>
        <v>1495</v>
      </c>
      <c r="G19" s="59" t="n">
        <f aca="false">IF(RIGHT(A19,1)="1",Premissas!$C$38,IF(RIGHT(A19,1)="2",Premissas!$C$39,IF(RIGHT(A19,1)="3",Premissas!$C$40,IF(RIGHT(A19,1)="4",Premissas!$C$41,IF(RIGHT(A19,1)="5",Premissas!$C$42,"valor não encontrado")))))</f>
        <v>4</v>
      </c>
      <c r="H19" s="57" t="n">
        <f aca="false">IF(RIGHT(A19,1)="1",Premissas!$E$38,IF(RIGHT(A19,1)="2",Premissas!$E$39,IF(RIGHT(A19,1)="3",Premissas!$E$40,IF(RIGHT(A19,1)="4",Premissas!$E$41,IF(RIGHT(A19,1)="5",Premissas!$E$42,"valor não encontrado")))))</f>
        <v>80</v>
      </c>
      <c r="I19" s="60" t="n">
        <f aca="false">B19*E19*G19+F19*H19</f>
        <v>227224</v>
      </c>
      <c r="J19" s="60"/>
    </row>
    <row r="20" customFormat="false" ht="15" hidden="false" customHeight="false" outlineLevel="0" collapsed="false">
      <c r="A20" s="19" t="s">
        <v>226</v>
      </c>
      <c r="B20" s="19" t="n">
        <v>22</v>
      </c>
      <c r="C20" s="57" t="n">
        <f aca="false">(Premissas!$E$18-Premissas!$E$14)*1.5</f>
        <v>2718</v>
      </c>
      <c r="D20" s="58" t="n">
        <f aca="false">IFERROR(VLOOKUP(LEFT(A20,3),Jan_Abril,2,0),IFERROR((VLOOKUP(LEFT(A20,3),Mai_Ago,2,0)),(VLOOKUP(LEFT(A20,3),Set_Dez,2,0))))</f>
        <v>1</v>
      </c>
      <c r="E20" s="57" t="n">
        <f aca="false">ROUND(C20*D20*Premissas!$A$49,0)</f>
        <v>1223</v>
      </c>
      <c r="F20" s="57" t="n">
        <f aca="false">ROUND(C20*D20*Premissas!$D$49,0)</f>
        <v>1495</v>
      </c>
      <c r="G20" s="59" t="n">
        <f aca="false">IF(RIGHT(A20,1)="1",Premissas!$C$38,IF(RIGHT(A20,1)="2",Premissas!$C$39,IF(RIGHT(A20,1)="3",Premissas!$C$40,IF(RIGHT(A20,1)="4",Premissas!$C$41,IF(RIGHT(A20,1)="5",Premissas!$C$42,"valor não encontrado")))))</f>
        <v>4</v>
      </c>
      <c r="H20" s="57" t="n">
        <f aca="false">IF(RIGHT(A20,1)="1",Premissas!$E$38,IF(RIGHT(A20,1)="2",Premissas!$E$39,IF(RIGHT(A20,1)="3",Premissas!$E$40,IF(RIGHT(A20,1)="4",Premissas!$E$41,IF(RIGHT(A20,1)="5",Premissas!$E$42,"valor não encontrado")))))</f>
        <v>80</v>
      </c>
      <c r="I20" s="60" t="n">
        <f aca="false">B20*E20*G20+F20*H20</f>
        <v>227224</v>
      </c>
      <c r="J20" s="60"/>
    </row>
    <row r="21" customFormat="false" ht="15" hidden="false" customHeight="false" outlineLevel="0" collapsed="false">
      <c r="A21" s="19" t="s">
        <v>227</v>
      </c>
      <c r="B21" s="19" t="n">
        <v>22</v>
      </c>
      <c r="C21" s="57" t="n">
        <f aca="false">(Premissas!$E$18-Premissas!$E$14)*1.5</f>
        <v>2718</v>
      </c>
      <c r="D21" s="58" t="n">
        <f aca="false">IFERROR(VLOOKUP(LEFT(A21,3),Jan_Abril,2,0),IFERROR((VLOOKUP(LEFT(A21,3),Mai_Ago,2,0)),(VLOOKUP(LEFT(A21,3),Set_Dez,2,0))))</f>
        <v>0.6</v>
      </c>
      <c r="E21" s="57" t="n">
        <f aca="false">ROUND(C21*D21*Premissas!$A$49,0)</f>
        <v>734</v>
      </c>
      <c r="F21" s="57" t="n">
        <f aca="false">ROUND(C21*D21*Premissas!$D$49,0)</f>
        <v>897</v>
      </c>
      <c r="G21" s="59" t="n">
        <f aca="false">IF(RIGHT(A21,1)="1",Premissas!$C$38,IF(RIGHT(A21,1)="2",Premissas!$C$39,IF(RIGHT(A21,1)="3",Premissas!$C$40,IF(RIGHT(A21,1)="4",Premissas!$C$41,IF(RIGHT(A21,1)="5",Premissas!$C$42,"valor não encontrado")))))</f>
        <v>4</v>
      </c>
      <c r="H21" s="57" t="n">
        <f aca="false">IF(RIGHT(A21,1)="1",Premissas!$E$38,IF(RIGHT(A21,1)="2",Premissas!$E$39,IF(RIGHT(A21,1)="3",Premissas!$E$40,IF(RIGHT(A21,1)="4",Premissas!$E$41,IF(RIGHT(A21,1)="5",Premissas!$E$42,"valor não encontrado")))))</f>
        <v>80</v>
      </c>
      <c r="I21" s="60" t="n">
        <f aca="false">B21*E21*G21+F21*H21</f>
        <v>136352</v>
      </c>
      <c r="J21" s="60"/>
    </row>
    <row r="22" customFormat="false" ht="15" hidden="false" customHeight="false" outlineLevel="0" collapsed="false">
      <c r="A22" s="19" t="s">
        <v>228</v>
      </c>
      <c r="B22" s="19" t="n">
        <v>22</v>
      </c>
      <c r="C22" s="57" t="n">
        <f aca="false">(Premissas!$E$18-Premissas!$E$14)*1.5</f>
        <v>2718</v>
      </c>
      <c r="D22" s="58" t="n">
        <f aca="false">IFERROR(VLOOKUP(LEFT(A22,3),Jan_Abril,2,0),IFERROR((VLOOKUP(LEFT(A22,3),Mai_Ago,2,0)),(VLOOKUP(LEFT(A22,3),Set_Dez,2,0))))</f>
        <v>0.6</v>
      </c>
      <c r="E22" s="57" t="n">
        <f aca="false">ROUND(C22*D22*Premissas!$A$49,0)</f>
        <v>734</v>
      </c>
      <c r="F22" s="57" t="n">
        <f aca="false">ROUND(C22*D22*Premissas!$D$49,0)</f>
        <v>897</v>
      </c>
      <c r="G22" s="59" t="n">
        <f aca="false">IF(RIGHT(A22,1)="1",Premissas!$C$38,IF(RIGHT(A22,1)="2",Premissas!$C$39,IF(RIGHT(A22,1)="3",Premissas!$C$40,IF(RIGHT(A22,1)="4",Premissas!$C$41,IF(RIGHT(A22,1)="5",Premissas!$C$42,"valor não encontrado")))))</f>
        <v>4.5</v>
      </c>
      <c r="H22" s="57" t="n">
        <f aca="false">IF(RIGHT(A22,1)="1",Premissas!$E$38,IF(RIGHT(A22,1)="2",Premissas!$E$39,IF(RIGHT(A22,1)="3",Premissas!$E$40,IF(RIGHT(A22,1)="4",Premissas!$E$41,IF(RIGHT(A22,1)="5",Premissas!$E$42,"valor não encontrado")))))</f>
        <v>90</v>
      </c>
      <c r="I22" s="60" t="n">
        <f aca="false">B22*E22*G22+F22*H22</f>
        <v>153396</v>
      </c>
      <c r="J22" s="60"/>
    </row>
    <row r="23" customFormat="false" ht="15" hidden="false" customHeight="false" outlineLevel="0" collapsed="false">
      <c r="A23" s="19" t="s">
        <v>229</v>
      </c>
      <c r="B23" s="19" t="n">
        <v>22</v>
      </c>
      <c r="C23" s="57" t="n">
        <f aca="false">(Premissas!$E$18-Premissas!$E$14)*1.5</f>
        <v>2718</v>
      </c>
      <c r="D23" s="58" t="n">
        <f aca="false">IFERROR(VLOOKUP(LEFT(A23,3),Jan_Abril,2,0),IFERROR((VLOOKUP(LEFT(A23,3),Mai_Ago,2,0)),(VLOOKUP(LEFT(A23,3),Set_Dez,2,0))))</f>
        <v>0.7</v>
      </c>
      <c r="E23" s="57" t="n">
        <f aca="false">ROUND(C23*D23*Premissas!$A$49,0)</f>
        <v>856</v>
      </c>
      <c r="F23" s="57" t="n">
        <f aca="false">ROUND(C23*D23*Premissas!$D$49,0)</f>
        <v>1046</v>
      </c>
      <c r="G23" s="59" t="n">
        <f aca="false">IF(RIGHT(A23,1)="1",Premissas!$C$38,IF(RIGHT(A23,1)="2",Premissas!$C$39,IF(RIGHT(A23,1)="3",Premissas!$C$40,IF(RIGHT(A23,1)="4",Premissas!$C$41,IF(RIGHT(A23,1)="5",Premissas!$C$42,"valor não encontrado")))))</f>
        <v>4.5</v>
      </c>
      <c r="H23" s="57" t="n">
        <f aca="false">IF(RIGHT(A23,1)="1",Premissas!$E$38,IF(RIGHT(A23,1)="2",Premissas!$E$39,IF(RIGHT(A23,1)="3",Premissas!$E$40,IF(RIGHT(A23,1)="4",Premissas!$E$41,IF(RIGHT(A23,1)="5",Premissas!$E$42,"valor não encontrado")))))</f>
        <v>90</v>
      </c>
      <c r="I23" s="60" t="n">
        <f aca="false">B23*E23*G23+F23*H23</f>
        <v>178884</v>
      </c>
      <c r="J23" s="60"/>
    </row>
    <row r="24" customFormat="false" ht="15" hidden="false" customHeight="false" outlineLevel="0" collapsed="false">
      <c r="A24" s="19" t="s">
        <v>230</v>
      </c>
      <c r="B24" s="19" t="n">
        <v>22</v>
      </c>
      <c r="C24" s="57" t="n">
        <f aca="false">(Premissas!$E$18-Premissas!$E$14)*1.5</f>
        <v>2718</v>
      </c>
      <c r="D24" s="58" t="n">
        <f aca="false">IFERROR(VLOOKUP(LEFT(A24,3),Jan_Abril,2,0),IFERROR((VLOOKUP(LEFT(A24,3),Mai_Ago,2,0)),(VLOOKUP(LEFT(A24,3),Set_Dez,2,0))))</f>
        <v>1</v>
      </c>
      <c r="E24" s="57" t="n">
        <f aca="false">ROUND(C24*D24*Premissas!$A$49,0)</f>
        <v>1223</v>
      </c>
      <c r="F24" s="57" t="n">
        <f aca="false">ROUND(C24*D24*Premissas!$D$49,0)</f>
        <v>1495</v>
      </c>
      <c r="G24" s="59" t="n">
        <f aca="false">IF(RIGHT(A24,1)="1",Premissas!$C$38,IF(RIGHT(A24,1)="2",Premissas!$C$39,IF(RIGHT(A24,1)="3",Premissas!$C$40,IF(RIGHT(A24,1)="4",Premissas!$C$41,IF(RIGHT(A24,1)="5",Premissas!$C$42,"valor não encontrado")))))</f>
        <v>4.5</v>
      </c>
      <c r="H24" s="57" t="n">
        <f aca="false">IF(RIGHT(A24,1)="1",Premissas!$E$38,IF(RIGHT(A24,1)="2",Premissas!$E$39,IF(RIGHT(A24,1)="3",Premissas!$E$40,IF(RIGHT(A24,1)="4",Premissas!$E$41,IF(RIGHT(A24,1)="5",Premissas!$E$42,"valor não encontrado")))))</f>
        <v>90</v>
      </c>
      <c r="I24" s="60" t="n">
        <f aca="false">B24*E24*G24+F24*H24</f>
        <v>255627</v>
      </c>
      <c r="J24" s="60"/>
    </row>
    <row r="25" customFormat="false" ht="15" hidden="false" customHeight="false" outlineLevel="0" collapsed="false">
      <c r="A25" s="19" t="s">
        <v>231</v>
      </c>
      <c r="B25" s="19" t="n">
        <v>22</v>
      </c>
      <c r="C25" s="57" t="n">
        <f aca="false">(Premissas!$E$18-Premissas!$E$14)*1.5</f>
        <v>2718</v>
      </c>
      <c r="D25" s="58" t="n">
        <f aca="false">IFERROR(VLOOKUP(LEFT(A25,3),Jan_Abril,2,0),IFERROR((VLOOKUP(LEFT(A25,3),Mai_Ago,2,0)),(VLOOKUP(LEFT(A25,3),Set_Dez,2,0))))</f>
        <v>1</v>
      </c>
      <c r="E25" s="57" t="n">
        <f aca="false">ROUND(C25*D25*Premissas!$A$49,0)</f>
        <v>1223</v>
      </c>
      <c r="F25" s="57" t="n">
        <f aca="false">ROUND(C25*D25*Premissas!$D$49,0)</f>
        <v>1495</v>
      </c>
      <c r="G25" s="59" t="n">
        <f aca="false">IF(RIGHT(A25,1)="1",Premissas!$C$38,IF(RIGHT(A25,1)="2",Premissas!$C$39,IF(RIGHT(A25,1)="3",Premissas!$C$40,IF(RIGHT(A25,1)="4",Premissas!$C$41,IF(RIGHT(A25,1)="5",Premissas!$C$42,"valor não encontrado")))))</f>
        <v>4.5</v>
      </c>
      <c r="H25" s="57" t="n">
        <f aca="false">IF(RIGHT(A25,1)="1",Premissas!$E$38,IF(RIGHT(A25,1)="2",Premissas!$E$39,IF(RIGHT(A25,1)="3",Premissas!$E$40,IF(RIGHT(A25,1)="4",Premissas!$E$41,IF(RIGHT(A25,1)="5",Premissas!$E$42,"valor não encontrado")))))</f>
        <v>90</v>
      </c>
      <c r="I25" s="60" t="n">
        <f aca="false">B25*E25*G25+F25*H25</f>
        <v>255627</v>
      </c>
      <c r="J25" s="60"/>
    </row>
    <row r="26" customFormat="false" ht="15" hidden="false" customHeight="false" outlineLevel="0" collapsed="false">
      <c r="A26" s="19" t="s">
        <v>232</v>
      </c>
      <c r="B26" s="19" t="n">
        <v>22</v>
      </c>
      <c r="C26" s="57" t="n">
        <f aca="false">(Premissas!$E$18-Premissas!$E$14)*1.5</f>
        <v>2718</v>
      </c>
      <c r="D26" s="58" t="n">
        <f aca="false">IFERROR(VLOOKUP(LEFT(A26,3),Jan_Abril,2,0),IFERROR((VLOOKUP(LEFT(A26,3),Mai_Ago,2,0)),(VLOOKUP(LEFT(A26,3),Set_Dez,2,0))))</f>
        <v>1</v>
      </c>
      <c r="E26" s="57" t="n">
        <f aca="false">ROUND(C26*D26*Premissas!$A$49,0)</f>
        <v>1223</v>
      </c>
      <c r="F26" s="57" t="n">
        <f aca="false">ROUND(C26*D26*Premissas!$D$49,0)</f>
        <v>1495</v>
      </c>
      <c r="G26" s="59" t="n">
        <f aca="false">IF(RIGHT(A26,1)="1",Premissas!$C$38,IF(RIGHT(A26,1)="2",Premissas!$C$39,IF(RIGHT(A26,1)="3",Premissas!$C$40,IF(RIGHT(A26,1)="4",Premissas!$C$41,IF(RIGHT(A26,1)="5",Premissas!$C$42,"valor não encontrado")))))</f>
        <v>4.5</v>
      </c>
      <c r="H26" s="57" t="n">
        <f aca="false">IF(RIGHT(A26,1)="1",Premissas!$E$38,IF(RIGHT(A26,1)="2",Premissas!$E$39,IF(RIGHT(A26,1)="3",Premissas!$E$40,IF(RIGHT(A26,1)="4",Premissas!$E$41,IF(RIGHT(A26,1)="5",Premissas!$E$42,"valor não encontrado")))))</f>
        <v>90</v>
      </c>
      <c r="I26" s="60" t="n">
        <f aca="false">B26*E26*G26+F26*H26</f>
        <v>255627</v>
      </c>
      <c r="J26" s="60"/>
    </row>
    <row r="27" customFormat="false" ht="15" hidden="false" customHeight="false" outlineLevel="0" collapsed="false">
      <c r="A27" s="19" t="s">
        <v>233</v>
      </c>
      <c r="B27" s="19" t="n">
        <v>22</v>
      </c>
      <c r="C27" s="57" t="n">
        <f aca="false">(Premissas!$E$18-Premissas!$E$14)*1.5</f>
        <v>2718</v>
      </c>
      <c r="D27" s="58" t="n">
        <f aca="false">IFERROR(VLOOKUP(LEFT(A27,3),Jan_Abril,2,0),IFERROR((VLOOKUP(LEFT(A27,3),Mai_Ago,2,0)),(VLOOKUP(LEFT(A27,3),Set_Dez,2,0))))</f>
        <v>1</v>
      </c>
      <c r="E27" s="57" t="n">
        <f aca="false">ROUND(C27*D27*Premissas!$A$49,0)</f>
        <v>1223</v>
      </c>
      <c r="F27" s="57" t="n">
        <f aca="false">ROUND(C27*D27*Premissas!$D$49,0)</f>
        <v>1495</v>
      </c>
      <c r="G27" s="59" t="n">
        <f aca="false">IF(RIGHT(A27,1)="1",Premissas!$C$38,IF(RIGHT(A27,1)="2",Premissas!$C$39,IF(RIGHT(A27,1)="3",Premissas!$C$40,IF(RIGHT(A27,1)="4",Premissas!$C$41,IF(RIGHT(A27,1)="5",Premissas!$C$42,"valor não encontrado")))))</f>
        <v>4.5</v>
      </c>
      <c r="H27" s="57" t="n">
        <f aca="false">IF(RIGHT(A27,1)="1",Premissas!$E$38,IF(RIGHT(A27,1)="2",Premissas!$E$39,IF(RIGHT(A27,1)="3",Premissas!$E$40,IF(RIGHT(A27,1)="4",Premissas!$E$41,IF(RIGHT(A27,1)="5",Premissas!$E$42,"valor não encontrado")))))</f>
        <v>90</v>
      </c>
      <c r="I27" s="60" t="n">
        <f aca="false">B27*E27*G27+F27*H27</f>
        <v>255627</v>
      </c>
      <c r="J27" s="60"/>
    </row>
    <row r="28" customFormat="false" ht="15" hidden="false" customHeight="false" outlineLevel="0" collapsed="false">
      <c r="A28" s="19" t="s">
        <v>234</v>
      </c>
      <c r="B28" s="19" t="n">
        <v>22</v>
      </c>
      <c r="C28" s="57" t="n">
        <f aca="false">(Premissas!$E$18-Premissas!$E$14)*1.5</f>
        <v>2718</v>
      </c>
      <c r="D28" s="58" t="n">
        <f aca="false">IFERROR(VLOOKUP(LEFT(A28,3),Jan_Abril,2,0),IFERROR((VLOOKUP(LEFT(A28,3),Mai_Ago,2,0)),(VLOOKUP(LEFT(A28,3),Set_Dez,2,0))))</f>
        <v>0.6</v>
      </c>
      <c r="E28" s="57" t="n">
        <f aca="false">ROUND(C28*D28*Premissas!$A$49,0)</f>
        <v>734</v>
      </c>
      <c r="F28" s="57" t="n">
        <f aca="false">ROUND(C28*D28*Premissas!$D$49,0)</f>
        <v>897</v>
      </c>
      <c r="G28" s="59" t="n">
        <f aca="false">IF(RIGHT(A28,1)="1",Premissas!$C$38,IF(RIGHT(A28,1)="2",Premissas!$C$39,IF(RIGHT(A28,1)="3",Premissas!$C$40,IF(RIGHT(A28,1)="4",Premissas!$C$41,IF(RIGHT(A28,1)="5",Premissas!$C$42,"valor não encontrado")))))</f>
        <v>4.5</v>
      </c>
      <c r="H28" s="57" t="n">
        <f aca="false">IF(RIGHT(A28,1)="1",Premissas!$E$38,IF(RIGHT(A28,1)="2",Premissas!$E$39,IF(RIGHT(A28,1)="3",Premissas!$E$40,IF(RIGHT(A28,1)="4",Premissas!$E$41,IF(RIGHT(A28,1)="5",Premissas!$E$42,"valor não encontrado")))))</f>
        <v>90</v>
      </c>
      <c r="I28" s="60" t="n">
        <f aca="false">B28*E28*G28+F28*H28</f>
        <v>153396</v>
      </c>
      <c r="J28" s="60"/>
    </row>
    <row r="29" customFormat="false" ht="15" hidden="false" customHeight="false" outlineLevel="0" collapsed="false">
      <c r="A29" s="19" t="s">
        <v>235</v>
      </c>
      <c r="B29" s="19" t="n">
        <v>22</v>
      </c>
      <c r="C29" s="57" t="n">
        <f aca="false">(Premissas!$E$18-Premissas!$E$14)*1.5</f>
        <v>2718</v>
      </c>
      <c r="D29" s="58" t="n">
        <f aca="false">IFERROR(VLOOKUP(LEFT(A29,3),Jan_Abril,2,0),IFERROR((VLOOKUP(LEFT(A29,3),Mai_Ago,2,0)),(VLOOKUP(LEFT(A29,3),Set_Dez,2,0))))</f>
        <v>1</v>
      </c>
      <c r="E29" s="57" t="n">
        <f aca="false">ROUND(C29*D29*Premissas!$A$49,0)</f>
        <v>1223</v>
      </c>
      <c r="F29" s="57" t="n">
        <f aca="false">ROUND(C29*D29*Premissas!$D$49,0)</f>
        <v>1495</v>
      </c>
      <c r="G29" s="59" t="n">
        <f aca="false">IF(RIGHT(A29,1)="1",Premissas!$C$38,IF(RIGHT(A29,1)="2",Premissas!$C$39,IF(RIGHT(A29,1)="3",Premissas!$C$40,IF(RIGHT(A29,1)="4",Premissas!$C$41,IF(RIGHT(A29,1)="5",Premissas!$C$42,"valor não encontrado")))))</f>
        <v>4.5</v>
      </c>
      <c r="H29" s="57" t="n">
        <f aca="false">IF(RIGHT(A29,1)="1",Premissas!$E$38,IF(RIGHT(A29,1)="2",Premissas!$E$39,IF(RIGHT(A29,1)="3",Premissas!$E$40,IF(RIGHT(A29,1)="4",Premissas!$E$41,IF(RIGHT(A29,1)="5",Premissas!$E$42,"valor não encontrado")))))</f>
        <v>90</v>
      </c>
      <c r="I29" s="60" t="n">
        <f aca="false">B29*E29*G29+F29*H29</f>
        <v>255627</v>
      </c>
      <c r="J29" s="60"/>
    </row>
    <row r="30" customFormat="false" ht="15" hidden="false" customHeight="false" outlineLevel="0" collapsed="false">
      <c r="A30" s="19" t="s">
        <v>236</v>
      </c>
      <c r="B30" s="19" t="n">
        <v>22</v>
      </c>
      <c r="C30" s="57" t="n">
        <f aca="false">(Premissas!$E$18-Premissas!$E$14)*1.5</f>
        <v>2718</v>
      </c>
      <c r="D30" s="58" t="n">
        <f aca="false">IFERROR(VLOOKUP(LEFT(A30,3),Jan_Abril,2,0),IFERROR((VLOOKUP(LEFT(A30,3),Mai_Ago,2,0)),(VLOOKUP(LEFT(A30,3),Set_Dez,2,0))))</f>
        <v>1</v>
      </c>
      <c r="E30" s="57" t="n">
        <f aca="false">ROUND(C30*D30*Premissas!$A$49,0)</f>
        <v>1223</v>
      </c>
      <c r="F30" s="57" t="n">
        <f aca="false">ROUND(C30*D30*Premissas!$D$49,0)</f>
        <v>1495</v>
      </c>
      <c r="G30" s="59" t="n">
        <f aca="false">IF(RIGHT(A30,1)="1",Premissas!$C$38,IF(RIGHT(A30,1)="2",Premissas!$C$39,IF(RIGHT(A30,1)="3",Premissas!$C$40,IF(RIGHT(A30,1)="4",Premissas!$C$41,IF(RIGHT(A30,1)="5",Premissas!$C$42,"valor não encontrado")))))</f>
        <v>4.5</v>
      </c>
      <c r="H30" s="57" t="n">
        <f aca="false">IF(RIGHT(A30,1)="1",Premissas!$E$38,IF(RIGHT(A30,1)="2",Premissas!$E$39,IF(RIGHT(A30,1)="3",Premissas!$E$40,IF(RIGHT(A30,1)="4",Premissas!$E$41,IF(RIGHT(A30,1)="5",Premissas!$E$42,"valor não encontrado")))))</f>
        <v>90</v>
      </c>
      <c r="I30" s="60" t="n">
        <f aca="false">B30*E30*G30+F30*H30</f>
        <v>255627</v>
      </c>
      <c r="J30" s="60"/>
    </row>
    <row r="31" customFormat="false" ht="15" hidden="false" customHeight="false" outlineLevel="0" collapsed="false">
      <c r="A31" s="19" t="s">
        <v>237</v>
      </c>
      <c r="B31" s="19" t="n">
        <v>22</v>
      </c>
      <c r="C31" s="57" t="n">
        <f aca="false">(Premissas!$E$18-Premissas!$E$14)*1.5</f>
        <v>2718</v>
      </c>
      <c r="D31" s="58" t="n">
        <f aca="false">IFERROR(VLOOKUP(LEFT(A31,3),Jan_Abril,2,0),IFERROR((VLOOKUP(LEFT(A31,3),Mai_Ago,2,0)),(VLOOKUP(LEFT(A31,3),Set_Dez,2,0))))</f>
        <v>1</v>
      </c>
      <c r="E31" s="57" t="n">
        <f aca="false">ROUND(C31*D31*Premissas!$A$49,0)</f>
        <v>1223</v>
      </c>
      <c r="F31" s="57" t="n">
        <f aca="false">ROUND(C31*D31*Premissas!$D$49,0)</f>
        <v>1495</v>
      </c>
      <c r="G31" s="59" t="n">
        <f aca="false">IF(RIGHT(A31,1)="1",Premissas!$C$38,IF(RIGHT(A31,1)="2",Premissas!$C$39,IF(RIGHT(A31,1)="3",Premissas!$C$40,IF(RIGHT(A31,1)="4",Premissas!$C$41,IF(RIGHT(A31,1)="5",Premissas!$C$42,"valor não encontrado")))))</f>
        <v>4.5</v>
      </c>
      <c r="H31" s="57" t="n">
        <f aca="false">IF(RIGHT(A31,1)="1",Premissas!$E$38,IF(RIGHT(A31,1)="2",Premissas!$E$39,IF(RIGHT(A31,1)="3",Premissas!$E$40,IF(RIGHT(A31,1)="4",Premissas!$E$41,IF(RIGHT(A31,1)="5",Premissas!$E$42,"valor não encontrado")))))</f>
        <v>90</v>
      </c>
      <c r="I31" s="60" t="n">
        <f aca="false">B31*E31*G31+F31*H31</f>
        <v>255627</v>
      </c>
      <c r="J31" s="60"/>
    </row>
    <row r="32" customFormat="false" ht="15" hidden="false" customHeight="false" outlineLevel="0" collapsed="false">
      <c r="A32" s="19" t="s">
        <v>238</v>
      </c>
      <c r="B32" s="19" t="n">
        <v>22</v>
      </c>
      <c r="C32" s="57" t="n">
        <f aca="false">(Premissas!$E$18-Premissas!$E$14)*1.5</f>
        <v>2718</v>
      </c>
      <c r="D32" s="58" t="n">
        <f aca="false">IFERROR(VLOOKUP(LEFT(A32,3),Jan_Abril,2,0),IFERROR((VLOOKUP(LEFT(A32,3),Mai_Ago,2,0)),(VLOOKUP(LEFT(A32,3),Set_Dez,2,0))))</f>
        <v>1</v>
      </c>
      <c r="E32" s="57" t="n">
        <f aca="false">ROUND(C32*D32*Premissas!$A$49,0)</f>
        <v>1223</v>
      </c>
      <c r="F32" s="57" t="n">
        <f aca="false">ROUND(C32*D32*Premissas!$D$49,0)</f>
        <v>1495</v>
      </c>
      <c r="G32" s="59" t="n">
        <f aca="false">IF(RIGHT(A32,1)="1",Premissas!$C$38,IF(RIGHT(A32,1)="2",Premissas!$C$39,IF(RIGHT(A32,1)="3",Premissas!$C$40,IF(RIGHT(A32,1)="4",Premissas!$C$41,IF(RIGHT(A32,1)="5",Premissas!$C$42,"valor não encontrado")))))</f>
        <v>4.5</v>
      </c>
      <c r="H32" s="57" t="n">
        <f aca="false">IF(RIGHT(A32,1)="1",Premissas!$E$38,IF(RIGHT(A32,1)="2",Premissas!$E$39,IF(RIGHT(A32,1)="3",Premissas!$E$40,IF(RIGHT(A32,1)="4",Premissas!$E$41,IF(RIGHT(A32,1)="5",Premissas!$E$42,"valor não encontrado")))))</f>
        <v>90</v>
      </c>
      <c r="I32" s="60" t="n">
        <f aca="false">B32*E32*G32+F32*H32</f>
        <v>255627</v>
      </c>
      <c r="J32" s="60"/>
    </row>
    <row r="33" customFormat="false" ht="15" hidden="false" customHeight="false" outlineLevel="0" collapsed="false">
      <c r="A33" s="19" t="s">
        <v>239</v>
      </c>
      <c r="B33" s="19" t="n">
        <v>22</v>
      </c>
      <c r="C33" s="57" t="n">
        <f aca="false">(Premissas!$E$18-Premissas!$E$14)*1.5</f>
        <v>2718</v>
      </c>
      <c r="D33" s="58" t="n">
        <f aca="false">IFERROR(VLOOKUP(LEFT(A33,3),Jan_Abril,2,0),IFERROR((VLOOKUP(LEFT(A33,3),Mai_Ago,2,0)),(VLOOKUP(LEFT(A33,3),Set_Dez,2,0))))</f>
        <v>0.6</v>
      </c>
      <c r="E33" s="57" t="n">
        <f aca="false">ROUND(C33*D33*Premissas!$A$49,0)</f>
        <v>734</v>
      </c>
      <c r="F33" s="57" t="n">
        <f aca="false">ROUND(C33*D33*Premissas!$D$49,0)</f>
        <v>897</v>
      </c>
      <c r="G33" s="59" t="n">
        <f aca="false">IF(RIGHT(A33,1)="1",Premissas!$C$38,IF(RIGHT(A33,1)="2",Premissas!$C$39,IF(RIGHT(A33,1)="3",Premissas!$C$40,IF(RIGHT(A33,1)="4",Premissas!$C$41,IF(RIGHT(A33,1)="5",Premissas!$C$42,"valor não encontrado")))))</f>
        <v>4.5</v>
      </c>
      <c r="H33" s="57" t="n">
        <f aca="false">IF(RIGHT(A33,1)="1",Premissas!$E$38,IF(RIGHT(A33,1)="2",Premissas!$E$39,IF(RIGHT(A33,1)="3",Premissas!$E$40,IF(RIGHT(A33,1)="4",Premissas!$E$41,IF(RIGHT(A33,1)="5",Premissas!$E$42,"valor não encontrado")))))</f>
        <v>90</v>
      </c>
      <c r="I33" s="60" t="n">
        <f aca="false">B33*E33*G33+F33*H33</f>
        <v>153396</v>
      </c>
      <c r="J33" s="60"/>
    </row>
    <row r="34" customFormat="false" ht="15" hidden="false" customHeight="false" outlineLevel="0" collapsed="false">
      <c r="A34" s="19" t="s">
        <v>240</v>
      </c>
      <c r="B34" s="19" t="n">
        <v>22</v>
      </c>
      <c r="C34" s="57" t="n">
        <f aca="false">(Premissas!$E$18-Premissas!$E$14)*1.5</f>
        <v>2718</v>
      </c>
      <c r="D34" s="58" t="n">
        <f aca="false">IFERROR(VLOOKUP(LEFT(A34,3),Jan_Abril,2,0),IFERROR((VLOOKUP(LEFT(A34,3),Mai_Ago,2,0)),(VLOOKUP(LEFT(A34,3),Set_Dez,2,0))))</f>
        <v>0.6</v>
      </c>
      <c r="E34" s="57" t="n">
        <f aca="false">ROUND(C34*D34*Premissas!$A$49,0)</f>
        <v>734</v>
      </c>
      <c r="F34" s="57" t="n">
        <f aca="false">ROUND(C34*D34*Premissas!$D$49,0)</f>
        <v>897</v>
      </c>
      <c r="G34" s="59" t="n">
        <f aca="false">IF(RIGHT(A34,1)="1",Premissas!$C$38,IF(RIGHT(A34,1)="2",Premissas!$C$39,IF(RIGHT(A34,1)="3",Premissas!$C$40,IF(RIGHT(A34,1)="4",Premissas!$C$41,IF(RIGHT(A34,1)="5",Premissas!$C$42,"valor não encontrado")))))</f>
        <v>5</v>
      </c>
      <c r="H34" s="57" t="n">
        <f aca="false">IF(RIGHT(A34,1)="1",Premissas!$E$38,IF(RIGHT(A34,1)="2",Premissas!$E$39,IF(RIGHT(A34,1)="3",Premissas!$E$40,IF(RIGHT(A34,1)="4",Premissas!$E$41,IF(RIGHT(A34,1)="5",Premissas!$E$42,"valor não encontrado")))))</f>
        <v>100</v>
      </c>
      <c r="I34" s="60" t="n">
        <f aca="false">B34*E34*G34+F34*H34</f>
        <v>170440</v>
      </c>
      <c r="J34" s="60"/>
    </row>
    <row r="35" customFormat="false" ht="15" hidden="false" customHeight="false" outlineLevel="0" collapsed="false">
      <c r="A35" s="19" t="s">
        <v>241</v>
      </c>
      <c r="B35" s="19" t="n">
        <v>22</v>
      </c>
      <c r="C35" s="57" t="n">
        <f aca="false">(Premissas!$E$18-Premissas!$E$14)*1.5</f>
        <v>2718</v>
      </c>
      <c r="D35" s="58" t="n">
        <f aca="false">IFERROR(VLOOKUP(LEFT(A35,3),Jan_Abril,2,0),IFERROR((VLOOKUP(LEFT(A35,3),Mai_Ago,2,0)),(VLOOKUP(LEFT(A35,3),Set_Dez,2,0))))</f>
        <v>0.7</v>
      </c>
      <c r="E35" s="57" t="n">
        <f aca="false">ROUND(C35*D35*Premissas!$A$49,0)</f>
        <v>856</v>
      </c>
      <c r="F35" s="57" t="n">
        <f aca="false">ROUND(C35*D35*Premissas!$D$49,0)</f>
        <v>1046</v>
      </c>
      <c r="G35" s="59" t="n">
        <f aca="false">IF(RIGHT(A35,1)="1",Premissas!$C$38,IF(RIGHT(A35,1)="2",Premissas!$C$39,IF(RIGHT(A35,1)="3",Premissas!$C$40,IF(RIGHT(A35,1)="4",Premissas!$C$41,IF(RIGHT(A35,1)="5",Premissas!$C$42,"valor não encontrado")))))</f>
        <v>5</v>
      </c>
      <c r="H35" s="57" t="n">
        <f aca="false">IF(RIGHT(A35,1)="1",Premissas!$E$38,IF(RIGHT(A35,1)="2",Premissas!$E$39,IF(RIGHT(A35,1)="3",Premissas!$E$40,IF(RIGHT(A35,1)="4",Premissas!$E$41,IF(RIGHT(A35,1)="5",Premissas!$E$42,"valor não encontrado")))))</f>
        <v>100</v>
      </c>
      <c r="I35" s="60" t="n">
        <f aca="false">B35*E35*G35+F35*H35</f>
        <v>198760</v>
      </c>
      <c r="J35" s="60"/>
    </row>
    <row r="36" customFormat="false" ht="15" hidden="false" customHeight="false" outlineLevel="0" collapsed="false">
      <c r="A36" s="19" t="s">
        <v>242</v>
      </c>
      <c r="B36" s="19" t="n">
        <v>22</v>
      </c>
      <c r="C36" s="57" t="n">
        <f aca="false">(Premissas!$E$18-Premissas!$E$14)*1.5</f>
        <v>2718</v>
      </c>
      <c r="D36" s="58" t="n">
        <f aca="false">IFERROR(VLOOKUP(LEFT(A36,3),Jan_Abril,2,0),IFERROR((VLOOKUP(LEFT(A36,3),Mai_Ago,2,0)),(VLOOKUP(LEFT(A36,3),Set_Dez,2,0))))</f>
        <v>1</v>
      </c>
      <c r="E36" s="57" t="n">
        <f aca="false">ROUND(C36*D36*Premissas!$A$49,0)</f>
        <v>1223</v>
      </c>
      <c r="F36" s="57" t="n">
        <f aca="false">ROUND(C36*D36*Premissas!$D$49,0)</f>
        <v>1495</v>
      </c>
      <c r="G36" s="59" t="n">
        <f aca="false">IF(RIGHT(A36,1)="1",Premissas!$C$38,IF(RIGHT(A36,1)="2",Premissas!$C$39,IF(RIGHT(A36,1)="3",Premissas!$C$40,IF(RIGHT(A36,1)="4",Premissas!$C$41,IF(RIGHT(A36,1)="5",Premissas!$C$42,"valor não encontrado")))))</f>
        <v>5</v>
      </c>
      <c r="H36" s="57" t="n">
        <f aca="false">IF(RIGHT(A36,1)="1",Premissas!$E$38,IF(RIGHT(A36,1)="2",Premissas!$E$39,IF(RIGHT(A36,1)="3",Premissas!$E$40,IF(RIGHT(A36,1)="4",Premissas!$E$41,IF(RIGHT(A36,1)="5",Premissas!$E$42,"valor não encontrado")))))</f>
        <v>100</v>
      </c>
      <c r="I36" s="60" t="n">
        <f aca="false">B36*E36*G36+F36*H36</f>
        <v>284030</v>
      </c>
      <c r="J36" s="60"/>
    </row>
    <row r="37" customFormat="false" ht="15" hidden="false" customHeight="false" outlineLevel="0" collapsed="false">
      <c r="A37" s="19" t="s">
        <v>243</v>
      </c>
      <c r="B37" s="19" t="n">
        <v>22</v>
      </c>
      <c r="C37" s="57" t="n">
        <f aca="false">(Premissas!$E$18-Premissas!$E$14)*1.5</f>
        <v>2718</v>
      </c>
      <c r="D37" s="58" t="n">
        <f aca="false">IFERROR(VLOOKUP(LEFT(A37,3),Jan_Abril,2,0),IFERROR((VLOOKUP(LEFT(A37,3),Mai_Ago,2,0)),(VLOOKUP(LEFT(A37,3),Set_Dez,2,0))))</f>
        <v>1</v>
      </c>
      <c r="E37" s="57" t="n">
        <f aca="false">ROUND(C37*D37*Premissas!$A$49,0)</f>
        <v>1223</v>
      </c>
      <c r="F37" s="57" t="n">
        <f aca="false">ROUND(C37*D37*Premissas!$D$49,0)</f>
        <v>1495</v>
      </c>
      <c r="G37" s="59" t="n">
        <f aca="false">IF(RIGHT(A37,1)="1",Premissas!$C$38,IF(RIGHT(A37,1)="2",Premissas!$C$39,IF(RIGHT(A37,1)="3",Premissas!$C$40,IF(RIGHT(A37,1)="4",Premissas!$C$41,IF(RIGHT(A37,1)="5",Premissas!$C$42,"valor não encontrado")))))</f>
        <v>5</v>
      </c>
      <c r="H37" s="57" t="n">
        <f aca="false">IF(RIGHT(A37,1)="1",Premissas!$E$38,IF(RIGHT(A37,1)="2",Premissas!$E$39,IF(RIGHT(A37,1)="3",Premissas!$E$40,IF(RIGHT(A37,1)="4",Premissas!$E$41,IF(RIGHT(A37,1)="5",Premissas!$E$42,"valor não encontrado")))))</f>
        <v>100</v>
      </c>
      <c r="I37" s="60" t="n">
        <f aca="false">B37*E37*G37+F37*H37</f>
        <v>284030</v>
      </c>
      <c r="J37" s="60"/>
    </row>
    <row r="38" customFormat="false" ht="15" hidden="false" customHeight="false" outlineLevel="0" collapsed="false">
      <c r="A38" s="19" t="s">
        <v>244</v>
      </c>
      <c r="B38" s="19" t="n">
        <v>22</v>
      </c>
      <c r="C38" s="57" t="n">
        <f aca="false">(Premissas!$E$18-Premissas!$E$14)*1.5</f>
        <v>2718</v>
      </c>
      <c r="D38" s="58" t="n">
        <f aca="false">IFERROR(VLOOKUP(LEFT(A38,3),Jan_Abril,2,0),IFERROR((VLOOKUP(LEFT(A38,3),Mai_Ago,2,0)),(VLOOKUP(LEFT(A38,3),Set_Dez,2,0))))</f>
        <v>1</v>
      </c>
      <c r="E38" s="57" t="n">
        <f aca="false">ROUND(C38*D38*Premissas!$A$49,0)</f>
        <v>1223</v>
      </c>
      <c r="F38" s="57" t="n">
        <f aca="false">ROUND(C38*D38*Premissas!$D$49,0)</f>
        <v>1495</v>
      </c>
      <c r="G38" s="59" t="n">
        <f aca="false">IF(RIGHT(A38,1)="1",Premissas!$C$38,IF(RIGHT(A38,1)="2",Premissas!$C$39,IF(RIGHT(A38,1)="3",Premissas!$C$40,IF(RIGHT(A38,1)="4",Premissas!$C$41,IF(RIGHT(A38,1)="5",Premissas!$C$42,"valor não encontrado")))))</f>
        <v>5</v>
      </c>
      <c r="H38" s="57" t="n">
        <f aca="false">IF(RIGHT(A38,1)="1",Premissas!$E$38,IF(RIGHT(A38,1)="2",Premissas!$E$39,IF(RIGHT(A38,1)="3",Premissas!$E$40,IF(RIGHT(A38,1)="4",Premissas!$E$41,IF(RIGHT(A38,1)="5",Premissas!$E$42,"valor não encontrado")))))</f>
        <v>100</v>
      </c>
      <c r="I38" s="60" t="n">
        <f aca="false">B38*E38*G38+F38*H38</f>
        <v>284030</v>
      </c>
      <c r="J38" s="60"/>
    </row>
    <row r="39" customFormat="false" ht="15" hidden="false" customHeight="false" outlineLevel="0" collapsed="false">
      <c r="A39" s="19" t="s">
        <v>245</v>
      </c>
      <c r="B39" s="19" t="n">
        <v>22</v>
      </c>
      <c r="C39" s="57" t="n">
        <f aca="false">(Premissas!$E$18-Premissas!$E$14)*1.5</f>
        <v>2718</v>
      </c>
      <c r="D39" s="58" t="n">
        <f aca="false">IFERROR(VLOOKUP(LEFT(A39,3),Jan_Abril,2,0),IFERROR((VLOOKUP(LEFT(A39,3),Mai_Ago,2,0)),(VLOOKUP(LEFT(A39,3),Set_Dez,2,0))))</f>
        <v>1</v>
      </c>
      <c r="E39" s="57" t="n">
        <f aca="false">ROUND(C39*D39*Premissas!$A$49,0)</f>
        <v>1223</v>
      </c>
      <c r="F39" s="57" t="n">
        <f aca="false">ROUND(C39*D39*Premissas!$D$49,0)</f>
        <v>1495</v>
      </c>
      <c r="G39" s="59" t="n">
        <f aca="false">IF(RIGHT(A39,1)="1",Premissas!$C$38,IF(RIGHT(A39,1)="2",Premissas!$C$39,IF(RIGHT(A39,1)="3",Premissas!$C$40,IF(RIGHT(A39,1)="4",Premissas!$C$41,IF(RIGHT(A39,1)="5",Premissas!$C$42,"valor não encontrado")))))</f>
        <v>5</v>
      </c>
      <c r="H39" s="57" t="n">
        <f aca="false">IF(RIGHT(A39,1)="1",Premissas!$E$38,IF(RIGHT(A39,1)="2",Premissas!$E$39,IF(RIGHT(A39,1)="3",Premissas!$E$40,IF(RIGHT(A39,1)="4",Premissas!$E$41,IF(RIGHT(A39,1)="5",Premissas!$E$42,"valor não encontrado")))))</f>
        <v>100</v>
      </c>
      <c r="I39" s="60" t="n">
        <f aca="false">B39*E39*G39+F39*H39</f>
        <v>284030</v>
      </c>
      <c r="J39" s="60"/>
    </row>
    <row r="40" customFormat="false" ht="15" hidden="false" customHeight="false" outlineLevel="0" collapsed="false">
      <c r="A40" s="19" t="s">
        <v>246</v>
      </c>
      <c r="B40" s="19" t="n">
        <v>22</v>
      </c>
      <c r="C40" s="57" t="n">
        <f aca="false">(Premissas!$E$18-Premissas!$E$14)*1.5</f>
        <v>2718</v>
      </c>
      <c r="D40" s="58" t="n">
        <f aca="false">IFERROR(VLOOKUP(LEFT(A40,3),Jan_Abril,2,0),IFERROR((VLOOKUP(LEFT(A40,3),Mai_Ago,2,0)),(VLOOKUP(LEFT(A40,3),Set_Dez,2,0))))</f>
        <v>0.6</v>
      </c>
      <c r="E40" s="57" t="n">
        <f aca="false">ROUND(C40*D40*Premissas!$A$49,0)</f>
        <v>734</v>
      </c>
      <c r="F40" s="57" t="n">
        <f aca="false">ROUND(C40*D40*Premissas!$D$49,0)</f>
        <v>897</v>
      </c>
      <c r="G40" s="59" t="n">
        <f aca="false">IF(RIGHT(A40,1)="1",Premissas!$C$38,IF(RIGHT(A40,1)="2",Premissas!$C$39,IF(RIGHT(A40,1)="3",Premissas!$C$40,IF(RIGHT(A40,1)="4",Premissas!$C$41,IF(RIGHT(A40,1)="5",Premissas!$C$42,"valor não encontrado")))))</f>
        <v>5</v>
      </c>
      <c r="H40" s="57" t="n">
        <f aca="false">IF(RIGHT(A40,1)="1",Premissas!$E$38,IF(RIGHT(A40,1)="2",Premissas!$E$39,IF(RIGHT(A40,1)="3",Premissas!$E$40,IF(RIGHT(A40,1)="4",Premissas!$E$41,IF(RIGHT(A40,1)="5",Premissas!$E$42,"valor não encontrado")))))</f>
        <v>100</v>
      </c>
      <c r="I40" s="60" t="n">
        <f aca="false">B40*E40*G40+F40*H40</f>
        <v>170440</v>
      </c>
      <c r="J40" s="60"/>
    </row>
    <row r="41" customFormat="false" ht="15" hidden="false" customHeight="false" outlineLevel="0" collapsed="false">
      <c r="A41" s="19" t="s">
        <v>247</v>
      </c>
      <c r="B41" s="19" t="n">
        <v>22</v>
      </c>
      <c r="C41" s="57" t="n">
        <f aca="false">(Premissas!$E$18-Premissas!$E$14)*1.5</f>
        <v>2718</v>
      </c>
      <c r="D41" s="58" t="n">
        <f aca="false">IFERROR(VLOOKUP(LEFT(A41,3),Jan_Abril,2,0),IFERROR((VLOOKUP(LEFT(A41,3),Mai_Ago,2,0)),(VLOOKUP(LEFT(A41,3),Set_Dez,2,0))))</f>
        <v>1</v>
      </c>
      <c r="E41" s="57" t="n">
        <f aca="false">ROUND(C41*D41*Premissas!$A$49,0)</f>
        <v>1223</v>
      </c>
      <c r="F41" s="57" t="n">
        <f aca="false">ROUND(C41*D41*Premissas!$D$49,0)</f>
        <v>1495</v>
      </c>
      <c r="G41" s="59" t="n">
        <f aca="false">IF(RIGHT(A41,1)="1",Premissas!$C$38,IF(RIGHT(A41,1)="2",Premissas!$C$39,IF(RIGHT(A41,1)="3",Premissas!$C$40,IF(RIGHT(A41,1)="4",Premissas!$C$41,IF(RIGHT(A41,1)="5",Premissas!$C$42,"valor não encontrado")))))</f>
        <v>5</v>
      </c>
      <c r="H41" s="57" t="n">
        <f aca="false">IF(RIGHT(A41,1)="1",Premissas!$E$38,IF(RIGHT(A41,1)="2",Premissas!$E$39,IF(RIGHT(A41,1)="3",Premissas!$E$40,IF(RIGHT(A41,1)="4",Premissas!$E$41,IF(RIGHT(A41,1)="5",Premissas!$E$42,"valor não encontrado")))))</f>
        <v>100</v>
      </c>
      <c r="I41" s="60" t="n">
        <f aca="false">B41*E41*G41+F41*H41</f>
        <v>284030</v>
      </c>
      <c r="J41" s="60"/>
    </row>
    <row r="42" customFormat="false" ht="15" hidden="false" customHeight="false" outlineLevel="0" collapsed="false">
      <c r="A42" s="19" t="s">
        <v>248</v>
      </c>
      <c r="B42" s="19" t="n">
        <v>22</v>
      </c>
      <c r="C42" s="57" t="n">
        <f aca="false">(Premissas!$E$18-Premissas!$E$14)*1.5</f>
        <v>2718</v>
      </c>
      <c r="D42" s="58" t="n">
        <f aca="false">IFERROR(VLOOKUP(LEFT(A42,3),Jan_Abril,2,0),IFERROR((VLOOKUP(LEFT(A42,3),Mai_Ago,2,0)),(VLOOKUP(LEFT(A42,3),Set_Dez,2,0))))</f>
        <v>1</v>
      </c>
      <c r="E42" s="57" t="n">
        <f aca="false">ROUND(C42*D42*Premissas!$A$49,0)</f>
        <v>1223</v>
      </c>
      <c r="F42" s="57" t="n">
        <f aca="false">ROUND(C42*D42*Premissas!$D$49,0)</f>
        <v>1495</v>
      </c>
      <c r="G42" s="59" t="n">
        <f aca="false">IF(RIGHT(A42,1)="1",Premissas!$C$38,IF(RIGHT(A42,1)="2",Premissas!$C$39,IF(RIGHT(A42,1)="3",Premissas!$C$40,IF(RIGHT(A42,1)="4",Premissas!$C$41,IF(RIGHT(A42,1)="5",Premissas!$C$42,"valor não encontrado")))))</f>
        <v>5</v>
      </c>
      <c r="H42" s="57" t="n">
        <f aca="false">IF(RIGHT(A42,1)="1",Premissas!$E$38,IF(RIGHT(A42,1)="2",Premissas!$E$39,IF(RIGHT(A42,1)="3",Premissas!$E$40,IF(RIGHT(A42,1)="4",Premissas!$E$41,IF(RIGHT(A42,1)="5",Premissas!$E$42,"valor não encontrado")))))</f>
        <v>100</v>
      </c>
      <c r="I42" s="60" t="n">
        <f aca="false">B42*E42*G42+F42*H42</f>
        <v>284030</v>
      </c>
      <c r="J42" s="60"/>
    </row>
    <row r="43" customFormat="false" ht="15" hidden="false" customHeight="false" outlineLevel="0" collapsed="false">
      <c r="A43" s="19" t="s">
        <v>249</v>
      </c>
      <c r="B43" s="19" t="n">
        <v>22</v>
      </c>
      <c r="C43" s="57" t="n">
        <f aca="false">(Premissas!$E$18-Premissas!$E$14)*1.5</f>
        <v>2718</v>
      </c>
      <c r="D43" s="58" t="n">
        <f aca="false">IFERROR(VLOOKUP(LEFT(A43,3),Jan_Abril,2,0),IFERROR((VLOOKUP(LEFT(A43,3),Mai_Ago,2,0)),(VLOOKUP(LEFT(A43,3),Set_Dez,2,0))))</f>
        <v>1</v>
      </c>
      <c r="E43" s="57" t="n">
        <f aca="false">ROUND(C43*D43*Premissas!$A$49,0)</f>
        <v>1223</v>
      </c>
      <c r="F43" s="57" t="n">
        <f aca="false">ROUND(C43*D43*Premissas!$D$49,0)</f>
        <v>1495</v>
      </c>
      <c r="G43" s="59" t="n">
        <f aca="false">IF(RIGHT(A43,1)="1",Premissas!$C$38,IF(RIGHT(A43,1)="2",Premissas!$C$39,IF(RIGHT(A43,1)="3",Premissas!$C$40,IF(RIGHT(A43,1)="4",Premissas!$C$41,IF(RIGHT(A43,1)="5",Premissas!$C$42,"valor não encontrado")))))</f>
        <v>5</v>
      </c>
      <c r="H43" s="57" t="n">
        <f aca="false">IF(RIGHT(A43,1)="1",Premissas!$E$38,IF(RIGHT(A43,1)="2",Premissas!$E$39,IF(RIGHT(A43,1)="3",Premissas!$E$40,IF(RIGHT(A43,1)="4",Premissas!$E$41,IF(RIGHT(A43,1)="5",Premissas!$E$42,"valor não encontrado")))))</f>
        <v>100</v>
      </c>
      <c r="I43" s="60" t="n">
        <f aca="false">B43*E43*G43+F43*H43</f>
        <v>284030</v>
      </c>
      <c r="J43" s="60"/>
    </row>
    <row r="44" customFormat="false" ht="15" hidden="false" customHeight="false" outlineLevel="0" collapsed="false">
      <c r="A44" s="19" t="s">
        <v>250</v>
      </c>
      <c r="B44" s="19" t="n">
        <v>22</v>
      </c>
      <c r="C44" s="57" t="n">
        <f aca="false">(Premissas!$E$18-Premissas!$E$14)*1.5</f>
        <v>2718</v>
      </c>
      <c r="D44" s="58" t="n">
        <f aca="false">IFERROR(VLOOKUP(LEFT(A44,3),Jan_Abril,2,0),IFERROR((VLOOKUP(LEFT(A44,3),Mai_Ago,2,0)),(VLOOKUP(LEFT(A44,3),Set_Dez,2,0))))</f>
        <v>1</v>
      </c>
      <c r="E44" s="57" t="n">
        <f aca="false">ROUND(C44*D44*Premissas!$A$49,0)</f>
        <v>1223</v>
      </c>
      <c r="F44" s="57" t="n">
        <f aca="false">ROUND(C44*D44*Premissas!$D$49,0)</f>
        <v>1495</v>
      </c>
      <c r="G44" s="59" t="n">
        <f aca="false">IF(RIGHT(A44,1)="1",Premissas!$C$38,IF(RIGHT(A44,1)="2",Premissas!$C$39,IF(RIGHT(A44,1)="3",Premissas!$C$40,IF(RIGHT(A44,1)="4",Premissas!$C$41,IF(RIGHT(A44,1)="5",Premissas!$C$42,"valor não encontrado")))))</f>
        <v>5</v>
      </c>
      <c r="H44" s="57" t="n">
        <f aca="false">IF(RIGHT(A44,1)="1",Premissas!$E$38,IF(RIGHT(A44,1)="2",Premissas!$E$39,IF(RIGHT(A44,1)="3",Premissas!$E$40,IF(RIGHT(A44,1)="4",Premissas!$E$41,IF(RIGHT(A44,1)="5",Premissas!$E$42,"valor não encontrado")))))</f>
        <v>100</v>
      </c>
      <c r="I44" s="60" t="n">
        <f aca="false">B44*E44*G44+F44*H44</f>
        <v>284030</v>
      </c>
      <c r="J44" s="60"/>
    </row>
    <row r="45" customFormat="false" ht="15" hidden="false" customHeight="false" outlineLevel="0" collapsed="false">
      <c r="A45" s="19" t="s">
        <v>251</v>
      </c>
      <c r="B45" s="19" t="n">
        <v>22</v>
      </c>
      <c r="C45" s="57" t="n">
        <f aca="false">(Premissas!$E$18-Premissas!$E$14)*1.5</f>
        <v>2718</v>
      </c>
      <c r="D45" s="58" t="n">
        <f aca="false">IFERROR(VLOOKUP(LEFT(A45,3),Jan_Abril,2,0),IFERROR((VLOOKUP(LEFT(A45,3),Mai_Ago,2,0)),(VLOOKUP(LEFT(A45,3),Set_Dez,2,0))))</f>
        <v>0.6</v>
      </c>
      <c r="E45" s="57" t="n">
        <f aca="false">ROUND(C45*D45*Premissas!$A$49,0)</f>
        <v>734</v>
      </c>
      <c r="F45" s="57" t="n">
        <f aca="false">ROUND(C45*D45*Premissas!$D$49,0)</f>
        <v>897</v>
      </c>
      <c r="G45" s="59" t="n">
        <f aca="false">IF(RIGHT(A45,1)="1",Premissas!$C$38,IF(RIGHT(A45,1)="2",Premissas!$C$39,IF(RIGHT(A45,1)="3",Premissas!$C$40,IF(RIGHT(A45,1)="4",Premissas!$C$41,IF(RIGHT(A45,1)="5",Premissas!$C$42,"valor não encontrado")))))</f>
        <v>5</v>
      </c>
      <c r="H45" s="57" t="n">
        <f aca="false">IF(RIGHT(A45,1)="1",Premissas!$E$38,IF(RIGHT(A45,1)="2",Premissas!$E$39,IF(RIGHT(A45,1)="3",Premissas!$E$40,IF(RIGHT(A45,1)="4",Premissas!$E$41,IF(RIGHT(A45,1)="5",Premissas!$E$42,"valor não encontrado")))))</f>
        <v>100</v>
      </c>
      <c r="I45" s="60" t="n">
        <f aca="false">B45*E45*G45+F45*H45</f>
        <v>170440</v>
      </c>
      <c r="J45" s="60"/>
    </row>
    <row r="46" customFormat="false" ht="15" hidden="false" customHeight="false" outlineLevel="0" collapsed="false">
      <c r="A46" s="19" t="s">
        <v>252</v>
      </c>
      <c r="B46" s="19" t="n">
        <v>22</v>
      </c>
      <c r="C46" s="57" t="n">
        <f aca="false">(Premissas!$E$18-Premissas!$E$14)*1.5</f>
        <v>2718</v>
      </c>
      <c r="D46" s="58" t="n">
        <f aca="false">IFERROR(VLOOKUP(LEFT(A46,3),Jan_Abril,2,0),IFERROR((VLOOKUP(LEFT(A46,3),Mai_Ago,2,0)),(VLOOKUP(LEFT(A46,3),Set_Dez,2,0))))</f>
        <v>0.6</v>
      </c>
      <c r="E46" s="57" t="n">
        <f aca="false">ROUND(C46*D46*Premissas!$A$49,0)</f>
        <v>734</v>
      </c>
      <c r="F46" s="57" t="n">
        <f aca="false">ROUND(C46*D46*Premissas!$D$49,0)</f>
        <v>897</v>
      </c>
      <c r="G46" s="59" t="n">
        <f aca="false">IF(RIGHT(A46,1)="1",Premissas!$C$38,IF(RIGHT(A46,1)="2",Premissas!$C$39,IF(RIGHT(A46,1)="3",Premissas!$C$40,IF(RIGHT(A46,1)="4",Premissas!$C$41,IF(RIGHT(A46,1)="5",Premissas!$C$42,"valor não encontrado")))))</f>
        <v>5.5</v>
      </c>
      <c r="H46" s="57" t="n">
        <f aca="false">IF(RIGHT(A46,1)="1",Premissas!$E$38,IF(RIGHT(A46,1)="2",Premissas!$E$39,IF(RIGHT(A46,1)="3",Premissas!$E$40,IF(RIGHT(A46,1)="4",Premissas!$E$41,IF(RIGHT(A46,1)="5",Premissas!$E$42,"valor não encontrado")))))</f>
        <v>110</v>
      </c>
      <c r="I46" s="60" t="n">
        <f aca="false">B46*E46*G46+F46*H46</f>
        <v>187484</v>
      </c>
      <c r="J46" s="60"/>
    </row>
    <row r="47" customFormat="false" ht="15" hidden="false" customHeight="false" outlineLevel="0" collapsed="false">
      <c r="A47" s="19" t="s">
        <v>253</v>
      </c>
      <c r="B47" s="19" t="n">
        <v>22</v>
      </c>
      <c r="C47" s="57" t="n">
        <f aca="false">(Premissas!$E$18-Premissas!$E$14)*1.5</f>
        <v>2718</v>
      </c>
      <c r="D47" s="58" t="n">
        <f aca="false">IFERROR(VLOOKUP(LEFT(A47,3),Jan_Abril,2,0),IFERROR((VLOOKUP(LEFT(A47,3),Mai_Ago,2,0)),(VLOOKUP(LEFT(A47,3),Set_Dez,2,0))))</f>
        <v>0.7</v>
      </c>
      <c r="E47" s="57" t="n">
        <f aca="false">ROUND(C47*D47*Premissas!$A$49,0)</f>
        <v>856</v>
      </c>
      <c r="F47" s="57" t="n">
        <f aca="false">ROUND(C47*D47*Premissas!$D$49,0)</f>
        <v>1046</v>
      </c>
      <c r="G47" s="59" t="n">
        <f aca="false">IF(RIGHT(A47,1)="1",Premissas!$C$38,IF(RIGHT(A47,1)="2",Premissas!$C$39,IF(RIGHT(A47,1)="3",Premissas!$C$40,IF(RIGHT(A47,1)="4",Premissas!$C$41,IF(RIGHT(A47,1)="5",Premissas!$C$42,"valor não encontrado")))))</f>
        <v>5.5</v>
      </c>
      <c r="H47" s="57" t="n">
        <f aca="false">IF(RIGHT(A47,1)="1",Premissas!$E$38,IF(RIGHT(A47,1)="2",Premissas!$E$39,IF(RIGHT(A47,1)="3",Premissas!$E$40,IF(RIGHT(A47,1)="4",Premissas!$E$41,IF(RIGHT(A47,1)="5",Premissas!$E$42,"valor não encontrado")))))</f>
        <v>110</v>
      </c>
      <c r="I47" s="60" t="n">
        <f aca="false">B47*E47*G47+F47*H47</f>
        <v>218636</v>
      </c>
      <c r="J47" s="60"/>
    </row>
    <row r="48" customFormat="false" ht="15" hidden="false" customHeight="false" outlineLevel="0" collapsed="false">
      <c r="A48" s="19" t="s">
        <v>254</v>
      </c>
      <c r="B48" s="19" t="n">
        <v>22</v>
      </c>
      <c r="C48" s="57" t="n">
        <f aca="false">(Premissas!$E$18-Premissas!$E$14)*1.5</f>
        <v>2718</v>
      </c>
      <c r="D48" s="58" t="n">
        <f aca="false">IFERROR(VLOOKUP(LEFT(A48,3),Jan_Abril,2,0),IFERROR((VLOOKUP(LEFT(A48,3),Mai_Ago,2,0)),(VLOOKUP(LEFT(A48,3),Set_Dez,2,0))))</f>
        <v>1</v>
      </c>
      <c r="E48" s="57" t="n">
        <f aca="false">ROUND(C48*D48*Premissas!$A$49,0)</f>
        <v>1223</v>
      </c>
      <c r="F48" s="57" t="n">
        <f aca="false">ROUND(C48*D48*Premissas!$D$49,0)</f>
        <v>1495</v>
      </c>
      <c r="G48" s="59" t="n">
        <f aca="false">IF(RIGHT(A48,1)="1",Premissas!$C$38,IF(RIGHT(A48,1)="2",Premissas!$C$39,IF(RIGHT(A48,1)="3",Premissas!$C$40,IF(RIGHT(A48,1)="4",Premissas!$C$41,IF(RIGHT(A48,1)="5",Premissas!$C$42,"valor não encontrado")))))</f>
        <v>5.5</v>
      </c>
      <c r="H48" s="57" t="n">
        <f aca="false">IF(RIGHT(A48,1)="1",Premissas!$E$38,IF(RIGHT(A48,1)="2",Premissas!$E$39,IF(RIGHT(A48,1)="3",Premissas!$E$40,IF(RIGHT(A48,1)="4",Premissas!$E$41,IF(RIGHT(A48,1)="5",Premissas!$E$42,"valor não encontrado")))))</f>
        <v>110</v>
      </c>
      <c r="I48" s="60" t="n">
        <f aca="false">B48*E48*G48+F48*H48</f>
        <v>312433</v>
      </c>
      <c r="J48" s="60"/>
    </row>
    <row r="49" customFormat="false" ht="15" hidden="false" customHeight="false" outlineLevel="0" collapsed="false">
      <c r="A49" s="19" t="s">
        <v>255</v>
      </c>
      <c r="B49" s="19" t="n">
        <v>22</v>
      </c>
      <c r="C49" s="57" t="n">
        <f aca="false">(Premissas!$E$18-Premissas!$E$14)*1.5</f>
        <v>2718</v>
      </c>
      <c r="D49" s="58" t="n">
        <f aca="false">IFERROR(VLOOKUP(LEFT(A49,3),Jan_Abril,2,0),IFERROR((VLOOKUP(LEFT(A49,3),Mai_Ago,2,0)),(VLOOKUP(LEFT(A49,3),Set_Dez,2,0))))</f>
        <v>1</v>
      </c>
      <c r="E49" s="57" t="n">
        <f aca="false">ROUND(C49*D49*Premissas!$A$49,0)</f>
        <v>1223</v>
      </c>
      <c r="F49" s="57" t="n">
        <f aca="false">ROUND(C49*D49*Premissas!$D$49,0)</f>
        <v>1495</v>
      </c>
      <c r="G49" s="59" t="n">
        <f aca="false">IF(RIGHT(A49,1)="1",Premissas!$C$38,IF(RIGHT(A49,1)="2",Premissas!$C$39,IF(RIGHT(A49,1)="3",Premissas!$C$40,IF(RIGHT(A49,1)="4",Premissas!$C$41,IF(RIGHT(A49,1)="5",Premissas!$C$42,"valor não encontrado")))))</f>
        <v>5.5</v>
      </c>
      <c r="H49" s="57" t="n">
        <f aca="false">IF(RIGHT(A49,1)="1",Premissas!$E$38,IF(RIGHT(A49,1)="2",Premissas!$E$39,IF(RIGHT(A49,1)="3",Premissas!$E$40,IF(RIGHT(A49,1)="4",Premissas!$E$41,IF(RIGHT(A49,1)="5",Premissas!$E$42,"valor não encontrado")))))</f>
        <v>110</v>
      </c>
      <c r="I49" s="60" t="n">
        <f aca="false">B49*E49*G49+F49*H49</f>
        <v>312433</v>
      </c>
      <c r="J49" s="60"/>
    </row>
    <row r="50" customFormat="false" ht="15" hidden="false" customHeight="false" outlineLevel="0" collapsed="false">
      <c r="A50" s="19" t="s">
        <v>256</v>
      </c>
      <c r="B50" s="19" t="n">
        <v>22</v>
      </c>
      <c r="C50" s="57" t="n">
        <f aca="false">(Premissas!$E$18-Premissas!$E$14)*1.5</f>
        <v>2718</v>
      </c>
      <c r="D50" s="58" t="n">
        <f aca="false">IFERROR(VLOOKUP(LEFT(A50,3),Jan_Abril,2,0),IFERROR((VLOOKUP(LEFT(A50,3),Mai_Ago,2,0)),(VLOOKUP(LEFT(A50,3),Set_Dez,2,0))))</f>
        <v>1</v>
      </c>
      <c r="E50" s="57" t="n">
        <f aca="false">ROUND(C50*D50*Premissas!$A$49,0)</f>
        <v>1223</v>
      </c>
      <c r="F50" s="57" t="n">
        <f aca="false">ROUND(C50*D50*Premissas!$D$49,0)</f>
        <v>1495</v>
      </c>
      <c r="G50" s="59" t="n">
        <f aca="false">IF(RIGHT(A50,1)="1",Premissas!$C$38,IF(RIGHT(A50,1)="2",Premissas!$C$39,IF(RIGHT(A50,1)="3",Premissas!$C$40,IF(RIGHT(A50,1)="4",Premissas!$C$41,IF(RIGHT(A50,1)="5",Premissas!$C$42,"valor não encontrado")))))</f>
        <v>5.5</v>
      </c>
      <c r="H50" s="57" t="n">
        <f aca="false">IF(RIGHT(A50,1)="1",Premissas!$E$38,IF(RIGHT(A50,1)="2",Premissas!$E$39,IF(RIGHT(A50,1)="3",Premissas!$E$40,IF(RIGHT(A50,1)="4",Premissas!$E$41,IF(RIGHT(A50,1)="5",Premissas!$E$42,"valor não encontrado")))))</f>
        <v>110</v>
      </c>
      <c r="I50" s="60" t="n">
        <f aca="false">B50*E50*G50+F50*H50</f>
        <v>312433</v>
      </c>
      <c r="J50" s="60"/>
    </row>
    <row r="51" customFormat="false" ht="15" hidden="false" customHeight="false" outlineLevel="0" collapsed="false">
      <c r="A51" s="19" t="s">
        <v>257</v>
      </c>
      <c r="B51" s="19" t="n">
        <v>22</v>
      </c>
      <c r="C51" s="57" t="n">
        <f aca="false">(Premissas!$E$18-Premissas!$E$14)*1.5</f>
        <v>2718</v>
      </c>
      <c r="D51" s="58" t="n">
        <f aca="false">IFERROR(VLOOKUP(LEFT(A51,3),Jan_Abril,2,0),IFERROR((VLOOKUP(LEFT(A51,3),Mai_Ago,2,0)),(VLOOKUP(LEFT(A51,3),Set_Dez,2,0))))</f>
        <v>1</v>
      </c>
      <c r="E51" s="57" t="n">
        <f aca="false">ROUND(C51*D51*Premissas!$A$49,0)</f>
        <v>1223</v>
      </c>
      <c r="F51" s="57" t="n">
        <f aca="false">ROUND(C51*D51*Premissas!$D$49,0)</f>
        <v>1495</v>
      </c>
      <c r="G51" s="59" t="n">
        <f aca="false">IF(RIGHT(A51,1)="1",Premissas!$C$38,IF(RIGHT(A51,1)="2",Premissas!$C$39,IF(RIGHT(A51,1)="3",Premissas!$C$40,IF(RIGHT(A51,1)="4",Premissas!$C$41,IF(RIGHT(A51,1)="5",Premissas!$C$42,"valor não encontrado")))))</f>
        <v>5.5</v>
      </c>
      <c r="H51" s="57" t="n">
        <f aca="false">IF(RIGHT(A51,1)="1",Premissas!$E$38,IF(RIGHT(A51,1)="2",Premissas!$E$39,IF(RIGHT(A51,1)="3",Premissas!$E$40,IF(RIGHT(A51,1)="4",Premissas!$E$41,IF(RIGHT(A51,1)="5",Premissas!$E$42,"valor não encontrado")))))</f>
        <v>110</v>
      </c>
      <c r="I51" s="60" t="n">
        <f aca="false">B51*E51*G51+F51*H51</f>
        <v>312433</v>
      </c>
      <c r="J51" s="60"/>
    </row>
    <row r="52" customFormat="false" ht="15" hidden="false" customHeight="false" outlineLevel="0" collapsed="false">
      <c r="A52" s="19" t="s">
        <v>258</v>
      </c>
      <c r="B52" s="19" t="n">
        <v>22</v>
      </c>
      <c r="C52" s="57" t="n">
        <f aca="false">(Premissas!$E$18-Premissas!$E$14)*1.5</f>
        <v>2718</v>
      </c>
      <c r="D52" s="58" t="n">
        <f aca="false">IFERROR(VLOOKUP(LEFT(A52,3),Jan_Abril,2,0),IFERROR((VLOOKUP(LEFT(A52,3),Mai_Ago,2,0)),(VLOOKUP(LEFT(A52,3),Set_Dez,2,0))))</f>
        <v>0.6</v>
      </c>
      <c r="E52" s="57" t="n">
        <f aca="false">ROUND(C52*D52*Premissas!$A$49,0)</f>
        <v>734</v>
      </c>
      <c r="F52" s="57" t="n">
        <f aca="false">ROUND(C52*D52*Premissas!$D$49,0)</f>
        <v>897</v>
      </c>
      <c r="G52" s="59" t="n">
        <f aca="false">IF(RIGHT(A52,1)="1",Premissas!$C$38,IF(RIGHT(A52,1)="2",Premissas!$C$39,IF(RIGHT(A52,1)="3",Premissas!$C$40,IF(RIGHT(A52,1)="4",Premissas!$C$41,IF(RIGHT(A52,1)="5",Premissas!$C$42,"valor não encontrado")))))</f>
        <v>5.5</v>
      </c>
      <c r="H52" s="57" t="n">
        <f aca="false">IF(RIGHT(A52,1)="1",Premissas!$E$38,IF(RIGHT(A52,1)="2",Premissas!$E$39,IF(RIGHT(A52,1)="3",Premissas!$E$40,IF(RIGHT(A52,1)="4",Premissas!$E$41,IF(RIGHT(A52,1)="5",Premissas!$E$42,"valor não encontrado")))))</f>
        <v>110</v>
      </c>
      <c r="I52" s="60" t="n">
        <f aca="false">B52*E52*G52+F52*H52</f>
        <v>187484</v>
      </c>
      <c r="J52" s="60"/>
    </row>
    <row r="53" customFormat="false" ht="15" hidden="false" customHeight="false" outlineLevel="0" collapsed="false">
      <c r="A53" s="19" t="s">
        <v>259</v>
      </c>
      <c r="B53" s="19" t="n">
        <v>22</v>
      </c>
      <c r="C53" s="57" t="n">
        <f aca="false">(Premissas!$E$18-Premissas!$E$14)*1.5</f>
        <v>2718</v>
      </c>
      <c r="D53" s="58" t="n">
        <f aca="false">IFERROR(VLOOKUP(LEFT(A53,3),Jan_Abril,2,0),IFERROR((VLOOKUP(LEFT(A53,3),Mai_Ago,2,0)),(VLOOKUP(LEFT(A53,3),Set_Dez,2,0))))</f>
        <v>1</v>
      </c>
      <c r="E53" s="57" t="n">
        <f aca="false">ROUND(C53*D53*Premissas!$A$49,0)</f>
        <v>1223</v>
      </c>
      <c r="F53" s="57" t="n">
        <f aca="false">ROUND(C53*D53*Premissas!$D$49,0)</f>
        <v>1495</v>
      </c>
      <c r="G53" s="59" t="n">
        <f aca="false">IF(RIGHT(A53,1)="1",Premissas!$C$38,IF(RIGHT(A53,1)="2",Premissas!$C$39,IF(RIGHT(A53,1)="3",Premissas!$C$40,IF(RIGHT(A53,1)="4",Premissas!$C$41,IF(RIGHT(A53,1)="5",Premissas!$C$42,"valor não encontrado")))))</f>
        <v>5.5</v>
      </c>
      <c r="H53" s="57" t="n">
        <f aca="false">IF(RIGHT(A53,1)="1",Premissas!$E$38,IF(RIGHT(A53,1)="2",Premissas!$E$39,IF(RIGHT(A53,1)="3",Premissas!$E$40,IF(RIGHT(A53,1)="4",Premissas!$E$41,IF(RIGHT(A53,1)="5",Premissas!$E$42,"valor não encontrado")))))</f>
        <v>110</v>
      </c>
      <c r="I53" s="60" t="n">
        <f aca="false">B53*E53*G53+F53*H53</f>
        <v>312433</v>
      </c>
      <c r="J53" s="60"/>
    </row>
    <row r="54" customFormat="false" ht="15" hidden="false" customHeight="false" outlineLevel="0" collapsed="false">
      <c r="A54" s="19" t="s">
        <v>260</v>
      </c>
      <c r="B54" s="19" t="n">
        <v>22</v>
      </c>
      <c r="C54" s="57" t="n">
        <f aca="false">(Premissas!$E$18-Premissas!$E$14)*1.5</f>
        <v>2718</v>
      </c>
      <c r="D54" s="58" t="n">
        <f aca="false">IFERROR(VLOOKUP(LEFT(A54,3),Jan_Abril,2,0),IFERROR((VLOOKUP(LEFT(A54,3),Mai_Ago,2,0)),(VLOOKUP(LEFT(A54,3),Set_Dez,2,0))))</f>
        <v>1</v>
      </c>
      <c r="E54" s="57" t="n">
        <f aca="false">ROUND(C54*D54*Premissas!$A$49,0)</f>
        <v>1223</v>
      </c>
      <c r="F54" s="57" t="n">
        <f aca="false">ROUND(C54*D54*Premissas!$D$49,0)</f>
        <v>1495</v>
      </c>
      <c r="G54" s="59" t="n">
        <f aca="false">IF(RIGHT(A54,1)="1",Premissas!$C$38,IF(RIGHT(A54,1)="2",Premissas!$C$39,IF(RIGHT(A54,1)="3",Premissas!$C$40,IF(RIGHT(A54,1)="4",Premissas!$C$41,IF(RIGHT(A54,1)="5",Premissas!$C$42,"valor não encontrado")))))</f>
        <v>5.5</v>
      </c>
      <c r="H54" s="57" t="n">
        <f aca="false">IF(RIGHT(A54,1)="1",Premissas!$E$38,IF(RIGHT(A54,1)="2",Premissas!$E$39,IF(RIGHT(A54,1)="3",Premissas!$E$40,IF(RIGHT(A54,1)="4",Premissas!$E$41,IF(RIGHT(A54,1)="5",Premissas!$E$42,"valor não encontrado")))))</f>
        <v>110</v>
      </c>
      <c r="I54" s="60" t="n">
        <f aca="false">B54*E54*G54+F54*H54</f>
        <v>312433</v>
      </c>
      <c r="J54" s="60"/>
    </row>
    <row r="55" customFormat="false" ht="15" hidden="false" customHeight="false" outlineLevel="0" collapsed="false">
      <c r="A55" s="19" t="s">
        <v>261</v>
      </c>
      <c r="B55" s="19" t="n">
        <v>22</v>
      </c>
      <c r="C55" s="57" t="n">
        <f aca="false">(Premissas!$E$18-Premissas!$E$14)*1.5</f>
        <v>2718</v>
      </c>
      <c r="D55" s="58" t="n">
        <f aca="false">IFERROR(VLOOKUP(LEFT(A55,3),Jan_Abril,2,0),IFERROR((VLOOKUP(LEFT(A55,3),Mai_Ago,2,0)),(VLOOKUP(LEFT(A55,3),Set_Dez,2,0))))</f>
        <v>1</v>
      </c>
      <c r="E55" s="57" t="n">
        <f aca="false">ROUND(C55*D55*Premissas!$A$49,0)</f>
        <v>1223</v>
      </c>
      <c r="F55" s="57" t="n">
        <f aca="false">ROUND(C55*D55*Premissas!$D$49,0)</f>
        <v>1495</v>
      </c>
      <c r="G55" s="59" t="n">
        <f aca="false">IF(RIGHT(A55,1)="1",Premissas!$C$38,IF(RIGHT(A55,1)="2",Premissas!$C$39,IF(RIGHT(A55,1)="3",Premissas!$C$40,IF(RIGHT(A55,1)="4",Premissas!$C$41,IF(RIGHT(A55,1)="5",Premissas!$C$42,"valor não encontrado")))))</f>
        <v>5.5</v>
      </c>
      <c r="H55" s="57" t="n">
        <f aca="false">IF(RIGHT(A55,1)="1",Premissas!$E$38,IF(RIGHT(A55,1)="2",Premissas!$E$39,IF(RIGHT(A55,1)="3",Premissas!$E$40,IF(RIGHT(A55,1)="4",Premissas!$E$41,IF(RIGHT(A55,1)="5",Premissas!$E$42,"valor não encontrado")))))</f>
        <v>110</v>
      </c>
      <c r="I55" s="60" t="n">
        <f aca="false">B55*E55*G55+F55*H55</f>
        <v>312433</v>
      </c>
      <c r="J55" s="60"/>
    </row>
    <row r="56" customFormat="false" ht="15" hidden="false" customHeight="false" outlineLevel="0" collapsed="false">
      <c r="A56" s="19" t="s">
        <v>262</v>
      </c>
      <c r="B56" s="19" t="n">
        <v>22</v>
      </c>
      <c r="C56" s="57" t="n">
        <f aca="false">(Premissas!$E$18-Premissas!$E$14)*1.5</f>
        <v>2718</v>
      </c>
      <c r="D56" s="58" t="n">
        <f aca="false">IFERROR(VLOOKUP(LEFT(A56,3),Jan_Abril,2,0),IFERROR((VLOOKUP(LEFT(A56,3),Mai_Ago,2,0)),(VLOOKUP(LEFT(A56,3),Set_Dez,2,0))))</f>
        <v>1</v>
      </c>
      <c r="E56" s="57" t="n">
        <f aca="false">ROUND(C56*D56*Premissas!$A$49,0)</f>
        <v>1223</v>
      </c>
      <c r="F56" s="57" t="n">
        <f aca="false">ROUND(C56*D56*Premissas!$D$49,0)</f>
        <v>1495</v>
      </c>
      <c r="G56" s="59" t="n">
        <f aca="false">IF(RIGHT(A56,1)="1",Premissas!$C$38,IF(RIGHT(A56,1)="2",Premissas!$C$39,IF(RIGHT(A56,1)="3",Premissas!$C$40,IF(RIGHT(A56,1)="4",Premissas!$C$41,IF(RIGHT(A56,1)="5",Premissas!$C$42,"valor não encontrado")))))</f>
        <v>5.5</v>
      </c>
      <c r="H56" s="57" t="n">
        <f aca="false">IF(RIGHT(A56,1)="1",Premissas!$E$38,IF(RIGHT(A56,1)="2",Premissas!$E$39,IF(RIGHT(A56,1)="3",Premissas!$E$40,IF(RIGHT(A56,1)="4",Premissas!$E$41,IF(RIGHT(A56,1)="5",Premissas!$E$42,"valor não encontrado")))))</f>
        <v>110</v>
      </c>
      <c r="I56" s="60" t="n">
        <f aca="false">B56*E56*G56+F56*H56</f>
        <v>312433</v>
      </c>
      <c r="J56" s="60"/>
    </row>
    <row r="57" customFormat="false" ht="15" hidden="false" customHeight="false" outlineLevel="0" collapsed="false">
      <c r="A57" s="19" t="s">
        <v>263</v>
      </c>
      <c r="B57" s="19" t="n">
        <v>22</v>
      </c>
      <c r="C57" s="57" t="n">
        <f aca="false">(Premissas!$E$18-Premissas!$E$14)*1.5</f>
        <v>2718</v>
      </c>
      <c r="D57" s="58" t="n">
        <f aca="false">IFERROR(VLOOKUP(LEFT(A57,3),Jan_Abril,2,0),IFERROR((VLOOKUP(LEFT(A57,3),Mai_Ago,2,0)),(VLOOKUP(LEFT(A57,3),Set_Dez,2,0))))</f>
        <v>0.6</v>
      </c>
      <c r="E57" s="57" t="n">
        <f aca="false">ROUND(C57*D57*Premissas!$A$49,0)</f>
        <v>734</v>
      </c>
      <c r="F57" s="57" t="n">
        <f aca="false">ROUND(C57*D57*Premissas!$D$49,0)</f>
        <v>897</v>
      </c>
      <c r="G57" s="59" t="n">
        <f aca="false">IF(RIGHT(A57,1)="1",Premissas!$C$38,IF(RIGHT(A57,1)="2",Premissas!$C$39,IF(RIGHT(A57,1)="3",Premissas!$C$40,IF(RIGHT(A57,1)="4",Premissas!$C$41,IF(RIGHT(A57,1)="5",Premissas!$C$42,"valor não encontrado")))))</f>
        <v>5.5</v>
      </c>
      <c r="H57" s="57" t="n">
        <f aca="false">IF(RIGHT(A57,1)="1",Premissas!$E$38,IF(RIGHT(A57,1)="2",Premissas!$E$39,IF(RIGHT(A57,1)="3",Premissas!$E$40,IF(RIGHT(A57,1)="4",Premissas!$E$41,IF(RIGHT(A57,1)="5",Premissas!$E$42,"valor não encontrado")))))</f>
        <v>110</v>
      </c>
      <c r="I57" s="60" t="n">
        <f aca="false">B57*E57*G57+F57*H57</f>
        <v>187484</v>
      </c>
      <c r="J57" s="60"/>
    </row>
    <row r="58" customFormat="false" ht="15" hidden="false" customHeight="false" outlineLevel="0" collapsed="false">
      <c r="A58" s="19" t="s">
        <v>264</v>
      </c>
      <c r="B58" s="19" t="n">
        <v>22</v>
      </c>
      <c r="C58" s="57" t="n">
        <f aca="false">(Premissas!$E$18-Premissas!$E$14)*1.5</f>
        <v>2718</v>
      </c>
      <c r="D58" s="58" t="n">
        <f aca="false">IFERROR(VLOOKUP(LEFT(A58,3),Jan_Abril,2,0),IFERROR((VLOOKUP(LEFT(A58,3),Mai_Ago,2,0)),(VLOOKUP(LEFT(A58,3),Set_Dez,2,0))))</f>
        <v>0.6</v>
      </c>
      <c r="E58" s="57" t="n">
        <f aca="false">ROUND(C58*D58*Premissas!$A$49,0)</f>
        <v>734</v>
      </c>
      <c r="F58" s="57" t="n">
        <f aca="false">ROUND(C58*D58*Premissas!$D$49,0)</f>
        <v>897</v>
      </c>
      <c r="G58" s="59" t="n">
        <f aca="false">IF(RIGHT(A58,1)="1",Premissas!$C$38,IF(RIGHT(A58,1)="2",Premissas!$C$39,IF(RIGHT(A58,1)="3",Premissas!$C$40,IF(RIGHT(A58,1)="4",Premissas!$C$41,IF(RIGHT(A58,1)="5",Premissas!$C$42,"valor não encontrado")))))</f>
        <v>6</v>
      </c>
      <c r="H58" s="57" t="n">
        <f aca="false">IF(RIGHT(A58,1)="1",Premissas!$E$38,IF(RIGHT(A58,1)="2",Premissas!$E$39,IF(RIGHT(A58,1)="3",Premissas!$E$40,IF(RIGHT(A58,1)="4",Premissas!$E$41,IF(RIGHT(A58,1)="5",Premissas!$E$42,"valor não encontrado")))))</f>
        <v>120</v>
      </c>
      <c r="I58" s="60" t="n">
        <f aca="false">B58*E58*G58+F58*H58</f>
        <v>204528</v>
      </c>
      <c r="J58" s="60"/>
    </row>
    <row r="59" customFormat="false" ht="15" hidden="false" customHeight="false" outlineLevel="0" collapsed="false">
      <c r="A59" s="19" t="s">
        <v>265</v>
      </c>
      <c r="B59" s="19" t="n">
        <v>22</v>
      </c>
      <c r="C59" s="57" t="n">
        <f aca="false">(Premissas!$E$18-Premissas!$E$14)*1.5</f>
        <v>2718</v>
      </c>
      <c r="D59" s="58" t="n">
        <f aca="false">IFERROR(VLOOKUP(LEFT(A59,3),Jan_Abril,2,0),IFERROR((VLOOKUP(LEFT(A59,3),Mai_Ago,2,0)),(VLOOKUP(LEFT(A59,3),Set_Dez,2,0))))</f>
        <v>0.7</v>
      </c>
      <c r="E59" s="57" t="n">
        <f aca="false">ROUND(C59*D59*Premissas!$A$49,0)</f>
        <v>856</v>
      </c>
      <c r="F59" s="57" t="n">
        <f aca="false">ROUND(C59*D59*Premissas!$D$49,0)</f>
        <v>1046</v>
      </c>
      <c r="G59" s="59" t="n">
        <f aca="false">IF(RIGHT(A59,1)="1",Premissas!$C$38,IF(RIGHT(A59,1)="2",Premissas!$C$39,IF(RIGHT(A59,1)="3",Premissas!$C$40,IF(RIGHT(A59,1)="4",Premissas!$C$41,IF(RIGHT(A59,1)="5",Premissas!$C$42,"valor não encontrado")))))</f>
        <v>6</v>
      </c>
      <c r="H59" s="57" t="n">
        <f aca="false">IF(RIGHT(A59,1)="1",Premissas!$E$38,IF(RIGHT(A59,1)="2",Premissas!$E$39,IF(RIGHT(A59,1)="3",Premissas!$E$40,IF(RIGHT(A59,1)="4",Premissas!$E$41,IF(RIGHT(A59,1)="5",Premissas!$E$42,"valor não encontrado")))))</f>
        <v>120</v>
      </c>
      <c r="I59" s="60" t="n">
        <f aca="false">B59*E59*G59+F59*H59</f>
        <v>238512</v>
      </c>
      <c r="J59" s="60"/>
    </row>
    <row r="60" customFormat="false" ht="15" hidden="false" customHeight="false" outlineLevel="0" collapsed="false">
      <c r="A60" s="19" t="s">
        <v>266</v>
      </c>
      <c r="B60" s="19" t="n">
        <v>22</v>
      </c>
      <c r="C60" s="57" t="n">
        <f aca="false">(Premissas!$E$18-Premissas!$E$14)*1.5</f>
        <v>2718</v>
      </c>
      <c r="D60" s="58" t="n">
        <f aca="false">IFERROR(VLOOKUP(LEFT(A60,3),Jan_Abril,2,0),IFERROR((VLOOKUP(LEFT(A60,3),Mai_Ago,2,0)),(VLOOKUP(LEFT(A60,3),Set_Dez,2,0))))</f>
        <v>1</v>
      </c>
      <c r="E60" s="57" t="n">
        <f aca="false">ROUND(C60*D60*Premissas!$A$49,0)</f>
        <v>1223</v>
      </c>
      <c r="F60" s="57" t="n">
        <f aca="false">ROUND(C60*D60*Premissas!$D$49,0)</f>
        <v>1495</v>
      </c>
      <c r="G60" s="59" t="n">
        <f aca="false">IF(RIGHT(A60,1)="1",Premissas!$C$38,IF(RIGHT(A60,1)="2",Premissas!$C$39,IF(RIGHT(A60,1)="3",Premissas!$C$40,IF(RIGHT(A60,1)="4",Premissas!$C$41,IF(RIGHT(A60,1)="5",Premissas!$C$42,"valor não encontrado")))))</f>
        <v>6</v>
      </c>
      <c r="H60" s="57" t="n">
        <f aca="false">IF(RIGHT(A60,1)="1",Premissas!$E$38,IF(RIGHT(A60,1)="2",Premissas!$E$39,IF(RIGHT(A60,1)="3",Premissas!$E$40,IF(RIGHT(A60,1)="4",Premissas!$E$41,IF(RIGHT(A60,1)="5",Premissas!$E$42,"valor não encontrado")))))</f>
        <v>120</v>
      </c>
      <c r="I60" s="60" t="n">
        <f aca="false">B60*E60*G60+F60*H60</f>
        <v>340836</v>
      </c>
      <c r="J60" s="60"/>
    </row>
    <row r="61" customFormat="false" ht="15" hidden="false" customHeight="false" outlineLevel="0" collapsed="false">
      <c r="A61" s="19" t="s">
        <v>267</v>
      </c>
      <c r="B61" s="19" t="n">
        <v>22</v>
      </c>
      <c r="C61" s="57" t="n">
        <f aca="false">(Premissas!$E$18-Premissas!$E$14)*1.5</f>
        <v>2718</v>
      </c>
      <c r="D61" s="58" t="n">
        <f aca="false">IFERROR(VLOOKUP(LEFT(A61,3),Jan_Abril,2,0),IFERROR((VLOOKUP(LEFT(A61,3),Mai_Ago,2,0)),(VLOOKUP(LEFT(A61,3),Set_Dez,2,0))))</f>
        <v>1</v>
      </c>
      <c r="E61" s="57" t="n">
        <f aca="false">ROUND(C61*D61*Premissas!$A$49,0)</f>
        <v>1223</v>
      </c>
      <c r="F61" s="57" t="n">
        <f aca="false">ROUND(C61*D61*Premissas!$D$49,0)</f>
        <v>1495</v>
      </c>
      <c r="G61" s="59" t="n">
        <f aca="false">IF(RIGHT(A61,1)="1",Premissas!$C$38,IF(RIGHT(A61,1)="2",Premissas!$C$39,IF(RIGHT(A61,1)="3",Premissas!$C$40,IF(RIGHT(A61,1)="4",Premissas!$C$41,IF(RIGHT(A61,1)="5",Premissas!$C$42,"valor não encontrado")))))</f>
        <v>6</v>
      </c>
      <c r="H61" s="57" t="n">
        <f aca="false">IF(RIGHT(A61,1)="1",Premissas!$E$38,IF(RIGHT(A61,1)="2",Premissas!$E$39,IF(RIGHT(A61,1)="3",Premissas!$E$40,IF(RIGHT(A61,1)="4",Premissas!$E$41,IF(RIGHT(A61,1)="5",Premissas!$E$42,"valor não encontrado")))))</f>
        <v>120</v>
      </c>
      <c r="I61" s="60" t="n">
        <f aca="false">B61*E61*G61+F61*H61</f>
        <v>340836</v>
      </c>
      <c r="J61" s="60"/>
    </row>
    <row r="62" customFormat="false" ht="15" hidden="false" customHeight="false" outlineLevel="0" collapsed="false">
      <c r="A62" s="19" t="s">
        <v>268</v>
      </c>
      <c r="B62" s="19" t="n">
        <v>22</v>
      </c>
      <c r="C62" s="57" t="n">
        <f aca="false">(Premissas!$E$18-Premissas!$E$14)*1.5</f>
        <v>2718</v>
      </c>
      <c r="D62" s="58" t="n">
        <f aca="false">IFERROR(VLOOKUP(LEFT(A62,3),Jan_Abril,2,0),IFERROR((VLOOKUP(LEFT(A62,3),Mai_Ago,2,0)),(VLOOKUP(LEFT(A62,3),Set_Dez,2,0))))</f>
        <v>1</v>
      </c>
      <c r="E62" s="57" t="n">
        <f aca="false">ROUND(C62*D62*Premissas!$A$49,0)</f>
        <v>1223</v>
      </c>
      <c r="F62" s="57" t="n">
        <f aca="false">ROUND(C62*D62*Premissas!$D$49,0)</f>
        <v>1495</v>
      </c>
      <c r="G62" s="59" t="n">
        <f aca="false">IF(RIGHT(A62,1)="1",Premissas!$C$38,IF(RIGHT(A62,1)="2",Premissas!$C$39,IF(RIGHT(A62,1)="3",Premissas!$C$40,IF(RIGHT(A62,1)="4",Premissas!$C$41,IF(RIGHT(A62,1)="5",Premissas!$C$42,"valor não encontrado")))))</f>
        <v>6</v>
      </c>
      <c r="H62" s="57" t="n">
        <f aca="false">IF(RIGHT(A62,1)="1",Premissas!$E$38,IF(RIGHT(A62,1)="2",Premissas!$E$39,IF(RIGHT(A62,1)="3",Premissas!$E$40,IF(RIGHT(A62,1)="4",Premissas!$E$41,IF(RIGHT(A62,1)="5",Premissas!$E$42,"valor não encontrado")))))</f>
        <v>120</v>
      </c>
      <c r="I62" s="60" t="n">
        <f aca="false">B62*E62*G62+F62*H62</f>
        <v>340836</v>
      </c>
      <c r="J62" s="60"/>
    </row>
    <row r="63" customFormat="false" ht="15" hidden="false" customHeight="false" outlineLevel="0" collapsed="false">
      <c r="A63" s="19" t="s">
        <v>269</v>
      </c>
      <c r="B63" s="19" t="n">
        <v>22</v>
      </c>
      <c r="C63" s="57" t="n">
        <f aca="false">(Premissas!$E$18-Premissas!$E$14)*1.5</f>
        <v>2718</v>
      </c>
      <c r="D63" s="58" t="n">
        <f aca="false">IFERROR(VLOOKUP(LEFT(A63,3),Jan_Abril,2,0),IFERROR((VLOOKUP(LEFT(A63,3),Mai_Ago,2,0)),(VLOOKUP(LEFT(A63,3),Set_Dez,2,0))))</f>
        <v>1</v>
      </c>
      <c r="E63" s="57" t="n">
        <f aca="false">ROUND(C63*D63*Premissas!$A$49,0)</f>
        <v>1223</v>
      </c>
      <c r="F63" s="57" t="n">
        <f aca="false">ROUND(C63*D63*Premissas!$D$49,0)</f>
        <v>1495</v>
      </c>
      <c r="G63" s="59" t="n">
        <f aca="false">IF(RIGHT(A63,1)="1",Premissas!$C$38,IF(RIGHT(A63,1)="2",Premissas!$C$39,IF(RIGHT(A63,1)="3",Premissas!$C$40,IF(RIGHT(A63,1)="4",Premissas!$C$41,IF(RIGHT(A63,1)="5",Premissas!$C$42,"valor não encontrado")))))</f>
        <v>6</v>
      </c>
      <c r="H63" s="57" t="n">
        <f aca="false">IF(RIGHT(A63,1)="1",Premissas!$E$38,IF(RIGHT(A63,1)="2",Premissas!$E$39,IF(RIGHT(A63,1)="3",Premissas!$E$40,IF(RIGHT(A63,1)="4",Premissas!$E$41,IF(RIGHT(A63,1)="5",Premissas!$E$42,"valor não encontrado")))))</f>
        <v>120</v>
      </c>
      <c r="I63" s="60" t="n">
        <f aca="false">B63*E63*G63+F63*H63</f>
        <v>340836</v>
      </c>
      <c r="J63" s="60"/>
    </row>
    <row r="64" customFormat="false" ht="15" hidden="false" customHeight="false" outlineLevel="0" collapsed="false">
      <c r="A64" s="19" t="s">
        <v>270</v>
      </c>
      <c r="B64" s="19" t="n">
        <v>22</v>
      </c>
      <c r="C64" s="57" t="n">
        <f aca="false">(Premissas!$E$18-Premissas!$E$14)*1.5</f>
        <v>2718</v>
      </c>
      <c r="D64" s="58" t="n">
        <f aca="false">IFERROR(VLOOKUP(LEFT(A64,3),Jan_Abril,2,0),IFERROR((VLOOKUP(LEFT(A64,3),Mai_Ago,2,0)),(VLOOKUP(LEFT(A64,3),Set_Dez,2,0))))</f>
        <v>0.6</v>
      </c>
      <c r="E64" s="57" t="n">
        <f aca="false">ROUND(C64*D64*Premissas!$A$49,0)</f>
        <v>734</v>
      </c>
      <c r="F64" s="57" t="n">
        <f aca="false">ROUND(C64*D64*Premissas!$D$49,0)</f>
        <v>897</v>
      </c>
      <c r="G64" s="59" t="n">
        <f aca="false">IF(RIGHT(A64,1)="1",Premissas!$C$38,IF(RIGHT(A64,1)="2",Premissas!$C$39,IF(RIGHT(A64,1)="3",Premissas!$C$40,IF(RIGHT(A64,1)="4",Premissas!$C$41,IF(RIGHT(A64,1)="5",Premissas!$C$42,"valor não encontrado")))))</f>
        <v>6</v>
      </c>
      <c r="H64" s="57" t="n">
        <f aca="false">IF(RIGHT(A64,1)="1",Premissas!$E$38,IF(RIGHT(A64,1)="2",Premissas!$E$39,IF(RIGHT(A64,1)="3",Premissas!$E$40,IF(RIGHT(A64,1)="4",Premissas!$E$41,IF(RIGHT(A64,1)="5",Premissas!$E$42,"valor não encontrado")))))</f>
        <v>120</v>
      </c>
      <c r="I64" s="60" t="n">
        <f aca="false">B64*E64*G64+F64*H64</f>
        <v>204528</v>
      </c>
      <c r="J64" s="60"/>
    </row>
    <row r="65" customFormat="false" ht="15" hidden="false" customHeight="false" outlineLevel="0" collapsed="false">
      <c r="A65" s="19" t="s">
        <v>271</v>
      </c>
      <c r="B65" s="19" t="n">
        <v>22</v>
      </c>
      <c r="C65" s="57" t="n">
        <f aca="false">(Premissas!$E$18-Premissas!$E$14)*1.5</f>
        <v>2718</v>
      </c>
      <c r="D65" s="58" t="n">
        <f aca="false">IFERROR(VLOOKUP(LEFT(A65,3),Jan_Abril,2,0),IFERROR((VLOOKUP(LEFT(A65,3),Mai_Ago,2,0)),(VLOOKUP(LEFT(A65,3),Set_Dez,2,0))))</f>
        <v>1</v>
      </c>
      <c r="E65" s="57" t="n">
        <f aca="false">ROUND(C65*D65*Premissas!$A$49,0)</f>
        <v>1223</v>
      </c>
      <c r="F65" s="57" t="n">
        <f aca="false">ROUND(C65*D65*Premissas!$D$49,0)</f>
        <v>1495</v>
      </c>
      <c r="G65" s="59" t="n">
        <f aca="false">IF(RIGHT(A65,1)="1",Premissas!$C$38,IF(RIGHT(A65,1)="2",Premissas!$C$39,IF(RIGHT(A65,1)="3",Premissas!$C$40,IF(RIGHT(A65,1)="4",Premissas!$C$41,IF(RIGHT(A65,1)="5",Premissas!$C$42,"valor não encontrado")))))</f>
        <v>6</v>
      </c>
      <c r="H65" s="57" t="n">
        <f aca="false">IF(RIGHT(A65,1)="1",Premissas!$E$38,IF(RIGHT(A65,1)="2",Premissas!$E$39,IF(RIGHT(A65,1)="3",Premissas!$E$40,IF(RIGHT(A65,1)="4",Premissas!$E$41,IF(RIGHT(A65,1)="5",Premissas!$E$42,"valor não encontrado")))))</f>
        <v>120</v>
      </c>
      <c r="I65" s="60" t="n">
        <f aca="false">B65*E65*G65+F65*H65</f>
        <v>340836</v>
      </c>
      <c r="J65" s="60"/>
    </row>
    <row r="66" customFormat="false" ht="15" hidden="false" customHeight="false" outlineLevel="0" collapsed="false">
      <c r="A66" s="19" t="s">
        <v>272</v>
      </c>
      <c r="B66" s="19" t="n">
        <v>22</v>
      </c>
      <c r="C66" s="57" t="n">
        <f aca="false">(Premissas!$E$18-Premissas!$E$14)*1.5</f>
        <v>2718</v>
      </c>
      <c r="D66" s="58" t="n">
        <f aca="false">IFERROR(VLOOKUP(LEFT(A66,3),Jan_Abril,2,0),IFERROR((VLOOKUP(LEFT(A66,3),Mai_Ago,2,0)),(VLOOKUP(LEFT(A66,3),Set_Dez,2,0))))</f>
        <v>1</v>
      </c>
      <c r="E66" s="57" t="n">
        <f aca="false">ROUND(C66*D66*Premissas!$A$49,0)</f>
        <v>1223</v>
      </c>
      <c r="F66" s="57" t="n">
        <f aca="false">ROUND(C66*D66*Premissas!$D$49,0)</f>
        <v>1495</v>
      </c>
      <c r="G66" s="59" t="n">
        <f aca="false">IF(RIGHT(A66,1)="1",Premissas!$C$38,IF(RIGHT(A66,1)="2",Premissas!$C$39,IF(RIGHT(A66,1)="3",Premissas!$C$40,IF(RIGHT(A66,1)="4",Premissas!$C$41,IF(RIGHT(A66,1)="5",Premissas!$C$42,"valor não encontrado")))))</f>
        <v>6</v>
      </c>
      <c r="H66" s="57" t="n">
        <f aca="false">IF(RIGHT(A66,1)="1",Premissas!$E$38,IF(RIGHT(A66,1)="2",Premissas!$E$39,IF(RIGHT(A66,1)="3",Premissas!$E$40,IF(RIGHT(A66,1)="4",Premissas!$E$41,IF(RIGHT(A66,1)="5",Premissas!$E$42,"valor não encontrado")))))</f>
        <v>120</v>
      </c>
      <c r="I66" s="60" t="n">
        <f aca="false">B66*E66*G66+F66*H66</f>
        <v>340836</v>
      </c>
      <c r="J66" s="60"/>
    </row>
    <row r="67" customFormat="false" ht="15" hidden="false" customHeight="false" outlineLevel="0" collapsed="false">
      <c r="A67" s="19" t="s">
        <v>273</v>
      </c>
      <c r="B67" s="19" t="n">
        <v>22</v>
      </c>
      <c r="C67" s="57" t="n">
        <f aca="false">(Premissas!$E$18-Premissas!$E$14)*1.5</f>
        <v>2718</v>
      </c>
      <c r="D67" s="58" t="n">
        <f aca="false">IFERROR(VLOOKUP(LEFT(A67,3),Jan_Abril,2,0),IFERROR((VLOOKUP(LEFT(A67,3),Mai_Ago,2,0)),(VLOOKUP(LEFT(A67,3),Set_Dez,2,0))))</f>
        <v>1</v>
      </c>
      <c r="E67" s="57" t="n">
        <f aca="false">ROUND(C67*D67*Premissas!$A$49,0)</f>
        <v>1223</v>
      </c>
      <c r="F67" s="57" t="n">
        <f aca="false">ROUND(C67*D67*Premissas!$D$49,0)</f>
        <v>1495</v>
      </c>
      <c r="G67" s="59" t="n">
        <f aca="false">IF(RIGHT(A67,1)="1",Premissas!$C$38,IF(RIGHT(A67,1)="2",Premissas!$C$39,IF(RIGHT(A67,1)="3",Premissas!$C$40,IF(RIGHT(A67,1)="4",Premissas!$C$41,IF(RIGHT(A67,1)="5",Premissas!$C$42,"valor não encontrado")))))</f>
        <v>6</v>
      </c>
      <c r="H67" s="57" t="n">
        <f aca="false">IF(RIGHT(A67,1)="1",Premissas!$E$38,IF(RIGHT(A67,1)="2",Premissas!$E$39,IF(RIGHT(A67,1)="3",Premissas!$E$40,IF(RIGHT(A67,1)="4",Premissas!$E$41,IF(RIGHT(A67,1)="5",Premissas!$E$42,"valor não encontrado")))))</f>
        <v>120</v>
      </c>
      <c r="I67" s="60" t="n">
        <f aca="false">B67*E67*G67+F67*H67</f>
        <v>340836</v>
      </c>
      <c r="J67" s="60"/>
    </row>
    <row r="68" customFormat="false" ht="15" hidden="false" customHeight="false" outlineLevel="0" collapsed="false">
      <c r="A68" s="19" t="s">
        <v>274</v>
      </c>
      <c r="B68" s="19" t="n">
        <v>22</v>
      </c>
      <c r="C68" s="57" t="n">
        <f aca="false">(Premissas!$E$18-Premissas!$E$14)*1.5</f>
        <v>2718</v>
      </c>
      <c r="D68" s="58" t="n">
        <f aca="false">IFERROR(VLOOKUP(LEFT(A68,3),Jan_Abril,2,0),IFERROR((VLOOKUP(LEFT(A68,3),Mai_Ago,2,0)),(VLOOKUP(LEFT(A68,3),Set_Dez,2,0))))</f>
        <v>1</v>
      </c>
      <c r="E68" s="57" t="n">
        <f aca="false">ROUND(C68*D68*Premissas!$A$49,0)</f>
        <v>1223</v>
      </c>
      <c r="F68" s="57" t="n">
        <f aca="false">ROUND(C68*D68*Premissas!$D$49,0)</f>
        <v>1495</v>
      </c>
      <c r="G68" s="59" t="n">
        <f aca="false">IF(RIGHT(A68,1)="1",Premissas!$C$38,IF(RIGHT(A68,1)="2",Premissas!$C$39,IF(RIGHT(A68,1)="3",Premissas!$C$40,IF(RIGHT(A68,1)="4",Premissas!$C$41,IF(RIGHT(A68,1)="5",Premissas!$C$42,"valor não encontrado")))))</f>
        <v>6</v>
      </c>
      <c r="H68" s="57" t="n">
        <f aca="false">IF(RIGHT(A68,1)="1",Premissas!$E$38,IF(RIGHT(A68,1)="2",Premissas!$E$39,IF(RIGHT(A68,1)="3",Premissas!$E$40,IF(RIGHT(A68,1)="4",Premissas!$E$41,IF(RIGHT(A68,1)="5",Premissas!$E$42,"valor não encontrado")))))</f>
        <v>120</v>
      </c>
      <c r="I68" s="60" t="n">
        <f aca="false">B68*E68*G68+F68*H68</f>
        <v>340836</v>
      </c>
      <c r="J68" s="60"/>
    </row>
    <row r="69" customFormat="false" ht="15" hidden="false" customHeight="false" outlineLevel="0" collapsed="false">
      <c r="A69" s="19" t="s">
        <v>275</v>
      </c>
      <c r="B69" s="19" t="n">
        <v>22</v>
      </c>
      <c r="C69" s="57" t="n">
        <f aca="false">(Premissas!$E$18-Premissas!$E$14)*1.5</f>
        <v>2718</v>
      </c>
      <c r="D69" s="58" t="n">
        <f aca="false">IFERROR(VLOOKUP(LEFT(A69,3),Jan_Abril,2,0),IFERROR((VLOOKUP(LEFT(A69,3),Mai_Ago,2,0)),(VLOOKUP(LEFT(A69,3),Set_Dez,2,0))))</f>
        <v>0.6</v>
      </c>
      <c r="E69" s="57" t="n">
        <f aca="false">ROUND(C69*D69*Premissas!$A$49,0)</f>
        <v>734</v>
      </c>
      <c r="F69" s="57" t="n">
        <f aca="false">ROUND(C69*D69*Premissas!$D$49,0)</f>
        <v>897</v>
      </c>
      <c r="G69" s="59" t="n">
        <f aca="false">IF(RIGHT(A69,1)="1",Premissas!$C$38,IF(RIGHT(A69,1)="2",Premissas!$C$39,IF(RIGHT(A69,1)="3",Premissas!$C$40,IF(RIGHT(A69,1)="4",Premissas!$C$41,IF(RIGHT(A69,1)="5",Premissas!$C$42,"valor não encontrado")))))</f>
        <v>6</v>
      </c>
      <c r="H69" s="57" t="n">
        <f aca="false">IF(RIGHT(A69,1)="1",Premissas!$E$38,IF(RIGHT(A69,1)="2",Premissas!$E$39,IF(RIGHT(A69,1)="3",Premissas!$E$40,IF(RIGHT(A69,1)="4",Premissas!$E$41,IF(RIGHT(A69,1)="5",Premissas!$E$42,"valor não encontrado")))))</f>
        <v>120</v>
      </c>
      <c r="I69" s="60" t="n">
        <f aca="false">B69*E69*G69+F69*H69</f>
        <v>204528</v>
      </c>
      <c r="J69" s="60"/>
    </row>
    <row r="71" customFormat="false" ht="15" hidden="false" customHeight="false" outlineLevel="0" collapsed="false">
      <c r="A71" s="8" t="s">
        <v>276</v>
      </c>
      <c r="B71" s="8"/>
      <c r="C71" s="8"/>
      <c r="D71" s="8"/>
      <c r="E71" s="8"/>
      <c r="F71" s="8"/>
      <c r="G71" s="8"/>
    </row>
    <row r="72" customFormat="false" ht="15" hidden="false" customHeight="false" outlineLevel="0" collapsed="false">
      <c r="A72" s="8" t="s">
        <v>277</v>
      </c>
      <c r="B72" s="8" t="s">
        <v>214</v>
      </c>
      <c r="C72" s="8"/>
      <c r="D72" s="8" t="s">
        <v>278</v>
      </c>
      <c r="E72" s="8"/>
      <c r="F72" s="8" t="s">
        <v>214</v>
      </c>
      <c r="G72" s="8"/>
    </row>
    <row r="73" customFormat="false" ht="15" hidden="false" customHeight="false" outlineLevel="0" collapsed="false">
      <c r="A73" s="8"/>
      <c r="B73" s="8" t="s">
        <v>101</v>
      </c>
      <c r="C73" s="8" t="s">
        <v>102</v>
      </c>
      <c r="D73" s="8"/>
      <c r="E73" s="8"/>
      <c r="F73" s="8"/>
      <c r="G73" s="8"/>
    </row>
    <row r="74" customFormat="false" ht="15" hidden="false" customHeight="false" outlineLevel="0" collapsed="false">
      <c r="A74" s="19" t="s">
        <v>279</v>
      </c>
      <c r="B74" s="59" t="n">
        <f aca="false">IF(RIGHT(A74,1)="1",Premissas!$C$38,IF(RIGHT(A74,1)="2",Premissas!$C$39,IF(RIGHT(A74,1)="3",Premissas!$C$40,IF(RIGHT(A74,1)="4",Premissas!$C$41,IF(RIGHT(A74,1)="5",Premissas!$C$42,"valor não encontrado")))))</f>
        <v>4</v>
      </c>
      <c r="C74" s="57" t="n">
        <f aca="false">IF(RIGHT(A74,1)="1",Premissas!$E$38,IF(RIGHT(A74,1)="2",Premissas!$E$39,IF(RIGHT(A74,1)="3",Premissas!$E$40,IF(RIGHT(A74,1)="4",Premissas!$E$41,IF(RIGHT(A74,1)="5",Premissas!$E$42,"valor não encontrado")))))</f>
        <v>80</v>
      </c>
      <c r="D74" s="57" t="n">
        <v>12</v>
      </c>
      <c r="E74" s="57"/>
      <c r="F74" s="60" t="n">
        <f aca="false">SUM(I10:I21)</f>
        <v>2249504</v>
      </c>
      <c r="G74" s="60"/>
    </row>
    <row r="75" customFormat="false" ht="15" hidden="false" customHeight="false" outlineLevel="0" collapsed="false">
      <c r="A75" s="19" t="s">
        <v>280</v>
      </c>
      <c r="B75" s="59" t="n">
        <f aca="false">IF(RIGHT(A75,1)="1",Premissas!$C$38,IF(RIGHT(A75,1)="2",Premissas!$C$39,IF(RIGHT(A75,1)="3",Premissas!$C$40,IF(RIGHT(A75,1)="4",Premissas!$C$41,IF(RIGHT(A75,1)="5",Premissas!$C$42,"valor não encontrado")))))</f>
        <v>4.5</v>
      </c>
      <c r="C75" s="57" t="n">
        <f aca="false">IF(RIGHT(A75,1)="1",Premissas!$E$38,IF(RIGHT(A75,1)="2",Premissas!$E$39,IF(RIGHT(A75,1)="3",Premissas!$E$40,IF(RIGHT(A75,1)="4",Premissas!$E$41,IF(RIGHT(A75,1)="5",Premissas!$E$42,"valor não encontrado")))))</f>
        <v>90</v>
      </c>
      <c r="D75" s="57" t="n">
        <v>12</v>
      </c>
      <c r="E75" s="57"/>
      <c r="F75" s="60" t="n">
        <f aca="false">SUM(I22:I33)</f>
        <v>2684088</v>
      </c>
      <c r="G75" s="60"/>
    </row>
    <row r="76" customFormat="false" ht="15" hidden="false" customHeight="false" outlineLevel="0" collapsed="false">
      <c r="A76" s="19" t="s">
        <v>281</v>
      </c>
      <c r="B76" s="59" t="n">
        <f aca="false">IF(RIGHT(A76,1)="1",Premissas!$C$38,IF(RIGHT(A76,1)="2",Premissas!$C$39,IF(RIGHT(A76,1)="3",Premissas!$C$40,IF(RIGHT(A76,1)="4",Premissas!$C$41,IF(RIGHT(A76,1)="5",Premissas!$C$42,"valor não encontrado")))))</f>
        <v>5</v>
      </c>
      <c r="C76" s="57" t="n">
        <f aca="false">IF(RIGHT(A76,1)="1",Premissas!$E$38,IF(RIGHT(A76,1)="2",Premissas!$E$39,IF(RIGHT(A76,1)="3",Premissas!$E$40,IF(RIGHT(A76,1)="4",Premissas!$E$41,IF(RIGHT(A76,1)="5",Premissas!$E$42,"valor não encontrado")))))</f>
        <v>100</v>
      </c>
      <c r="D76" s="57" t="n">
        <v>12</v>
      </c>
      <c r="E76" s="57"/>
      <c r="F76" s="60" t="n">
        <f aca="false">SUM(I34:I45)</f>
        <v>2982320</v>
      </c>
      <c r="G76" s="60"/>
    </row>
    <row r="77" customFormat="false" ht="15" hidden="false" customHeight="false" outlineLevel="0" collapsed="false">
      <c r="A77" s="19" t="s">
        <v>282</v>
      </c>
      <c r="B77" s="59" t="n">
        <f aca="false">IF(RIGHT(A77,1)="1",Premissas!$C$38,IF(RIGHT(A77,1)="2",Premissas!$C$39,IF(RIGHT(A77,1)="3",Premissas!$C$40,IF(RIGHT(A77,1)="4",Premissas!$C$41,IF(RIGHT(A77,1)="5",Premissas!$C$42,"valor não encontrado")))))</f>
        <v>5.5</v>
      </c>
      <c r="C77" s="57" t="n">
        <f aca="false">IF(RIGHT(A77,1)="1",Premissas!$E$38,IF(RIGHT(A77,1)="2",Premissas!$E$39,IF(RIGHT(A77,1)="3",Premissas!$E$40,IF(RIGHT(A77,1)="4",Premissas!$E$41,IF(RIGHT(A77,1)="5",Premissas!$E$42,"valor não encontrado")))))</f>
        <v>110</v>
      </c>
      <c r="D77" s="57" t="n">
        <v>12</v>
      </c>
      <c r="E77" s="57"/>
      <c r="F77" s="60" t="n">
        <f aca="false">SUM(I46:I57)</f>
        <v>3280552</v>
      </c>
      <c r="G77" s="60"/>
    </row>
    <row r="78" customFormat="false" ht="15" hidden="false" customHeight="false" outlineLevel="0" collapsed="false">
      <c r="A78" s="19" t="s">
        <v>283</v>
      </c>
      <c r="B78" s="59" t="n">
        <f aca="false">IF(RIGHT(A78,1)="1",Premissas!$C$38,IF(RIGHT(A78,1)="2",Premissas!$C$39,IF(RIGHT(A78,1)="3",Premissas!$C$40,IF(RIGHT(A78,1)="4",Premissas!$C$41,IF(RIGHT(A78,1)="5",Premissas!$C$42,"valor não encontrado")))))</f>
        <v>6</v>
      </c>
      <c r="C78" s="57" t="n">
        <f aca="false">IF(RIGHT(A78,1)="1",Premissas!$E$38,IF(RIGHT(A78,1)="2",Premissas!$E$39,IF(RIGHT(A78,1)="3",Premissas!$E$40,IF(RIGHT(A78,1)="4",Premissas!$E$41,IF(RIGHT(A78,1)="5",Premissas!$E$42,"valor não encontrado")))))</f>
        <v>120</v>
      </c>
      <c r="D78" s="57" t="n">
        <v>12</v>
      </c>
      <c r="E78" s="57"/>
      <c r="F78" s="60" t="n">
        <f aca="false">SUM(I58:I69)</f>
        <v>3578784</v>
      </c>
      <c r="G78" s="60"/>
    </row>
    <row r="79" customFormat="false" ht="15" hidden="false" customHeight="false" outlineLevel="0" collapsed="false">
      <c r="A79" s="57" t="str">
        <f aca="false">"TOTAL DE "&amp;D79&amp;" MESES"</f>
        <v>TOTAL DE 60 MESES</v>
      </c>
      <c r="B79" s="57"/>
      <c r="C79" s="57"/>
      <c r="D79" s="57" t="n">
        <f aca="false">SUM(D74:D78)</f>
        <v>60</v>
      </c>
      <c r="E79" s="57"/>
      <c r="F79" s="60" t="n">
        <f aca="false">SUM(F74:F78)</f>
        <v>14775248</v>
      </c>
      <c r="G79" s="60"/>
    </row>
    <row r="81" customFormat="false" ht="15" hidden="false" customHeight="false" outlineLevel="0" collapsed="false">
      <c r="A81" s="20" t="s">
        <v>69</v>
      </c>
      <c r="B81" s="20"/>
      <c r="C81" s="20"/>
      <c r="D81" s="20"/>
      <c r="E81" s="20"/>
      <c r="F81" s="20"/>
      <c r="G81" s="20"/>
      <c r="H81" s="20"/>
      <c r="I81" s="20"/>
      <c r="J81" s="20"/>
    </row>
    <row r="82" customFormat="false" ht="42.75" hidden="false" customHeight="true" outlineLevel="0" collapsed="false">
      <c r="A82" s="21" t="s">
        <v>284</v>
      </c>
      <c r="B82" s="21"/>
      <c r="C82" s="21"/>
      <c r="D82" s="21"/>
      <c r="E82" s="21"/>
      <c r="F82" s="21"/>
      <c r="G82" s="21"/>
      <c r="H82" s="21"/>
      <c r="I82" s="21"/>
      <c r="J82" s="21"/>
    </row>
    <row r="83" customFormat="false" ht="24.75" hidden="false" customHeight="true" outlineLevel="0" collapsed="false">
      <c r="A83" s="21" t="s">
        <v>285</v>
      </c>
      <c r="B83" s="21"/>
      <c r="C83" s="21"/>
      <c r="D83" s="21"/>
      <c r="E83" s="21"/>
      <c r="F83" s="21"/>
      <c r="G83" s="21"/>
      <c r="H83" s="21"/>
      <c r="I83" s="21"/>
      <c r="J83" s="21"/>
    </row>
    <row r="84" customFormat="false" ht="45" hidden="false" customHeight="true" outlineLevel="0" collapsed="false">
      <c r="A84" s="21" t="s">
        <v>286</v>
      </c>
      <c r="B84" s="21"/>
      <c r="C84" s="21"/>
      <c r="D84" s="21"/>
      <c r="E84" s="21"/>
      <c r="F84" s="21"/>
      <c r="G84" s="21"/>
      <c r="H84" s="21"/>
      <c r="I84" s="21"/>
      <c r="J84" s="21"/>
    </row>
    <row r="86" customFormat="false" ht="15" hidden="false" customHeight="false" outlineLevel="0" collapsed="false">
      <c r="A86" s="20" t="s">
        <v>287</v>
      </c>
      <c r="B86" s="20"/>
      <c r="C86" s="20"/>
      <c r="D86" s="20"/>
      <c r="E86" s="20"/>
      <c r="F86" s="20"/>
      <c r="G86" s="20"/>
      <c r="H86" s="20"/>
      <c r="I86" s="20"/>
      <c r="J86" s="20"/>
    </row>
    <row r="87" customFormat="false" ht="20.25" hidden="false" customHeight="true" outlineLevel="0" collapsed="false">
      <c r="A87" s="21" t="s">
        <v>288</v>
      </c>
      <c r="B87" s="21"/>
      <c r="C87" s="21"/>
      <c r="D87" s="21"/>
      <c r="E87" s="21"/>
      <c r="F87" s="21"/>
      <c r="G87" s="21"/>
      <c r="H87" s="21"/>
      <c r="I87" s="21"/>
      <c r="J87" s="21"/>
    </row>
    <row r="88" customFormat="false" ht="16.5" hidden="false" customHeight="true" outlineLevel="0" collapsed="false">
      <c r="A88" s="21" t="s">
        <v>289</v>
      </c>
      <c r="B88" s="21"/>
      <c r="C88" s="21"/>
      <c r="D88" s="21"/>
      <c r="E88" s="21"/>
      <c r="F88" s="21"/>
      <c r="G88" s="21"/>
      <c r="H88" s="21"/>
      <c r="I88" s="21"/>
      <c r="J88" s="21"/>
    </row>
    <row r="89" customFormat="false" ht="31.5" hidden="false" customHeight="true" outlineLevel="0" collapsed="false">
      <c r="A89" s="21" t="s">
        <v>290</v>
      </c>
      <c r="B89" s="21"/>
      <c r="C89" s="21"/>
      <c r="D89" s="21"/>
      <c r="E89" s="21"/>
      <c r="F89" s="21"/>
      <c r="G89" s="21"/>
      <c r="H89" s="21"/>
      <c r="I89" s="21"/>
      <c r="J89" s="21"/>
    </row>
  </sheetData>
  <sheetProtection sheet="true" password="e536" objects="true" scenarios="true" formatColumns="false" formatRows="false"/>
  <mergeCells count="94">
    <mergeCell ref="A7:J7"/>
    <mergeCell ref="A8:A9"/>
    <mergeCell ref="B8:B9"/>
    <mergeCell ref="C8:C9"/>
    <mergeCell ref="D8:D9"/>
    <mergeCell ref="E8:F8"/>
    <mergeCell ref="G8:H8"/>
    <mergeCell ref="I8:J9"/>
    <mergeCell ref="I10:J10"/>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I64:J64"/>
    <mergeCell ref="I65:J65"/>
    <mergeCell ref="I66:J66"/>
    <mergeCell ref="I67:J67"/>
    <mergeCell ref="I68:J68"/>
    <mergeCell ref="I69:J69"/>
    <mergeCell ref="A71:G71"/>
    <mergeCell ref="A72:A73"/>
    <mergeCell ref="B72:C72"/>
    <mergeCell ref="D72:E73"/>
    <mergeCell ref="F72:G73"/>
    <mergeCell ref="D74:E74"/>
    <mergeCell ref="F74:G74"/>
    <mergeCell ref="D75:E75"/>
    <mergeCell ref="F75:G75"/>
    <mergeCell ref="D76:E76"/>
    <mergeCell ref="F76:G76"/>
    <mergeCell ref="D77:E77"/>
    <mergeCell ref="F77:G77"/>
    <mergeCell ref="D78:E78"/>
    <mergeCell ref="F78:G78"/>
    <mergeCell ref="A79:C79"/>
    <mergeCell ref="D79:E79"/>
    <mergeCell ref="F79:G79"/>
    <mergeCell ref="A81:J81"/>
    <mergeCell ref="A82:J82"/>
    <mergeCell ref="A83:J83"/>
    <mergeCell ref="A84:J84"/>
    <mergeCell ref="A86:J86"/>
    <mergeCell ref="A87:J87"/>
    <mergeCell ref="A88:J88"/>
    <mergeCell ref="A89:J89"/>
  </mergeCells>
  <hyperlinks>
    <hyperlink ref="K7" location="Início!A7" display="Início"/>
    <hyperlink ref="L7" location="'Inv. Inicial'!A7" display="Voltar"/>
    <hyperlink ref="M7" location="Financeiro.!A7" display="Avançar"/>
  </hyperlinks>
  <printOptions headings="false" gridLines="false" gridLinesSet="true" horizontalCentered="true" verticalCentered="false"/>
  <pageMargins left="0.511805555555555" right="0.511805555555555"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Roman,Normal"&amp;10RELATÓRIO X VAGAS X 
TARIFA X RECEITA&amp;C&amp;"Times New Roman,Normal"&amp;10&lt;Inserir nome da empresa&gt;
&lt;Inserir endereço da empresa&gt;
&lt;Inserir telefone da empresa&gt;
&lt;Inserir correio eletrônico da empresa&gt;&amp;R&amp;"Times New Roman,Normal"&amp;10&amp;P/&amp;N</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1:89"/>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8" topLeftCell="A9" activePane="bottomLeft" state="frozen"/>
      <selection pane="topLeft" activeCell="A1" activeCellId="0" sqref="A1"/>
      <selection pane="bottomLeft" activeCell="A7" activeCellId="0" sqref="A7"/>
    </sheetView>
  </sheetViews>
  <sheetFormatPr defaultRowHeight="12.75"/>
  <cols>
    <col collapsed="false" hidden="false" max="1" min="1" style="61" width="9.04591836734694"/>
    <col collapsed="false" hidden="false" max="2" min="2" style="61" width="5.26530612244898"/>
    <col collapsed="false" hidden="false" max="3" min="3" style="61" width="10.6632653061225"/>
    <col collapsed="false" hidden="false" max="4" min="4" style="61" width="9.71938775510204"/>
    <col collapsed="false" hidden="false" max="5" min="5" style="61" width="9.85204081632653"/>
    <col collapsed="false" hidden="false" max="6" min="6" style="61" width="5.39795918367347"/>
    <col collapsed="false" hidden="false" max="7" min="7" style="61" width="8.50510204081633"/>
    <col collapsed="false" hidden="false" max="8" min="8" style="61" width="6.3469387755102"/>
    <col collapsed="false" hidden="false" max="9" min="9" style="61" width="9.85204081632653"/>
    <col collapsed="false" hidden="false" max="10" min="10" style="61" width="10.6632653061225"/>
    <col collapsed="false" hidden="false" max="11" min="11" style="61" width="4.32142857142857"/>
    <col collapsed="false" hidden="false" max="12" min="12" style="61" width="9.85204081632653"/>
    <col collapsed="false" hidden="false" max="13" min="13" style="61" width="10.6632653061225"/>
    <col collapsed="false" hidden="false" max="14" min="14" style="61" width="11.4744897959184"/>
    <col collapsed="false" hidden="false" max="1025" min="15" style="61" width="9.04591836734694"/>
  </cols>
  <sheetData>
    <row r="1" customFormat="false" ht="12.75" hidden="false" customHeight="false" outlineLevel="0" collapsed="false">
      <c r="A1" s="2" t="str">
        <f aca="false">Início!A1</f>
        <v>RAZÃO SOCIAL DA EMPRESA:</v>
      </c>
      <c r="B1" s="2"/>
      <c r="C1" s="2"/>
      <c r="D1" s="2"/>
      <c r="E1" s="2"/>
      <c r="F1" s="2"/>
      <c r="G1" s="2"/>
      <c r="H1" s="2"/>
      <c r="I1" s="2"/>
      <c r="J1" s="2"/>
      <c r="K1" s="62"/>
      <c r="L1" s="62"/>
      <c r="M1" s="62"/>
      <c r="N1" s="62"/>
    </row>
    <row r="2" customFormat="false" ht="12.75" hidden="false" customHeight="false" outlineLevel="0" collapsed="false">
      <c r="A2" s="2" t="str">
        <f aca="false">Início!A2</f>
        <v>Endereço:</v>
      </c>
      <c r="B2" s="2"/>
      <c r="C2" s="2"/>
      <c r="D2" s="2"/>
      <c r="E2" s="2"/>
      <c r="F2" s="2"/>
      <c r="G2" s="2"/>
      <c r="H2" s="2"/>
      <c r="I2" s="2"/>
      <c r="J2" s="2"/>
      <c r="K2" s="62"/>
      <c r="L2" s="62"/>
      <c r="M2" s="62"/>
      <c r="N2" s="62"/>
    </row>
    <row r="3" customFormat="false" ht="12.75" hidden="false" customHeight="false" outlineLevel="0" collapsed="false">
      <c r="A3" s="2" t="str">
        <f aca="false">Início!A3</f>
        <v>CNPJ:</v>
      </c>
      <c r="B3" s="2"/>
      <c r="C3" s="2"/>
      <c r="D3" s="2"/>
      <c r="E3" s="2"/>
      <c r="F3" s="2"/>
      <c r="G3" s="2"/>
      <c r="H3" s="2"/>
      <c r="I3" s="2"/>
      <c r="J3" s="2"/>
      <c r="K3" s="62"/>
      <c r="L3" s="62"/>
      <c r="M3" s="62"/>
      <c r="N3" s="62"/>
    </row>
    <row r="4" customFormat="false" ht="12.75" hidden="false" customHeight="false" outlineLevel="0" collapsed="false">
      <c r="A4" s="2" t="str">
        <f aca="false">Início!A4</f>
        <v>Telefone</v>
      </c>
      <c r="B4" s="2"/>
      <c r="C4" s="2"/>
      <c r="D4" s="2"/>
      <c r="E4" s="2"/>
      <c r="F4" s="2"/>
      <c r="G4" s="2"/>
      <c r="H4" s="2"/>
      <c r="I4" s="2"/>
      <c r="J4" s="2"/>
      <c r="K4" s="62"/>
      <c r="L4" s="62"/>
      <c r="M4" s="62"/>
      <c r="N4" s="62"/>
    </row>
    <row r="5" customFormat="false" ht="12.75" hidden="false" customHeight="false" outlineLevel="0" collapsed="false">
      <c r="A5" s="2" t="str">
        <f aca="false">Início!A5</f>
        <v>E-mail:</v>
      </c>
      <c r="B5" s="2"/>
      <c r="C5" s="2"/>
      <c r="D5" s="2"/>
      <c r="E5" s="2"/>
      <c r="F5" s="2"/>
      <c r="G5" s="2"/>
      <c r="H5" s="2"/>
      <c r="I5" s="2"/>
      <c r="J5" s="2"/>
      <c r="K5" s="62"/>
      <c r="L5" s="62"/>
      <c r="M5" s="62"/>
      <c r="N5" s="62"/>
    </row>
    <row r="6" customFormat="false" ht="12.75" hidden="false" customHeight="false" outlineLevel="0" collapsed="false">
      <c r="A6" s="2"/>
      <c r="B6" s="2"/>
      <c r="C6" s="2"/>
      <c r="D6" s="2"/>
      <c r="E6" s="2"/>
      <c r="F6" s="2"/>
      <c r="G6" s="2"/>
      <c r="H6" s="2"/>
      <c r="I6" s="2"/>
      <c r="J6" s="2"/>
      <c r="K6" s="62"/>
      <c r="L6" s="62"/>
      <c r="M6" s="62"/>
      <c r="N6" s="62"/>
    </row>
    <row r="7" customFormat="false" ht="12.75" hidden="false" customHeight="false" outlineLevel="0" collapsed="false">
      <c r="A7" s="8" t="s">
        <v>291</v>
      </c>
      <c r="B7" s="8"/>
      <c r="C7" s="8"/>
      <c r="D7" s="8"/>
      <c r="E7" s="8"/>
      <c r="F7" s="8"/>
      <c r="G7" s="8"/>
      <c r="H7" s="8"/>
      <c r="I7" s="8"/>
      <c r="J7" s="8"/>
      <c r="K7" s="8"/>
      <c r="L7" s="8"/>
      <c r="M7" s="8"/>
      <c r="N7" s="8"/>
      <c r="O7" s="26" t="s">
        <v>12</v>
      </c>
      <c r="P7" s="13" t="s">
        <v>45</v>
      </c>
      <c r="Q7" s="5" t="s">
        <v>6</v>
      </c>
    </row>
    <row r="8" customFormat="false" ht="12.75" hidden="false" customHeight="false" outlineLevel="0" collapsed="false">
      <c r="A8" s="8" t="s">
        <v>209</v>
      </c>
      <c r="B8" s="8" t="s">
        <v>292</v>
      </c>
      <c r="C8" s="8" t="s">
        <v>293</v>
      </c>
      <c r="D8" s="8" t="s">
        <v>17</v>
      </c>
      <c r="E8" s="8" t="s">
        <v>294</v>
      </c>
      <c r="F8" s="8" t="s">
        <v>119</v>
      </c>
      <c r="G8" s="8" t="s">
        <v>295</v>
      </c>
      <c r="H8" s="8" t="s">
        <v>296</v>
      </c>
      <c r="I8" s="8" t="s">
        <v>297</v>
      </c>
      <c r="J8" s="8" t="s">
        <v>298</v>
      </c>
      <c r="K8" s="8" t="s">
        <v>299</v>
      </c>
      <c r="L8" s="63" t="s">
        <v>300</v>
      </c>
      <c r="M8" s="63" t="s">
        <v>301</v>
      </c>
      <c r="N8" s="63" t="s">
        <v>302</v>
      </c>
      <c r="O8" s="46"/>
    </row>
    <row r="9" customFormat="false" ht="12.75" hidden="false" customHeight="false" outlineLevel="0" collapsed="false">
      <c r="A9" s="19" t="str">
        <f aca="false">VxTxR!A10</f>
        <v>jan/ano01</v>
      </c>
      <c r="B9" s="64" t="n">
        <f aca="false">IF(RIGHT(A9,1)="1",Premissas!$C$38,IF(RIGHT(A9,1)="2",Premissas!$C$39,IF(RIGHT(A9,1)="3",Premissas!$C$40,IF(RIGHT(A9,1)="4",Premissas!$C$41,IF(RIGHT(A9,1)="5",Premissas!$C$42,"valor não encontrado")))))</f>
        <v>4</v>
      </c>
      <c r="C9" s="65" t="n">
        <f aca="false">VLOOKUP(A9,v_t_r,9,0)</f>
        <v>0</v>
      </c>
      <c r="D9" s="65" t="n">
        <f aca="false">'Inv. Inicial'!$J$32/6</f>
        <v>0</v>
      </c>
      <c r="E9" s="65" t="n">
        <f aca="false">VLOOKUP(O9,CFM,2,0)</f>
        <v>11977.7347926967</v>
      </c>
      <c r="F9" s="66" t="n">
        <f aca="false">'DI, Tri e Pag'!$H$18</f>
        <v>0.05334821</v>
      </c>
      <c r="G9" s="65" t="n">
        <f aca="false">E9*F9</f>
        <v>638.990711045088</v>
      </c>
      <c r="H9" s="66" t="n">
        <f aca="false">'DI, Tri e Pag'!$H$22</f>
        <v>0.0865</v>
      </c>
      <c r="I9" s="65" t="n">
        <f aca="false">C9*H9</f>
        <v>0</v>
      </c>
      <c r="J9" s="65" t="n">
        <f aca="false">C9-(D9+E9+G9+I9)</f>
        <v>-12616.7255037417</v>
      </c>
      <c r="K9" s="67" t="n">
        <f aca="false">'DI, Tri e Pag'!$H$26</f>
        <v>0.2</v>
      </c>
      <c r="L9" s="65" t="n">
        <f aca="false">IF(J9&gt;0,K9*J9,0)</f>
        <v>0</v>
      </c>
      <c r="M9" s="65" t="n">
        <f aca="false">J9-L9</f>
        <v>-12616.7255037417</v>
      </c>
      <c r="N9" s="68" t="n">
        <f aca="false">M9</f>
        <v>-12616.7255037417</v>
      </c>
      <c r="O9" s="69" t="n">
        <v>1</v>
      </c>
    </row>
    <row r="10" customFormat="false" ht="12.75" hidden="false" customHeight="false" outlineLevel="0" collapsed="false">
      <c r="A10" s="19" t="str">
        <f aca="false">VxTxR!A11</f>
        <v>fev/ano01</v>
      </c>
      <c r="B10" s="64" t="n">
        <f aca="false">IF(RIGHT(A10,1)="1",Premissas!$C$38,IF(RIGHT(A10,1)="2",Premissas!$C$39,IF(RIGHT(A10,1)="3",Premissas!$C$40,IF(RIGHT(A10,1)="4",Premissas!$C$41,IF(RIGHT(A10,1)="5",Premissas!$C$42,"valor não encontrado")))))</f>
        <v>4</v>
      </c>
      <c r="C10" s="65" t="n">
        <f aca="false">VLOOKUP(A10,v_t_r,9,0)</f>
        <v>159008</v>
      </c>
      <c r="D10" s="65" t="n">
        <f aca="false">'Inv. Inicial'!$J$32/6</f>
        <v>0</v>
      </c>
      <c r="E10" s="65" t="n">
        <f aca="false">VLOOKUP(O10,CFM,2,0)</f>
        <v>11977.7347926967</v>
      </c>
      <c r="F10" s="66" t="n">
        <f aca="false">'DI, Tri e Pag'!$H$18</f>
        <v>0.05334821</v>
      </c>
      <c r="G10" s="65" t="n">
        <f aca="false">E10*F10</f>
        <v>638.990711045088</v>
      </c>
      <c r="H10" s="66" t="n">
        <f aca="false">'DI, Tri e Pag'!$H$22</f>
        <v>0.0865</v>
      </c>
      <c r="I10" s="65" t="n">
        <f aca="false">C10*H10</f>
        <v>13754.192</v>
      </c>
      <c r="J10" s="65" t="n">
        <f aca="false">C10-(D10+E10+G10+I10)</f>
        <v>132637.082496258</v>
      </c>
      <c r="K10" s="67" t="n">
        <f aca="false">'DI, Tri e Pag'!$H$26</f>
        <v>0.2</v>
      </c>
      <c r="L10" s="65" t="n">
        <f aca="false">IF(J10&gt;0,K10*J10,0)</f>
        <v>26527.4164992516</v>
      </c>
      <c r="M10" s="65" t="n">
        <f aca="false">J10-L10</f>
        <v>106109.665997007</v>
      </c>
      <c r="N10" s="68" t="n">
        <f aca="false">M10+N9</f>
        <v>93492.9404932649</v>
      </c>
      <c r="O10" s="69" t="n">
        <v>1</v>
      </c>
    </row>
    <row r="11" customFormat="false" ht="12.75" hidden="false" customHeight="false" outlineLevel="0" collapsed="false">
      <c r="A11" s="19" t="str">
        <f aca="false">VxTxR!A12</f>
        <v>mar/ano01</v>
      </c>
      <c r="B11" s="64" t="n">
        <f aca="false">IF(RIGHT(A11,1)="1",Premissas!$C$38,IF(RIGHT(A11,1)="2",Premissas!$C$39,IF(RIGHT(A11,1)="3",Premissas!$C$40,IF(RIGHT(A11,1)="4",Premissas!$C$41,IF(RIGHT(A11,1)="5",Premissas!$C$42,"valor não encontrado")))))</f>
        <v>4</v>
      </c>
      <c r="C11" s="65" t="n">
        <f aca="false">VLOOKUP(A11,v_t_r,9,0)</f>
        <v>227224</v>
      </c>
      <c r="D11" s="65" t="n">
        <f aca="false">'Inv. Inicial'!$J$32/6</f>
        <v>0</v>
      </c>
      <c r="E11" s="65" t="n">
        <f aca="false">VLOOKUP(O11,CFM,2,0)</f>
        <v>11977.7347926967</v>
      </c>
      <c r="F11" s="66" t="n">
        <f aca="false">'DI, Tri e Pag'!$H$18</f>
        <v>0.05334821</v>
      </c>
      <c r="G11" s="65" t="n">
        <f aca="false">E11*F11</f>
        <v>638.990711045088</v>
      </c>
      <c r="H11" s="66" t="n">
        <f aca="false">'DI, Tri e Pag'!$H$22</f>
        <v>0.0865</v>
      </c>
      <c r="I11" s="65" t="n">
        <f aca="false">C11*H11</f>
        <v>19654.876</v>
      </c>
      <c r="J11" s="65" t="n">
        <f aca="false">C11-(D11+E11+G11+I11)</f>
        <v>194952.398496258</v>
      </c>
      <c r="K11" s="67" t="n">
        <f aca="false">'DI, Tri e Pag'!$H$26</f>
        <v>0.2</v>
      </c>
      <c r="L11" s="65" t="n">
        <f aca="false">IF(J11&gt;0,K11*J11,0)</f>
        <v>38990.4796992516</v>
      </c>
      <c r="M11" s="65" t="n">
        <f aca="false">J11-L11</f>
        <v>155961.918797007</v>
      </c>
      <c r="N11" s="68" t="n">
        <f aca="false">M11+N10</f>
        <v>249454.859290271</v>
      </c>
      <c r="O11" s="69" t="n">
        <v>1</v>
      </c>
    </row>
    <row r="12" customFormat="false" ht="12.75" hidden="false" customHeight="false" outlineLevel="0" collapsed="false">
      <c r="A12" s="19" t="str">
        <f aca="false">VxTxR!A13</f>
        <v>abr/ano01</v>
      </c>
      <c r="B12" s="64" t="n">
        <f aca="false">IF(RIGHT(A12,1)="1",Premissas!$C$38,IF(RIGHT(A12,1)="2",Premissas!$C$39,IF(RIGHT(A12,1)="3",Premissas!$C$40,IF(RIGHT(A12,1)="4",Premissas!$C$41,IF(RIGHT(A12,1)="5",Premissas!$C$42,"valor não encontrado")))))</f>
        <v>4</v>
      </c>
      <c r="C12" s="65" t="n">
        <f aca="false">VLOOKUP(A12,v_t_r,9,0)</f>
        <v>227224</v>
      </c>
      <c r="D12" s="65" t="n">
        <f aca="false">'Inv. Inicial'!$J$32/6</f>
        <v>0</v>
      </c>
      <c r="E12" s="65" t="n">
        <f aca="false">VLOOKUP(O12,CFM,2,0)</f>
        <v>27.8666666666667</v>
      </c>
      <c r="F12" s="66" t="n">
        <f aca="false">'DI, Tri e Pag'!$H$18</f>
        <v>0.05334821</v>
      </c>
      <c r="G12" s="65" t="n">
        <f aca="false">E12*F12</f>
        <v>1.48663678533333</v>
      </c>
      <c r="H12" s="66" t="n">
        <f aca="false">'DI, Tri e Pag'!$H$22</f>
        <v>0.0865</v>
      </c>
      <c r="I12" s="65" t="n">
        <f aca="false">C12*H12</f>
        <v>19654.876</v>
      </c>
      <c r="J12" s="65" t="n">
        <f aca="false">C12-(D12+E12+G12+I12)</f>
        <v>207539.770696548</v>
      </c>
      <c r="K12" s="67" t="n">
        <f aca="false">'DI, Tri e Pag'!$H$26</f>
        <v>0.2</v>
      </c>
      <c r="L12" s="65" t="n">
        <f aca="false">IF(J12&gt;0,K12*J12,0)</f>
        <v>41507.9541393096</v>
      </c>
      <c r="M12" s="65" t="n">
        <f aca="false">J12-L12</f>
        <v>166031.816557238</v>
      </c>
      <c r="N12" s="68" t="n">
        <f aca="false">M12+N11</f>
        <v>415486.67584751</v>
      </c>
      <c r="O12" s="69" t="n">
        <v>2</v>
      </c>
    </row>
    <row r="13" customFormat="false" ht="12.75" hidden="false" customHeight="false" outlineLevel="0" collapsed="false">
      <c r="A13" s="19" t="str">
        <f aca="false">VxTxR!A14</f>
        <v>mai/ano01</v>
      </c>
      <c r="B13" s="64" t="n">
        <f aca="false">IF(RIGHT(A13,1)="1",Premissas!$C$38,IF(RIGHT(A13,1)="2",Premissas!$C$39,IF(RIGHT(A13,1)="3",Premissas!$C$40,IF(RIGHT(A13,1)="4",Premissas!$C$41,IF(RIGHT(A13,1)="5",Premissas!$C$42,"valor não encontrado")))))</f>
        <v>4</v>
      </c>
      <c r="C13" s="65" t="n">
        <f aca="false">VLOOKUP(A13,v_t_r,9,0)</f>
        <v>227224</v>
      </c>
      <c r="D13" s="65" t="n">
        <f aca="false">'Inv. Inicial'!$J$32/6</f>
        <v>0</v>
      </c>
      <c r="E13" s="65" t="n">
        <f aca="false">VLOOKUP(O13,CFM,2,0)</f>
        <v>27.8666666666667</v>
      </c>
      <c r="F13" s="66" t="n">
        <f aca="false">'DI, Tri e Pag'!$H$18</f>
        <v>0.05334821</v>
      </c>
      <c r="G13" s="65" t="n">
        <f aca="false">E13*F13</f>
        <v>1.48663678533333</v>
      </c>
      <c r="H13" s="66" t="n">
        <f aca="false">'DI, Tri e Pag'!$H$22</f>
        <v>0.0865</v>
      </c>
      <c r="I13" s="65" t="n">
        <f aca="false">C13*H13</f>
        <v>19654.876</v>
      </c>
      <c r="J13" s="65" t="n">
        <f aca="false">C13-(D13+E13+G13+I13)</f>
        <v>207539.770696548</v>
      </c>
      <c r="K13" s="67" t="n">
        <f aca="false">'DI, Tri e Pag'!$H$26</f>
        <v>0.2</v>
      </c>
      <c r="L13" s="65" t="n">
        <f aca="false">IF(J13&gt;0,K13*J13,0)</f>
        <v>41507.9541393096</v>
      </c>
      <c r="M13" s="65" t="n">
        <f aca="false">J13-L13</f>
        <v>166031.816557238</v>
      </c>
      <c r="N13" s="68" t="n">
        <f aca="false">M13+N12</f>
        <v>581518.492404748</v>
      </c>
      <c r="O13" s="69" t="n">
        <v>2</v>
      </c>
    </row>
    <row r="14" customFormat="false" ht="12.75" hidden="false" customHeight="false" outlineLevel="0" collapsed="false">
      <c r="A14" s="19" t="str">
        <f aca="false">VxTxR!A15</f>
        <v>jun/ano01</v>
      </c>
      <c r="B14" s="64" t="n">
        <f aca="false">IF(RIGHT(A14,1)="1",Premissas!$C$38,IF(RIGHT(A14,1)="2",Premissas!$C$39,IF(RIGHT(A14,1)="3",Premissas!$C$40,IF(RIGHT(A14,1)="4",Premissas!$C$41,IF(RIGHT(A14,1)="5",Premissas!$C$42,"valor não encontrado")))))</f>
        <v>4</v>
      </c>
      <c r="C14" s="65" t="n">
        <f aca="false">VLOOKUP(A14,v_t_r,9,0)</f>
        <v>227224</v>
      </c>
      <c r="D14" s="65" t="n">
        <f aca="false">'Inv. Inicial'!$J$32/6</f>
        <v>0</v>
      </c>
      <c r="E14" s="65" t="n">
        <f aca="false">VLOOKUP(O14,CFM,2,0)</f>
        <v>27.8666666666667</v>
      </c>
      <c r="F14" s="66" t="n">
        <f aca="false">'DI, Tri e Pag'!$H$18</f>
        <v>0.05334821</v>
      </c>
      <c r="G14" s="65" t="n">
        <f aca="false">E14*F14</f>
        <v>1.48663678533333</v>
      </c>
      <c r="H14" s="66" t="n">
        <f aca="false">'DI, Tri e Pag'!$H$22</f>
        <v>0.0865</v>
      </c>
      <c r="I14" s="65" t="n">
        <f aca="false">C14*H14</f>
        <v>19654.876</v>
      </c>
      <c r="J14" s="65" t="n">
        <f aca="false">C14-(D14+E14+G14+I14)</f>
        <v>207539.770696548</v>
      </c>
      <c r="K14" s="67" t="n">
        <f aca="false">'DI, Tri e Pag'!$H$26</f>
        <v>0.2</v>
      </c>
      <c r="L14" s="65" t="n">
        <f aca="false">IF(J14&gt;0,K14*J14,0)</f>
        <v>41507.9541393096</v>
      </c>
      <c r="M14" s="65" t="n">
        <f aca="false">J14-L14</f>
        <v>166031.816557238</v>
      </c>
      <c r="N14" s="68" t="n">
        <f aca="false">M14+N13</f>
        <v>747550.308961987</v>
      </c>
      <c r="O14" s="69" t="n">
        <v>2</v>
      </c>
    </row>
    <row r="15" customFormat="false" ht="12.75" hidden="false" customHeight="false" outlineLevel="0" collapsed="false">
      <c r="A15" s="19" t="str">
        <f aca="false">VxTxR!A16</f>
        <v>jul/ano01</v>
      </c>
      <c r="B15" s="64" t="n">
        <f aca="false">IF(RIGHT(A15,1)="1",Premissas!$C$38,IF(RIGHT(A15,1)="2",Premissas!$C$39,IF(RIGHT(A15,1)="3",Premissas!$C$40,IF(RIGHT(A15,1)="4",Premissas!$C$41,IF(RIGHT(A15,1)="5",Premissas!$C$42,"valor não encontrado")))))</f>
        <v>4</v>
      </c>
      <c r="C15" s="65" t="n">
        <f aca="false">VLOOKUP(A15,v_t_r,9,0)</f>
        <v>136352</v>
      </c>
      <c r="D15" s="70"/>
      <c r="E15" s="65" t="n">
        <f aca="false">VLOOKUP(O15,CFM,2,0)</f>
        <v>27.8666666666667</v>
      </c>
      <c r="F15" s="66" t="n">
        <f aca="false">'DI, Tri e Pag'!$H$18</f>
        <v>0.05334821</v>
      </c>
      <c r="G15" s="65" t="n">
        <f aca="false">E15*F15</f>
        <v>1.48663678533333</v>
      </c>
      <c r="H15" s="66" t="n">
        <f aca="false">'DI, Tri e Pag'!$H$22</f>
        <v>0.0865</v>
      </c>
      <c r="I15" s="65" t="n">
        <f aca="false">C15*H15</f>
        <v>11794.448</v>
      </c>
      <c r="J15" s="65" t="n">
        <f aca="false">C15-(D15+E15+G15+I15)</f>
        <v>124528.198696548</v>
      </c>
      <c r="K15" s="67" t="n">
        <f aca="false">'DI, Tri e Pag'!$H$26</f>
        <v>0.2</v>
      </c>
      <c r="L15" s="65" t="n">
        <f aca="false">IF(J15&gt;0,K15*J15,0)</f>
        <v>24905.6397393096</v>
      </c>
      <c r="M15" s="65" t="n">
        <f aca="false">J15-L15</f>
        <v>99622.5589572384</v>
      </c>
      <c r="N15" s="68" t="n">
        <f aca="false">M15+N14</f>
        <v>847172.867919225</v>
      </c>
      <c r="O15" s="69" t="n">
        <v>2</v>
      </c>
    </row>
    <row r="16" customFormat="false" ht="12.75" hidden="false" customHeight="false" outlineLevel="0" collapsed="false">
      <c r="A16" s="19" t="str">
        <f aca="false">VxTxR!A17</f>
        <v>ago/ano01</v>
      </c>
      <c r="B16" s="64" t="n">
        <f aca="false">IF(RIGHT(A16,1)="1",Premissas!$C$38,IF(RIGHT(A16,1)="2",Premissas!$C$39,IF(RIGHT(A16,1)="3",Premissas!$C$40,IF(RIGHT(A16,1)="4",Premissas!$C$41,IF(RIGHT(A16,1)="5",Premissas!$C$42,"valor não encontrado")))))</f>
        <v>4</v>
      </c>
      <c r="C16" s="65" t="n">
        <f aca="false">VLOOKUP(A16,v_t_r,9,0)</f>
        <v>227224</v>
      </c>
      <c r="D16" s="70"/>
      <c r="E16" s="65" t="n">
        <f aca="false">VLOOKUP(O16,CFM,2,0)</f>
        <v>27.8666666666667</v>
      </c>
      <c r="F16" s="66" t="n">
        <f aca="false">'DI, Tri e Pag'!$H$18</f>
        <v>0.05334821</v>
      </c>
      <c r="G16" s="65" t="n">
        <f aca="false">E16*F16</f>
        <v>1.48663678533333</v>
      </c>
      <c r="H16" s="66" t="n">
        <f aca="false">'DI, Tri e Pag'!$H$22</f>
        <v>0.0865</v>
      </c>
      <c r="I16" s="65" t="n">
        <f aca="false">C16*H16</f>
        <v>19654.876</v>
      </c>
      <c r="J16" s="65" t="n">
        <f aca="false">C16-(D16+E16+G16+I16)</f>
        <v>207539.770696548</v>
      </c>
      <c r="K16" s="67" t="n">
        <f aca="false">'DI, Tri e Pag'!$H$26</f>
        <v>0.2</v>
      </c>
      <c r="L16" s="65" t="n">
        <f aca="false">IF(J16&gt;0,K16*J16,0)</f>
        <v>41507.9541393096</v>
      </c>
      <c r="M16" s="65" t="n">
        <f aca="false">J16-L16</f>
        <v>166031.816557238</v>
      </c>
      <c r="N16" s="68" t="n">
        <f aca="false">M16+N15</f>
        <v>1013204.68447646</v>
      </c>
      <c r="O16" s="69" t="n">
        <v>2</v>
      </c>
    </row>
    <row r="17" customFormat="false" ht="12.75" hidden="false" customHeight="false" outlineLevel="0" collapsed="false">
      <c r="A17" s="19" t="str">
        <f aca="false">VxTxR!A18</f>
        <v>set/ano01</v>
      </c>
      <c r="B17" s="64" t="n">
        <f aca="false">IF(RIGHT(A17,1)="1",Premissas!$C$38,IF(RIGHT(A17,1)="2",Premissas!$C$39,IF(RIGHT(A17,1)="3",Premissas!$C$40,IF(RIGHT(A17,1)="4",Premissas!$C$41,IF(RIGHT(A17,1)="5",Premissas!$C$42,"valor não encontrado")))))</f>
        <v>4</v>
      </c>
      <c r="C17" s="65" t="n">
        <f aca="false">VLOOKUP(A17,v_t_r,9,0)</f>
        <v>227224</v>
      </c>
      <c r="D17" s="70"/>
      <c r="E17" s="65" t="n">
        <f aca="false">VLOOKUP(O17,CFM,2,0)</f>
        <v>27.8666666666667</v>
      </c>
      <c r="F17" s="66" t="n">
        <f aca="false">'DI, Tri e Pag'!$H$18</f>
        <v>0.05334821</v>
      </c>
      <c r="G17" s="65" t="n">
        <f aca="false">E17*F17</f>
        <v>1.48663678533333</v>
      </c>
      <c r="H17" s="66" t="n">
        <f aca="false">'DI, Tri e Pag'!$H$22</f>
        <v>0.0865</v>
      </c>
      <c r="I17" s="65" t="n">
        <f aca="false">C17*H17</f>
        <v>19654.876</v>
      </c>
      <c r="J17" s="65" t="n">
        <f aca="false">C17-(D17+E17+G17+I17)</f>
        <v>207539.770696548</v>
      </c>
      <c r="K17" s="67" t="n">
        <f aca="false">'DI, Tri e Pag'!$H$26</f>
        <v>0.2</v>
      </c>
      <c r="L17" s="65" t="n">
        <f aca="false">IF(J17&gt;0,K17*J17,0)</f>
        <v>41507.9541393096</v>
      </c>
      <c r="M17" s="65" t="n">
        <f aca="false">J17-L17</f>
        <v>166031.816557238</v>
      </c>
      <c r="N17" s="68" t="n">
        <f aca="false">M17+N16</f>
        <v>1179236.5010337</v>
      </c>
      <c r="O17" s="69" t="n">
        <v>2</v>
      </c>
    </row>
    <row r="18" customFormat="false" ht="12.75" hidden="false" customHeight="false" outlineLevel="0" collapsed="false">
      <c r="A18" s="19" t="str">
        <f aca="false">VxTxR!A19</f>
        <v>out/ano01</v>
      </c>
      <c r="B18" s="64" t="n">
        <f aca="false">IF(RIGHT(A18,1)="1",Premissas!$C$38,IF(RIGHT(A18,1)="2",Premissas!$C$39,IF(RIGHT(A18,1)="3",Premissas!$C$40,IF(RIGHT(A18,1)="4",Premissas!$C$41,IF(RIGHT(A18,1)="5",Premissas!$C$42,"valor não encontrado")))))</f>
        <v>4</v>
      </c>
      <c r="C18" s="65" t="n">
        <f aca="false">VLOOKUP(A18,v_t_r,9,0)</f>
        <v>227224</v>
      </c>
      <c r="D18" s="70"/>
      <c r="E18" s="65" t="n">
        <f aca="false">VLOOKUP(O18,CFM,2,0)</f>
        <v>27.8666666666667</v>
      </c>
      <c r="F18" s="66" t="n">
        <f aca="false">'DI, Tri e Pag'!$H$18</f>
        <v>0.05334821</v>
      </c>
      <c r="G18" s="65" t="n">
        <f aca="false">E18*F18</f>
        <v>1.48663678533333</v>
      </c>
      <c r="H18" s="66" t="n">
        <f aca="false">'DI, Tri e Pag'!$H$22</f>
        <v>0.0865</v>
      </c>
      <c r="I18" s="65" t="n">
        <f aca="false">C18*H18</f>
        <v>19654.876</v>
      </c>
      <c r="J18" s="65" t="n">
        <f aca="false">C18-(D18+E18+G18+I18)</f>
        <v>207539.770696548</v>
      </c>
      <c r="K18" s="67" t="n">
        <f aca="false">'DI, Tri e Pag'!$H$26</f>
        <v>0.2</v>
      </c>
      <c r="L18" s="65" t="n">
        <f aca="false">IF(J18&gt;0,K18*J18,0)</f>
        <v>41507.9541393096</v>
      </c>
      <c r="M18" s="65" t="n">
        <f aca="false">J18-L18</f>
        <v>166031.816557238</v>
      </c>
      <c r="N18" s="68" t="n">
        <f aca="false">M18+N17</f>
        <v>1345268.31759094</v>
      </c>
      <c r="O18" s="69" t="n">
        <v>2</v>
      </c>
    </row>
    <row r="19" customFormat="false" ht="12.75" hidden="false" customHeight="false" outlineLevel="0" collapsed="false">
      <c r="A19" s="19" t="str">
        <f aca="false">VxTxR!A20</f>
        <v>nov/ano01</v>
      </c>
      <c r="B19" s="64" t="n">
        <f aca="false">IF(RIGHT(A19,1)="1",Premissas!$C$38,IF(RIGHT(A19,1)="2",Premissas!$C$39,IF(RIGHT(A19,1)="3",Premissas!$C$40,IF(RIGHT(A19,1)="4",Premissas!$C$41,IF(RIGHT(A19,1)="5",Premissas!$C$42,"valor não encontrado")))))</f>
        <v>4</v>
      </c>
      <c r="C19" s="65" t="n">
        <f aca="false">VLOOKUP(A19,v_t_r,9,0)</f>
        <v>227224</v>
      </c>
      <c r="D19" s="70"/>
      <c r="E19" s="65" t="n">
        <f aca="false">VLOOKUP(O19,CFM,2,0)</f>
        <v>27.8666666666667</v>
      </c>
      <c r="F19" s="66" t="n">
        <f aca="false">'DI, Tri e Pag'!$H$18</f>
        <v>0.05334821</v>
      </c>
      <c r="G19" s="65" t="n">
        <f aca="false">E19*F19</f>
        <v>1.48663678533333</v>
      </c>
      <c r="H19" s="66" t="n">
        <f aca="false">'DI, Tri e Pag'!$H$22</f>
        <v>0.0865</v>
      </c>
      <c r="I19" s="65" t="n">
        <f aca="false">C19*H19</f>
        <v>19654.876</v>
      </c>
      <c r="J19" s="65" t="n">
        <f aca="false">C19-(D19+E19+G19+I19)</f>
        <v>207539.770696548</v>
      </c>
      <c r="K19" s="67" t="n">
        <f aca="false">'DI, Tri e Pag'!$H$26</f>
        <v>0.2</v>
      </c>
      <c r="L19" s="65" t="n">
        <f aca="false">IF(J19&gt;0,K19*J19,0)</f>
        <v>41507.9541393096</v>
      </c>
      <c r="M19" s="65" t="n">
        <f aca="false">J19-L19</f>
        <v>166031.816557238</v>
      </c>
      <c r="N19" s="68" t="n">
        <f aca="false">M19+N18</f>
        <v>1511300.13414818</v>
      </c>
      <c r="O19" s="69" t="n">
        <v>2</v>
      </c>
    </row>
    <row r="20" customFormat="false" ht="12.75" hidden="false" customHeight="false" outlineLevel="0" collapsed="false">
      <c r="A20" s="19" t="str">
        <f aca="false">VxTxR!A21</f>
        <v>dez/ano01</v>
      </c>
      <c r="B20" s="64" t="n">
        <f aca="false">IF(RIGHT(A20,1)="1",Premissas!$C$38,IF(RIGHT(A20,1)="2",Premissas!$C$39,IF(RIGHT(A20,1)="3",Premissas!$C$40,IF(RIGHT(A20,1)="4",Premissas!$C$41,IF(RIGHT(A20,1)="5",Premissas!$C$42,"valor não encontrado")))))</f>
        <v>4</v>
      </c>
      <c r="C20" s="65" t="n">
        <f aca="false">VLOOKUP(A20,v_t_r,9,0)</f>
        <v>136352</v>
      </c>
      <c r="D20" s="70"/>
      <c r="E20" s="65" t="n">
        <f aca="false">VLOOKUP(O20,CFM,2,0)</f>
        <v>27.8666666666667</v>
      </c>
      <c r="F20" s="66" t="n">
        <f aca="false">'DI, Tri e Pag'!$H$18</f>
        <v>0.05334821</v>
      </c>
      <c r="G20" s="65" t="n">
        <f aca="false">E20*F20</f>
        <v>1.48663678533333</v>
      </c>
      <c r="H20" s="66" t="n">
        <f aca="false">'DI, Tri e Pag'!$H$22</f>
        <v>0.0865</v>
      </c>
      <c r="I20" s="65" t="n">
        <f aca="false">C20*H20</f>
        <v>11794.448</v>
      </c>
      <c r="J20" s="65" t="n">
        <f aca="false">C20-(D20+E20+G20+I20)</f>
        <v>124528.198696548</v>
      </c>
      <c r="K20" s="67" t="n">
        <f aca="false">'DI, Tri e Pag'!$H$26</f>
        <v>0.2</v>
      </c>
      <c r="L20" s="65" t="n">
        <f aca="false">IF(J20&gt;0,K20*J20,0)</f>
        <v>24905.6397393096</v>
      </c>
      <c r="M20" s="65" t="n">
        <f aca="false">J20-L20</f>
        <v>99622.5589572384</v>
      </c>
      <c r="N20" s="68" t="n">
        <f aca="false">M20+N19</f>
        <v>1610922.69310542</v>
      </c>
      <c r="O20" s="69" t="n">
        <v>2</v>
      </c>
    </row>
    <row r="21" customFormat="false" ht="12.75" hidden="false" customHeight="false" outlineLevel="0" collapsed="false">
      <c r="A21" s="71" t="str">
        <f aca="false">VxTxR!A22</f>
        <v>jan/ano02</v>
      </c>
      <c r="B21" s="72" t="n">
        <f aca="false">IF(RIGHT(A21,1)="1",Premissas!$C$38,IF(RIGHT(A21,1)="2",Premissas!$C$39,IF(RIGHT(A21,1)="3",Premissas!$C$40,IF(RIGHT(A21,1)="4",Premissas!$C$41,IF(RIGHT(A21,1)="5",Premissas!$C$42,"valor não encontrado")))))</f>
        <v>4.5</v>
      </c>
      <c r="C21" s="73" t="n">
        <f aca="false">VLOOKUP(A21,v_t_r,9,0)</f>
        <v>153396</v>
      </c>
      <c r="D21" s="74"/>
      <c r="E21" s="73" t="n">
        <f aca="false">VLOOKUP(O21,CFM,2,0)</f>
        <v>27.8666666666667</v>
      </c>
      <c r="F21" s="75" t="n">
        <f aca="false">'DI, Tri e Pag'!$H$18</f>
        <v>0.05334821</v>
      </c>
      <c r="G21" s="73" t="n">
        <f aca="false">E21*F21</f>
        <v>1.48663678533333</v>
      </c>
      <c r="H21" s="75" t="n">
        <f aca="false">'DI, Tri e Pag'!$H$22</f>
        <v>0.0865</v>
      </c>
      <c r="I21" s="73" t="n">
        <f aca="false">C21*H21</f>
        <v>13268.754</v>
      </c>
      <c r="J21" s="73" t="n">
        <f aca="false">C21-(D21+E21+G21+I21)</f>
        <v>140097.892696548</v>
      </c>
      <c r="K21" s="76" t="n">
        <f aca="false">'DI, Tri e Pag'!$H$26</f>
        <v>0.2</v>
      </c>
      <c r="L21" s="73" t="n">
        <f aca="false">IF(J21&gt;0,K21*J21,0)</f>
        <v>28019.5785393096</v>
      </c>
      <c r="M21" s="73" t="n">
        <f aca="false">J21-L21</f>
        <v>112078.314157238</v>
      </c>
      <c r="N21" s="77" t="n">
        <f aca="false">M21+N20</f>
        <v>1723001.00726266</v>
      </c>
      <c r="O21" s="69" t="n">
        <v>2</v>
      </c>
    </row>
    <row r="22" customFormat="false" ht="12.75" hidden="false" customHeight="false" outlineLevel="0" collapsed="false">
      <c r="A22" s="71" t="str">
        <f aca="false">VxTxR!A23</f>
        <v>fev/ano02</v>
      </c>
      <c r="B22" s="72" t="n">
        <f aca="false">IF(RIGHT(A22,1)="1",Premissas!$C$38,IF(RIGHT(A22,1)="2",Premissas!$C$39,IF(RIGHT(A22,1)="3",Premissas!$C$40,IF(RIGHT(A22,1)="4",Premissas!$C$41,IF(RIGHT(A22,1)="5",Premissas!$C$42,"valor não encontrado")))))</f>
        <v>4.5</v>
      </c>
      <c r="C22" s="73" t="n">
        <f aca="false">VLOOKUP(A22,v_t_r,9,0)</f>
        <v>178884</v>
      </c>
      <c r="D22" s="74"/>
      <c r="E22" s="73" t="n">
        <f aca="false">VLOOKUP(O22,CFM,2,0)</f>
        <v>27.8666666666667</v>
      </c>
      <c r="F22" s="75" t="n">
        <f aca="false">'DI, Tri e Pag'!$H$18</f>
        <v>0.05334821</v>
      </c>
      <c r="G22" s="73" t="n">
        <f aca="false">E22*F22</f>
        <v>1.48663678533333</v>
      </c>
      <c r="H22" s="75" t="n">
        <f aca="false">'DI, Tri e Pag'!$H$22</f>
        <v>0.0865</v>
      </c>
      <c r="I22" s="73" t="n">
        <f aca="false">C22*H22</f>
        <v>15473.466</v>
      </c>
      <c r="J22" s="73" t="n">
        <f aca="false">C22-(D22+E22+G22+I22)</f>
        <v>163381.180696548</v>
      </c>
      <c r="K22" s="76" t="n">
        <f aca="false">'DI, Tri e Pag'!$H$26</f>
        <v>0.2</v>
      </c>
      <c r="L22" s="73" t="n">
        <f aca="false">IF(J22&gt;0,K22*J22,0)</f>
        <v>32676.2361393096</v>
      </c>
      <c r="M22" s="73" t="n">
        <f aca="false">J22-L22</f>
        <v>130704.944557238</v>
      </c>
      <c r="N22" s="77" t="n">
        <f aca="false">M22+N21</f>
        <v>1853705.95181989</v>
      </c>
      <c r="O22" s="69" t="n">
        <v>2</v>
      </c>
    </row>
    <row r="23" customFormat="false" ht="12.75" hidden="false" customHeight="false" outlineLevel="0" collapsed="false">
      <c r="A23" s="71" t="str">
        <f aca="false">VxTxR!A24</f>
        <v>mar/ano02</v>
      </c>
      <c r="B23" s="72" t="n">
        <f aca="false">IF(RIGHT(A23,1)="1",Premissas!$C$38,IF(RIGHT(A23,1)="2",Premissas!$C$39,IF(RIGHT(A23,1)="3",Premissas!$C$40,IF(RIGHT(A23,1)="4",Premissas!$C$41,IF(RIGHT(A23,1)="5",Premissas!$C$42,"valor não encontrado")))))</f>
        <v>4.5</v>
      </c>
      <c r="C23" s="73" t="n">
        <f aca="false">VLOOKUP(A23,v_t_r,9,0)</f>
        <v>255627</v>
      </c>
      <c r="D23" s="74"/>
      <c r="E23" s="73" t="n">
        <f aca="false">VLOOKUP(O23,CFM,2,0)</f>
        <v>27.8666666666667</v>
      </c>
      <c r="F23" s="75" t="n">
        <f aca="false">'DI, Tri e Pag'!$H$18</f>
        <v>0.05334821</v>
      </c>
      <c r="G23" s="73" t="n">
        <f aca="false">E23*F23</f>
        <v>1.48663678533333</v>
      </c>
      <c r="H23" s="75" t="n">
        <f aca="false">'DI, Tri e Pag'!$H$22</f>
        <v>0.0865</v>
      </c>
      <c r="I23" s="73" t="n">
        <f aca="false">C23*H23</f>
        <v>22111.7355</v>
      </c>
      <c r="J23" s="73" t="n">
        <f aca="false">C23-(D23+E23+G23+I23)</f>
        <v>233485.911196548</v>
      </c>
      <c r="K23" s="76" t="n">
        <f aca="false">'DI, Tri e Pag'!$H$26</f>
        <v>0.2</v>
      </c>
      <c r="L23" s="73" t="n">
        <f aca="false">IF(J23&gt;0,K23*J23,0)</f>
        <v>46697.1822393096</v>
      </c>
      <c r="M23" s="73" t="n">
        <f aca="false">J23-L23</f>
        <v>186788.728957238</v>
      </c>
      <c r="N23" s="77" t="n">
        <f aca="false">M23+N22</f>
        <v>2040494.68077713</v>
      </c>
      <c r="O23" s="69" t="n">
        <v>2</v>
      </c>
    </row>
    <row r="24" customFormat="false" ht="12.75" hidden="false" customHeight="false" outlineLevel="0" collapsed="false">
      <c r="A24" s="71" t="str">
        <f aca="false">VxTxR!A25</f>
        <v>abr/ano02</v>
      </c>
      <c r="B24" s="72" t="n">
        <f aca="false">IF(RIGHT(A24,1)="1",Premissas!$C$38,IF(RIGHT(A24,1)="2",Premissas!$C$39,IF(RIGHT(A24,1)="3",Premissas!$C$40,IF(RIGHT(A24,1)="4",Premissas!$C$41,IF(RIGHT(A24,1)="5",Premissas!$C$42,"valor não encontrado")))))</f>
        <v>4.5</v>
      </c>
      <c r="C24" s="73" t="n">
        <f aca="false">VLOOKUP(A24,v_t_r,9,0)</f>
        <v>255627</v>
      </c>
      <c r="D24" s="74"/>
      <c r="E24" s="73" t="n">
        <f aca="false">VLOOKUP(O24,CFM,2,0)</f>
        <v>27.8666666666667</v>
      </c>
      <c r="F24" s="75" t="n">
        <f aca="false">'DI, Tri e Pag'!$H$18</f>
        <v>0.05334821</v>
      </c>
      <c r="G24" s="73" t="n">
        <f aca="false">E24*F24</f>
        <v>1.48663678533333</v>
      </c>
      <c r="H24" s="75" t="n">
        <f aca="false">'DI, Tri e Pag'!$H$22</f>
        <v>0.0865</v>
      </c>
      <c r="I24" s="73" t="n">
        <f aca="false">C24*H24</f>
        <v>22111.7355</v>
      </c>
      <c r="J24" s="73" t="n">
        <f aca="false">C24-(D24+E24+G24+I24)</f>
        <v>233485.911196548</v>
      </c>
      <c r="K24" s="76" t="n">
        <f aca="false">'DI, Tri e Pag'!$H$26</f>
        <v>0.2</v>
      </c>
      <c r="L24" s="73" t="n">
        <f aca="false">IF(J24&gt;0,K24*J24,0)</f>
        <v>46697.1822393096</v>
      </c>
      <c r="M24" s="73" t="n">
        <f aca="false">J24-L24</f>
        <v>186788.728957238</v>
      </c>
      <c r="N24" s="77" t="n">
        <f aca="false">M24+N23</f>
        <v>2227283.40973437</v>
      </c>
      <c r="O24" s="69" t="n">
        <v>3</v>
      </c>
    </row>
    <row r="25" customFormat="false" ht="12.75" hidden="false" customHeight="false" outlineLevel="0" collapsed="false">
      <c r="A25" s="71" t="str">
        <f aca="false">VxTxR!A26</f>
        <v>mai/ano02</v>
      </c>
      <c r="B25" s="72" t="n">
        <f aca="false">IF(RIGHT(A25,1)="1",Premissas!$C$38,IF(RIGHT(A25,1)="2",Premissas!$C$39,IF(RIGHT(A25,1)="3",Premissas!$C$40,IF(RIGHT(A25,1)="4",Premissas!$C$41,IF(RIGHT(A25,1)="5",Premissas!$C$42,"valor não encontrado")))))</f>
        <v>4.5</v>
      </c>
      <c r="C25" s="73" t="n">
        <f aca="false">VLOOKUP(A25,v_t_r,9,0)</f>
        <v>255627</v>
      </c>
      <c r="D25" s="74"/>
      <c r="E25" s="73" t="n">
        <f aca="false">VLOOKUP(O25,CFM,2,0)</f>
        <v>27.8666666666667</v>
      </c>
      <c r="F25" s="75" t="n">
        <f aca="false">'DI, Tri e Pag'!$H$18</f>
        <v>0.05334821</v>
      </c>
      <c r="G25" s="73" t="n">
        <f aca="false">E25*F25</f>
        <v>1.48663678533333</v>
      </c>
      <c r="H25" s="75" t="n">
        <f aca="false">'DI, Tri e Pag'!$H$22</f>
        <v>0.0865</v>
      </c>
      <c r="I25" s="73" t="n">
        <f aca="false">C25*H25</f>
        <v>22111.7355</v>
      </c>
      <c r="J25" s="73" t="n">
        <f aca="false">C25-(D25+E25+G25+I25)</f>
        <v>233485.911196548</v>
      </c>
      <c r="K25" s="76" t="n">
        <f aca="false">'DI, Tri e Pag'!$H$26</f>
        <v>0.2</v>
      </c>
      <c r="L25" s="73" t="n">
        <f aca="false">IF(J25&gt;0,K25*J25,0)</f>
        <v>46697.1822393096</v>
      </c>
      <c r="M25" s="73" t="n">
        <f aca="false">J25-L25</f>
        <v>186788.728957238</v>
      </c>
      <c r="N25" s="77" t="n">
        <f aca="false">M25+N24</f>
        <v>2414072.13869161</v>
      </c>
      <c r="O25" s="69" t="n">
        <v>3</v>
      </c>
    </row>
    <row r="26" customFormat="false" ht="12.75" hidden="false" customHeight="false" outlineLevel="0" collapsed="false">
      <c r="A26" s="71" t="str">
        <f aca="false">VxTxR!A27</f>
        <v>jun/ano02</v>
      </c>
      <c r="B26" s="72" t="n">
        <f aca="false">IF(RIGHT(A26,1)="1",Premissas!$C$38,IF(RIGHT(A26,1)="2",Premissas!$C$39,IF(RIGHT(A26,1)="3",Premissas!$C$40,IF(RIGHT(A26,1)="4",Premissas!$C$41,IF(RIGHT(A26,1)="5",Premissas!$C$42,"valor não encontrado")))))</f>
        <v>4.5</v>
      </c>
      <c r="C26" s="73" t="n">
        <f aca="false">VLOOKUP(A26,v_t_r,9,0)</f>
        <v>255627</v>
      </c>
      <c r="D26" s="74"/>
      <c r="E26" s="73" t="n">
        <f aca="false">VLOOKUP(O26,CFM,2,0)</f>
        <v>27.8666666666667</v>
      </c>
      <c r="F26" s="75" t="n">
        <f aca="false">'DI, Tri e Pag'!$H$18</f>
        <v>0.05334821</v>
      </c>
      <c r="G26" s="73" t="n">
        <f aca="false">E26*F26</f>
        <v>1.48663678533333</v>
      </c>
      <c r="H26" s="75" t="n">
        <f aca="false">'DI, Tri e Pag'!$H$22</f>
        <v>0.0865</v>
      </c>
      <c r="I26" s="73" t="n">
        <f aca="false">C26*H26</f>
        <v>22111.7355</v>
      </c>
      <c r="J26" s="73" t="n">
        <f aca="false">C26-(D26+E26+G26+I26)</f>
        <v>233485.911196548</v>
      </c>
      <c r="K26" s="76" t="n">
        <f aca="false">'DI, Tri e Pag'!$H$26</f>
        <v>0.2</v>
      </c>
      <c r="L26" s="73" t="n">
        <f aca="false">IF(J26&gt;0,K26*J26,0)</f>
        <v>46697.1822393096</v>
      </c>
      <c r="M26" s="73" t="n">
        <f aca="false">J26-L26</f>
        <v>186788.728957238</v>
      </c>
      <c r="N26" s="77" t="n">
        <f aca="false">M26+N25</f>
        <v>2600860.86764885</v>
      </c>
      <c r="O26" s="69" t="n">
        <v>3</v>
      </c>
    </row>
    <row r="27" customFormat="false" ht="12.75" hidden="false" customHeight="false" outlineLevel="0" collapsed="false">
      <c r="A27" s="71" t="str">
        <f aca="false">VxTxR!A28</f>
        <v>jul/ano02</v>
      </c>
      <c r="B27" s="72" t="n">
        <f aca="false">IF(RIGHT(A27,1)="1",Premissas!$C$38,IF(RIGHT(A27,1)="2",Premissas!$C$39,IF(RIGHT(A27,1)="3",Premissas!$C$40,IF(RIGHT(A27,1)="4",Premissas!$C$41,IF(RIGHT(A27,1)="5",Premissas!$C$42,"valor não encontrado")))))</f>
        <v>4.5</v>
      </c>
      <c r="C27" s="73" t="n">
        <f aca="false">VLOOKUP(A27,v_t_r,9,0)</f>
        <v>153396</v>
      </c>
      <c r="D27" s="74"/>
      <c r="E27" s="73" t="n">
        <f aca="false">VLOOKUP(O27,CFM,2,0)</f>
        <v>27.8666666666667</v>
      </c>
      <c r="F27" s="75" t="n">
        <f aca="false">'DI, Tri e Pag'!$H$18</f>
        <v>0.05334821</v>
      </c>
      <c r="G27" s="73" t="n">
        <f aca="false">E27*F27</f>
        <v>1.48663678533333</v>
      </c>
      <c r="H27" s="75" t="n">
        <f aca="false">'DI, Tri e Pag'!$H$22</f>
        <v>0.0865</v>
      </c>
      <c r="I27" s="73" t="n">
        <f aca="false">C27*H27</f>
        <v>13268.754</v>
      </c>
      <c r="J27" s="73" t="n">
        <f aca="false">C27-(D27+E27+G27+I27)</f>
        <v>140097.892696548</v>
      </c>
      <c r="K27" s="76" t="n">
        <f aca="false">'DI, Tri e Pag'!$H$26</f>
        <v>0.2</v>
      </c>
      <c r="L27" s="73" t="n">
        <f aca="false">IF(J27&gt;0,K27*J27,0)</f>
        <v>28019.5785393096</v>
      </c>
      <c r="M27" s="73" t="n">
        <f aca="false">J27-L27</f>
        <v>112078.314157238</v>
      </c>
      <c r="N27" s="77" t="n">
        <f aca="false">M27+N26</f>
        <v>2712939.18180609</v>
      </c>
      <c r="O27" s="69" t="n">
        <v>3</v>
      </c>
    </row>
    <row r="28" customFormat="false" ht="12.75" hidden="false" customHeight="false" outlineLevel="0" collapsed="false">
      <c r="A28" s="71" t="str">
        <f aca="false">VxTxR!A29</f>
        <v>ago/ano02</v>
      </c>
      <c r="B28" s="72" t="n">
        <f aca="false">IF(RIGHT(A28,1)="1",Premissas!$C$38,IF(RIGHT(A28,1)="2",Premissas!$C$39,IF(RIGHT(A28,1)="3",Premissas!$C$40,IF(RIGHT(A28,1)="4",Premissas!$C$41,IF(RIGHT(A28,1)="5",Premissas!$C$42,"valor não encontrado")))))</f>
        <v>4.5</v>
      </c>
      <c r="C28" s="73" t="n">
        <f aca="false">VLOOKUP(A28,v_t_r,9,0)</f>
        <v>255627</v>
      </c>
      <c r="D28" s="74"/>
      <c r="E28" s="73" t="n">
        <f aca="false">VLOOKUP(O28,CFM,2,0)</f>
        <v>27.8666666666667</v>
      </c>
      <c r="F28" s="75" t="n">
        <f aca="false">'DI, Tri e Pag'!$H$18</f>
        <v>0.05334821</v>
      </c>
      <c r="G28" s="73" t="n">
        <f aca="false">E28*F28</f>
        <v>1.48663678533333</v>
      </c>
      <c r="H28" s="75" t="n">
        <f aca="false">'DI, Tri e Pag'!$H$22</f>
        <v>0.0865</v>
      </c>
      <c r="I28" s="73" t="n">
        <f aca="false">C28*H28</f>
        <v>22111.7355</v>
      </c>
      <c r="J28" s="73" t="n">
        <f aca="false">C28-(D28+E28+G28+I28)</f>
        <v>233485.911196548</v>
      </c>
      <c r="K28" s="76" t="n">
        <f aca="false">'DI, Tri e Pag'!$H$26</f>
        <v>0.2</v>
      </c>
      <c r="L28" s="73" t="n">
        <f aca="false">IF(J28&gt;0,K28*J28,0)</f>
        <v>46697.1822393096</v>
      </c>
      <c r="M28" s="73" t="n">
        <f aca="false">J28-L28</f>
        <v>186788.728957238</v>
      </c>
      <c r="N28" s="77" t="n">
        <f aca="false">M28+N27</f>
        <v>2899727.91076332</v>
      </c>
      <c r="O28" s="69" t="n">
        <v>3</v>
      </c>
    </row>
    <row r="29" customFormat="false" ht="12.75" hidden="false" customHeight="false" outlineLevel="0" collapsed="false">
      <c r="A29" s="71" t="str">
        <f aca="false">VxTxR!A30</f>
        <v>set/ano02</v>
      </c>
      <c r="B29" s="72" t="n">
        <f aca="false">IF(RIGHT(A29,1)="1",Premissas!$C$38,IF(RIGHT(A29,1)="2",Premissas!$C$39,IF(RIGHT(A29,1)="3",Premissas!$C$40,IF(RIGHT(A29,1)="4",Premissas!$C$41,IF(RIGHT(A29,1)="5",Premissas!$C$42,"valor não encontrado")))))</f>
        <v>4.5</v>
      </c>
      <c r="C29" s="73" t="n">
        <f aca="false">VLOOKUP(A29,v_t_r,9,0)</f>
        <v>255627</v>
      </c>
      <c r="D29" s="74"/>
      <c r="E29" s="73" t="n">
        <f aca="false">VLOOKUP(O29,CFM,2,0)</f>
        <v>27.8666666666667</v>
      </c>
      <c r="F29" s="75" t="n">
        <f aca="false">'DI, Tri e Pag'!$H$18</f>
        <v>0.05334821</v>
      </c>
      <c r="G29" s="73" t="n">
        <f aca="false">E29*F29</f>
        <v>1.48663678533333</v>
      </c>
      <c r="H29" s="75" t="n">
        <f aca="false">'DI, Tri e Pag'!$H$22</f>
        <v>0.0865</v>
      </c>
      <c r="I29" s="73" t="n">
        <f aca="false">C29*H29</f>
        <v>22111.7355</v>
      </c>
      <c r="J29" s="73" t="n">
        <f aca="false">C29-(D29+E29+G29+I29)</f>
        <v>233485.911196548</v>
      </c>
      <c r="K29" s="76" t="n">
        <f aca="false">'DI, Tri e Pag'!$H$26</f>
        <v>0.2</v>
      </c>
      <c r="L29" s="73" t="n">
        <f aca="false">IF(J29&gt;0,K29*J29,0)</f>
        <v>46697.1822393096</v>
      </c>
      <c r="M29" s="73" t="n">
        <f aca="false">J29-L29</f>
        <v>186788.728957238</v>
      </c>
      <c r="N29" s="77" t="n">
        <f aca="false">M29+N28</f>
        <v>3086516.63972056</v>
      </c>
      <c r="O29" s="69" t="n">
        <v>3</v>
      </c>
    </row>
    <row r="30" customFormat="false" ht="12.75" hidden="false" customHeight="false" outlineLevel="0" collapsed="false">
      <c r="A30" s="71" t="str">
        <f aca="false">VxTxR!A31</f>
        <v>out/ano02</v>
      </c>
      <c r="B30" s="72" t="n">
        <f aca="false">IF(RIGHT(A30,1)="1",Premissas!$C$38,IF(RIGHT(A30,1)="2",Premissas!$C$39,IF(RIGHT(A30,1)="3",Premissas!$C$40,IF(RIGHT(A30,1)="4",Premissas!$C$41,IF(RIGHT(A30,1)="5",Premissas!$C$42,"valor não encontrado")))))</f>
        <v>4.5</v>
      </c>
      <c r="C30" s="73" t="n">
        <f aca="false">VLOOKUP(A30,v_t_r,9,0)</f>
        <v>255627</v>
      </c>
      <c r="D30" s="74"/>
      <c r="E30" s="73" t="n">
        <f aca="false">VLOOKUP(O30,CFM,2,0)</f>
        <v>27.8666666666667</v>
      </c>
      <c r="F30" s="75" t="n">
        <f aca="false">'DI, Tri e Pag'!$H$18</f>
        <v>0.05334821</v>
      </c>
      <c r="G30" s="73" t="n">
        <f aca="false">E30*F30</f>
        <v>1.48663678533333</v>
      </c>
      <c r="H30" s="75" t="n">
        <f aca="false">'DI, Tri e Pag'!$H$22</f>
        <v>0.0865</v>
      </c>
      <c r="I30" s="73" t="n">
        <f aca="false">C30*H30</f>
        <v>22111.7355</v>
      </c>
      <c r="J30" s="73" t="n">
        <f aca="false">C30-(D30+E30+G30+I30)</f>
        <v>233485.911196548</v>
      </c>
      <c r="K30" s="76" t="n">
        <f aca="false">'DI, Tri e Pag'!$H$26</f>
        <v>0.2</v>
      </c>
      <c r="L30" s="73" t="n">
        <f aca="false">IF(J30&gt;0,K30*J30,0)</f>
        <v>46697.1822393096</v>
      </c>
      <c r="M30" s="73" t="n">
        <f aca="false">J30-L30</f>
        <v>186788.728957238</v>
      </c>
      <c r="N30" s="77" t="n">
        <f aca="false">M30+N29</f>
        <v>3273305.3686778</v>
      </c>
      <c r="O30" s="69" t="n">
        <v>3</v>
      </c>
    </row>
    <row r="31" customFormat="false" ht="12.75" hidden="false" customHeight="false" outlineLevel="0" collapsed="false">
      <c r="A31" s="71" t="str">
        <f aca="false">VxTxR!A32</f>
        <v>nov/ano02</v>
      </c>
      <c r="B31" s="72" t="n">
        <f aca="false">IF(RIGHT(A31,1)="1",Premissas!$C$38,IF(RIGHT(A31,1)="2",Premissas!$C$39,IF(RIGHT(A31,1)="3",Premissas!$C$40,IF(RIGHT(A31,1)="4",Premissas!$C$41,IF(RIGHT(A31,1)="5",Premissas!$C$42,"valor não encontrado")))))</f>
        <v>4.5</v>
      </c>
      <c r="C31" s="73" t="n">
        <f aca="false">VLOOKUP(A31,v_t_r,9,0)</f>
        <v>255627</v>
      </c>
      <c r="D31" s="74"/>
      <c r="E31" s="73" t="n">
        <f aca="false">VLOOKUP(O31,CFM,2,0)</f>
        <v>27.8666666666667</v>
      </c>
      <c r="F31" s="75" t="n">
        <f aca="false">'DI, Tri e Pag'!$H$18</f>
        <v>0.05334821</v>
      </c>
      <c r="G31" s="73" t="n">
        <f aca="false">E31*F31</f>
        <v>1.48663678533333</v>
      </c>
      <c r="H31" s="75" t="n">
        <f aca="false">'DI, Tri e Pag'!$H$22</f>
        <v>0.0865</v>
      </c>
      <c r="I31" s="73" t="n">
        <f aca="false">C31*H31</f>
        <v>22111.7355</v>
      </c>
      <c r="J31" s="73" t="n">
        <f aca="false">C31-(D31+E31+G31+I31)</f>
        <v>233485.911196548</v>
      </c>
      <c r="K31" s="76" t="n">
        <f aca="false">'DI, Tri e Pag'!$H$26</f>
        <v>0.2</v>
      </c>
      <c r="L31" s="73" t="n">
        <f aca="false">IF(J31&gt;0,K31*J31,0)</f>
        <v>46697.1822393096</v>
      </c>
      <c r="M31" s="73" t="n">
        <f aca="false">J31-L31</f>
        <v>186788.728957238</v>
      </c>
      <c r="N31" s="77" t="n">
        <f aca="false">M31+N30</f>
        <v>3460094.09763504</v>
      </c>
      <c r="O31" s="69" t="n">
        <v>3</v>
      </c>
    </row>
    <row r="32" customFormat="false" ht="12.75" hidden="false" customHeight="false" outlineLevel="0" collapsed="false">
      <c r="A32" s="71" t="str">
        <f aca="false">VxTxR!A33</f>
        <v>dez/ano02</v>
      </c>
      <c r="B32" s="72" t="n">
        <f aca="false">IF(RIGHT(A32,1)="1",Premissas!$C$38,IF(RIGHT(A32,1)="2",Premissas!$C$39,IF(RIGHT(A32,1)="3",Premissas!$C$40,IF(RIGHT(A32,1)="4",Premissas!$C$41,IF(RIGHT(A32,1)="5",Premissas!$C$42,"valor não encontrado")))))</f>
        <v>4.5</v>
      </c>
      <c r="C32" s="73" t="n">
        <f aca="false">VLOOKUP(A32,v_t_r,9,0)</f>
        <v>153396</v>
      </c>
      <c r="D32" s="74"/>
      <c r="E32" s="73" t="n">
        <f aca="false">VLOOKUP(O32,CFM,2,0)</f>
        <v>27.8666666666667</v>
      </c>
      <c r="F32" s="75" t="n">
        <f aca="false">'DI, Tri e Pag'!$H$18</f>
        <v>0.05334821</v>
      </c>
      <c r="G32" s="73" t="n">
        <f aca="false">E32*F32</f>
        <v>1.48663678533333</v>
      </c>
      <c r="H32" s="75" t="n">
        <f aca="false">'DI, Tri e Pag'!$H$22</f>
        <v>0.0865</v>
      </c>
      <c r="I32" s="73" t="n">
        <f aca="false">C32*H32</f>
        <v>13268.754</v>
      </c>
      <c r="J32" s="73" t="n">
        <f aca="false">C32-(D32+E32+G32+I32)</f>
        <v>140097.892696548</v>
      </c>
      <c r="K32" s="76" t="n">
        <f aca="false">'DI, Tri e Pag'!$H$26</f>
        <v>0.2</v>
      </c>
      <c r="L32" s="73" t="n">
        <f aca="false">IF(J32&gt;0,K32*J32,0)</f>
        <v>28019.5785393096</v>
      </c>
      <c r="M32" s="73" t="n">
        <f aca="false">J32-L32</f>
        <v>112078.314157238</v>
      </c>
      <c r="N32" s="77" t="n">
        <f aca="false">M32+N31</f>
        <v>3572172.41179228</v>
      </c>
      <c r="O32" s="69" t="n">
        <v>3</v>
      </c>
    </row>
    <row r="33" customFormat="false" ht="12.75" hidden="false" customHeight="false" outlineLevel="0" collapsed="false">
      <c r="A33" s="19" t="str">
        <f aca="false">VxTxR!A34</f>
        <v>jan/ano03</v>
      </c>
      <c r="B33" s="64" t="n">
        <f aca="false">IF(RIGHT(A33,1)="1",Premissas!$C$38,IF(RIGHT(A33,1)="2",Premissas!$C$39,IF(RIGHT(A33,1)="3",Premissas!$C$40,IF(RIGHT(A33,1)="4",Premissas!$C$41,IF(RIGHT(A33,1)="5",Premissas!$C$42,"valor não encontrado")))))</f>
        <v>5</v>
      </c>
      <c r="C33" s="65" t="n">
        <f aca="false">VLOOKUP(A33,v_t_r,9,0)</f>
        <v>170440</v>
      </c>
      <c r="D33" s="70"/>
      <c r="E33" s="65" t="n">
        <f aca="false">VLOOKUP(O33,CFM,2,0)</f>
        <v>27.8666666666667</v>
      </c>
      <c r="F33" s="66" t="n">
        <f aca="false">'DI, Tri e Pag'!$H$18</f>
        <v>0.05334821</v>
      </c>
      <c r="G33" s="65" t="n">
        <f aca="false">E33*F33</f>
        <v>1.48663678533333</v>
      </c>
      <c r="H33" s="66" t="n">
        <f aca="false">'DI, Tri e Pag'!$H$22</f>
        <v>0.0865</v>
      </c>
      <c r="I33" s="65" t="n">
        <f aca="false">C33*H33</f>
        <v>14743.06</v>
      </c>
      <c r="J33" s="65" t="n">
        <f aca="false">C33-(D33+E33+G33+I33)</f>
        <v>155667.586696548</v>
      </c>
      <c r="K33" s="67" t="n">
        <f aca="false">'DI, Tri e Pag'!$H$26</f>
        <v>0.2</v>
      </c>
      <c r="L33" s="65" t="n">
        <f aca="false">IF(J33&gt;0,K33*J33,0)</f>
        <v>31133.5173393096</v>
      </c>
      <c r="M33" s="65" t="n">
        <f aca="false">J33-L33</f>
        <v>124534.069357238</v>
      </c>
      <c r="N33" s="68" t="n">
        <f aca="false">M33+N32</f>
        <v>3696706.48114952</v>
      </c>
      <c r="O33" s="69" t="n">
        <v>3</v>
      </c>
    </row>
    <row r="34" customFormat="false" ht="12.75" hidden="false" customHeight="false" outlineLevel="0" collapsed="false">
      <c r="A34" s="19" t="str">
        <f aca="false">VxTxR!A35</f>
        <v>fev/ano03</v>
      </c>
      <c r="B34" s="64" t="n">
        <f aca="false">IF(RIGHT(A34,1)="1",Premissas!$C$38,IF(RIGHT(A34,1)="2",Premissas!$C$39,IF(RIGHT(A34,1)="3",Premissas!$C$40,IF(RIGHT(A34,1)="4",Premissas!$C$41,IF(RIGHT(A34,1)="5",Premissas!$C$42,"valor não encontrado")))))</f>
        <v>5</v>
      </c>
      <c r="C34" s="65" t="n">
        <f aca="false">VLOOKUP(A34,v_t_r,9,0)</f>
        <v>198760</v>
      </c>
      <c r="D34" s="70"/>
      <c r="E34" s="65" t="n">
        <f aca="false">VLOOKUP(O34,CFM,2,0)</f>
        <v>27.8666666666667</v>
      </c>
      <c r="F34" s="66" t="n">
        <f aca="false">'DI, Tri e Pag'!$H$18</f>
        <v>0.05334821</v>
      </c>
      <c r="G34" s="65" t="n">
        <f aca="false">E34*F34</f>
        <v>1.48663678533333</v>
      </c>
      <c r="H34" s="66" t="n">
        <f aca="false">'DI, Tri e Pag'!$H$22</f>
        <v>0.0865</v>
      </c>
      <c r="I34" s="65" t="n">
        <f aca="false">C34*H34</f>
        <v>17192.74</v>
      </c>
      <c r="J34" s="65" t="n">
        <f aca="false">C34-(D34+E34+G34+I34)</f>
        <v>181537.906696548</v>
      </c>
      <c r="K34" s="67" t="n">
        <f aca="false">'DI, Tri e Pag'!$H$26</f>
        <v>0.2</v>
      </c>
      <c r="L34" s="65" t="n">
        <f aca="false">IF(J34&gt;0,K34*J34,0)</f>
        <v>36307.5813393096</v>
      </c>
      <c r="M34" s="65" t="n">
        <f aca="false">J34-L34</f>
        <v>145230.325357238</v>
      </c>
      <c r="N34" s="68" t="n">
        <f aca="false">M34+N33</f>
        <v>3841936.80650676</v>
      </c>
      <c r="O34" s="69" t="n">
        <v>3</v>
      </c>
    </row>
    <row r="35" customFormat="false" ht="12.75" hidden="false" customHeight="false" outlineLevel="0" collapsed="false">
      <c r="A35" s="19" t="str">
        <f aca="false">VxTxR!A36</f>
        <v>mar/ano03</v>
      </c>
      <c r="B35" s="64" t="n">
        <f aca="false">IF(RIGHT(A35,1)="1",Premissas!$C$38,IF(RIGHT(A35,1)="2",Premissas!$C$39,IF(RIGHT(A35,1)="3",Premissas!$C$40,IF(RIGHT(A35,1)="4",Premissas!$C$41,IF(RIGHT(A35,1)="5",Premissas!$C$42,"valor não encontrado")))))</f>
        <v>5</v>
      </c>
      <c r="C35" s="65" t="n">
        <f aca="false">VLOOKUP(A35,v_t_r,9,0)</f>
        <v>284030</v>
      </c>
      <c r="D35" s="70"/>
      <c r="E35" s="65" t="n">
        <f aca="false">VLOOKUP(O35,CFM,2,0)</f>
        <v>27.8666666666667</v>
      </c>
      <c r="F35" s="66" t="n">
        <f aca="false">'DI, Tri e Pag'!$H$18</f>
        <v>0.05334821</v>
      </c>
      <c r="G35" s="65" t="n">
        <f aca="false">E35*F35</f>
        <v>1.48663678533333</v>
      </c>
      <c r="H35" s="66" t="n">
        <f aca="false">'DI, Tri e Pag'!$H$22</f>
        <v>0.0865</v>
      </c>
      <c r="I35" s="65" t="n">
        <f aca="false">C35*H35</f>
        <v>24568.595</v>
      </c>
      <c r="J35" s="65" t="n">
        <f aca="false">C35-(D35+E35+G35+I35)</f>
        <v>259432.051696548</v>
      </c>
      <c r="K35" s="67" t="n">
        <f aca="false">'DI, Tri e Pag'!$H$26</f>
        <v>0.2</v>
      </c>
      <c r="L35" s="65" t="n">
        <f aca="false">IF(J35&gt;0,K35*J35,0)</f>
        <v>51886.4103393096</v>
      </c>
      <c r="M35" s="65" t="n">
        <f aca="false">J35-L35</f>
        <v>207545.641357238</v>
      </c>
      <c r="N35" s="68" t="n">
        <f aca="false">M35+N34</f>
        <v>4049482.44786399</v>
      </c>
      <c r="O35" s="69" t="n">
        <v>3</v>
      </c>
    </row>
    <row r="36" customFormat="false" ht="12.75" hidden="false" customHeight="false" outlineLevel="0" collapsed="false">
      <c r="A36" s="19" t="str">
        <f aca="false">VxTxR!A37</f>
        <v>abr/ano03</v>
      </c>
      <c r="B36" s="64" t="n">
        <f aca="false">IF(RIGHT(A36,1)="1",Premissas!$C$38,IF(RIGHT(A36,1)="2",Premissas!$C$39,IF(RIGHT(A36,1)="3",Premissas!$C$40,IF(RIGHT(A36,1)="4",Premissas!$C$41,IF(RIGHT(A36,1)="5",Premissas!$C$42,"valor não encontrado")))))</f>
        <v>5</v>
      </c>
      <c r="C36" s="65" t="n">
        <f aca="false">VLOOKUP(A36,v_t_r,9,0)</f>
        <v>284030</v>
      </c>
      <c r="D36" s="70"/>
      <c r="E36" s="65" t="n">
        <f aca="false">VLOOKUP(O36,CFM,2,0)</f>
        <v>27.8666666666667</v>
      </c>
      <c r="F36" s="66" t="n">
        <f aca="false">'DI, Tri e Pag'!$H$18</f>
        <v>0.05334821</v>
      </c>
      <c r="G36" s="65" t="n">
        <f aca="false">E36*F36</f>
        <v>1.48663678533333</v>
      </c>
      <c r="H36" s="66" t="n">
        <f aca="false">'DI, Tri e Pag'!$H$22</f>
        <v>0.0865</v>
      </c>
      <c r="I36" s="65" t="n">
        <f aca="false">C36*H36</f>
        <v>24568.595</v>
      </c>
      <c r="J36" s="65" t="n">
        <f aca="false">C36-(D36+E36+G36+I36)</f>
        <v>259432.051696548</v>
      </c>
      <c r="K36" s="67" t="n">
        <f aca="false">'DI, Tri e Pag'!$H$26</f>
        <v>0.2</v>
      </c>
      <c r="L36" s="65" t="n">
        <f aca="false">IF(J36&gt;0,K36*J36,0)</f>
        <v>51886.4103393096</v>
      </c>
      <c r="M36" s="65" t="n">
        <f aca="false">J36-L36</f>
        <v>207545.641357238</v>
      </c>
      <c r="N36" s="68" t="n">
        <f aca="false">M36+N35</f>
        <v>4257028.08922123</v>
      </c>
      <c r="O36" s="69" t="n">
        <v>4</v>
      </c>
    </row>
    <row r="37" customFormat="false" ht="12.75" hidden="false" customHeight="false" outlineLevel="0" collapsed="false">
      <c r="A37" s="19" t="str">
        <f aca="false">VxTxR!A38</f>
        <v>mai/ano03</v>
      </c>
      <c r="B37" s="64" t="n">
        <f aca="false">IF(RIGHT(A37,1)="1",Premissas!$C$38,IF(RIGHT(A37,1)="2",Premissas!$C$39,IF(RIGHT(A37,1)="3",Premissas!$C$40,IF(RIGHT(A37,1)="4",Premissas!$C$41,IF(RIGHT(A37,1)="5",Premissas!$C$42,"valor não encontrado")))))</f>
        <v>5</v>
      </c>
      <c r="C37" s="65" t="n">
        <f aca="false">VLOOKUP(A37,v_t_r,9,0)</f>
        <v>284030</v>
      </c>
      <c r="D37" s="70"/>
      <c r="E37" s="65" t="n">
        <f aca="false">VLOOKUP(O37,CFM,2,0)</f>
        <v>27.8666666666667</v>
      </c>
      <c r="F37" s="66" t="n">
        <f aca="false">'DI, Tri e Pag'!$H$18</f>
        <v>0.05334821</v>
      </c>
      <c r="G37" s="65" t="n">
        <f aca="false">E37*F37</f>
        <v>1.48663678533333</v>
      </c>
      <c r="H37" s="66" t="n">
        <f aca="false">'DI, Tri e Pag'!$H$22</f>
        <v>0.0865</v>
      </c>
      <c r="I37" s="65" t="n">
        <f aca="false">C37*H37</f>
        <v>24568.595</v>
      </c>
      <c r="J37" s="65" t="n">
        <f aca="false">C37-(D37+E37+G37+I37)</f>
        <v>259432.051696548</v>
      </c>
      <c r="K37" s="67" t="n">
        <f aca="false">'DI, Tri e Pag'!$H$26</f>
        <v>0.2</v>
      </c>
      <c r="L37" s="65" t="n">
        <f aca="false">IF(J37&gt;0,K37*J37,0)</f>
        <v>51886.4103393096</v>
      </c>
      <c r="M37" s="65" t="n">
        <f aca="false">J37-L37</f>
        <v>207545.641357238</v>
      </c>
      <c r="N37" s="68" t="n">
        <f aca="false">M37+N36</f>
        <v>4464573.73057847</v>
      </c>
      <c r="O37" s="69" t="n">
        <v>4</v>
      </c>
    </row>
    <row r="38" customFormat="false" ht="12.75" hidden="false" customHeight="false" outlineLevel="0" collapsed="false">
      <c r="A38" s="19" t="str">
        <f aca="false">VxTxR!A39</f>
        <v>jun/ano03</v>
      </c>
      <c r="B38" s="64" t="n">
        <f aca="false">IF(RIGHT(A38,1)="1",Premissas!$C$38,IF(RIGHT(A38,1)="2",Premissas!$C$39,IF(RIGHT(A38,1)="3",Premissas!$C$40,IF(RIGHT(A38,1)="4",Premissas!$C$41,IF(RIGHT(A38,1)="5",Premissas!$C$42,"valor não encontrado")))))</f>
        <v>5</v>
      </c>
      <c r="C38" s="65" t="n">
        <f aca="false">VLOOKUP(A38,v_t_r,9,0)</f>
        <v>284030</v>
      </c>
      <c r="D38" s="70"/>
      <c r="E38" s="65" t="n">
        <f aca="false">VLOOKUP(O38,CFM,2,0)</f>
        <v>27.8666666666667</v>
      </c>
      <c r="F38" s="66" t="n">
        <f aca="false">'DI, Tri e Pag'!$H$18</f>
        <v>0.05334821</v>
      </c>
      <c r="G38" s="65" t="n">
        <f aca="false">E38*F38</f>
        <v>1.48663678533333</v>
      </c>
      <c r="H38" s="66" t="n">
        <f aca="false">'DI, Tri e Pag'!$H$22</f>
        <v>0.0865</v>
      </c>
      <c r="I38" s="65" t="n">
        <f aca="false">C38*H38</f>
        <v>24568.595</v>
      </c>
      <c r="J38" s="65" t="n">
        <f aca="false">C38-(D38+E38+G38+I38)</f>
        <v>259432.051696548</v>
      </c>
      <c r="K38" s="67" t="n">
        <f aca="false">'DI, Tri e Pag'!$H$26</f>
        <v>0.2</v>
      </c>
      <c r="L38" s="65" t="n">
        <f aca="false">IF(J38&gt;0,K38*J38,0)</f>
        <v>51886.4103393096</v>
      </c>
      <c r="M38" s="65" t="n">
        <f aca="false">J38-L38</f>
        <v>207545.641357238</v>
      </c>
      <c r="N38" s="68" t="n">
        <f aca="false">M38+N37</f>
        <v>4672119.37193571</v>
      </c>
      <c r="O38" s="69" t="n">
        <v>4</v>
      </c>
    </row>
    <row r="39" customFormat="false" ht="12.75" hidden="false" customHeight="false" outlineLevel="0" collapsed="false">
      <c r="A39" s="19" t="str">
        <f aca="false">VxTxR!A40</f>
        <v>jul/ano03</v>
      </c>
      <c r="B39" s="64" t="n">
        <f aca="false">IF(RIGHT(A39,1)="1",Premissas!$C$38,IF(RIGHT(A39,1)="2",Premissas!$C$39,IF(RIGHT(A39,1)="3",Premissas!$C$40,IF(RIGHT(A39,1)="4",Premissas!$C$41,IF(RIGHT(A39,1)="5",Premissas!$C$42,"valor não encontrado")))))</f>
        <v>5</v>
      </c>
      <c r="C39" s="65" t="n">
        <f aca="false">VLOOKUP(A39,v_t_r,9,0)</f>
        <v>170440</v>
      </c>
      <c r="D39" s="70"/>
      <c r="E39" s="65" t="n">
        <f aca="false">VLOOKUP(O39,CFM,2,0)</f>
        <v>27.8666666666667</v>
      </c>
      <c r="F39" s="66" t="n">
        <f aca="false">'DI, Tri e Pag'!$H$18</f>
        <v>0.05334821</v>
      </c>
      <c r="G39" s="65" t="n">
        <f aca="false">E39*F39</f>
        <v>1.48663678533333</v>
      </c>
      <c r="H39" s="66" t="n">
        <f aca="false">'DI, Tri e Pag'!$H$22</f>
        <v>0.0865</v>
      </c>
      <c r="I39" s="65" t="n">
        <f aca="false">C39*H39</f>
        <v>14743.06</v>
      </c>
      <c r="J39" s="65" t="n">
        <f aca="false">C39-(D39+E39+G39+I39)</f>
        <v>155667.586696548</v>
      </c>
      <c r="K39" s="67" t="n">
        <f aca="false">'DI, Tri e Pag'!$H$26</f>
        <v>0.2</v>
      </c>
      <c r="L39" s="65" t="n">
        <f aca="false">IF(J39&gt;0,K39*J39,0)</f>
        <v>31133.5173393096</v>
      </c>
      <c r="M39" s="65" t="n">
        <f aca="false">J39-L39</f>
        <v>124534.069357238</v>
      </c>
      <c r="N39" s="68" t="n">
        <f aca="false">M39+N38</f>
        <v>4796653.44129295</v>
      </c>
      <c r="O39" s="69" t="n">
        <v>4</v>
      </c>
    </row>
    <row r="40" customFormat="false" ht="12.75" hidden="false" customHeight="false" outlineLevel="0" collapsed="false">
      <c r="A40" s="19" t="str">
        <f aca="false">VxTxR!A41</f>
        <v>ago/ano03</v>
      </c>
      <c r="B40" s="64" t="n">
        <f aca="false">IF(RIGHT(A40,1)="1",Premissas!$C$38,IF(RIGHT(A40,1)="2",Premissas!$C$39,IF(RIGHT(A40,1)="3",Premissas!$C$40,IF(RIGHT(A40,1)="4",Premissas!$C$41,IF(RIGHT(A40,1)="5",Premissas!$C$42,"valor não encontrado")))))</f>
        <v>5</v>
      </c>
      <c r="C40" s="65" t="n">
        <f aca="false">VLOOKUP(A40,v_t_r,9,0)</f>
        <v>284030</v>
      </c>
      <c r="D40" s="70"/>
      <c r="E40" s="65" t="n">
        <f aca="false">VLOOKUP(O40,CFM,2,0)</f>
        <v>27.8666666666667</v>
      </c>
      <c r="F40" s="66" t="n">
        <f aca="false">'DI, Tri e Pag'!$H$18</f>
        <v>0.05334821</v>
      </c>
      <c r="G40" s="65" t="n">
        <f aca="false">E40*F40</f>
        <v>1.48663678533333</v>
      </c>
      <c r="H40" s="66" t="n">
        <f aca="false">'DI, Tri e Pag'!$H$22</f>
        <v>0.0865</v>
      </c>
      <c r="I40" s="65" t="n">
        <f aca="false">C40*H40</f>
        <v>24568.595</v>
      </c>
      <c r="J40" s="65" t="n">
        <f aca="false">C40-(D40+E40+G40+I40)</f>
        <v>259432.051696548</v>
      </c>
      <c r="K40" s="67" t="n">
        <f aca="false">'DI, Tri e Pag'!$H$26</f>
        <v>0.2</v>
      </c>
      <c r="L40" s="65" t="n">
        <f aca="false">IF(J40&gt;0,K40*J40,0)</f>
        <v>51886.4103393096</v>
      </c>
      <c r="M40" s="65" t="n">
        <f aca="false">J40-L40</f>
        <v>207545.641357238</v>
      </c>
      <c r="N40" s="68" t="n">
        <f aca="false">M40+N39</f>
        <v>5004199.08265019</v>
      </c>
      <c r="O40" s="69" t="n">
        <v>4</v>
      </c>
    </row>
    <row r="41" customFormat="false" ht="12.75" hidden="false" customHeight="false" outlineLevel="0" collapsed="false">
      <c r="A41" s="19" t="str">
        <f aca="false">VxTxR!A42</f>
        <v>set/ano03</v>
      </c>
      <c r="B41" s="64" t="n">
        <f aca="false">IF(RIGHT(A41,1)="1",Premissas!$C$38,IF(RIGHT(A41,1)="2",Premissas!$C$39,IF(RIGHT(A41,1)="3",Premissas!$C$40,IF(RIGHT(A41,1)="4",Premissas!$C$41,IF(RIGHT(A41,1)="5",Premissas!$C$42,"valor não encontrado")))))</f>
        <v>5</v>
      </c>
      <c r="C41" s="65" t="n">
        <f aca="false">VLOOKUP(A41,v_t_r,9,0)</f>
        <v>284030</v>
      </c>
      <c r="D41" s="70"/>
      <c r="E41" s="65" t="n">
        <f aca="false">VLOOKUP(O41,CFM,2,0)</f>
        <v>27.8666666666667</v>
      </c>
      <c r="F41" s="66" t="n">
        <f aca="false">'DI, Tri e Pag'!$H$18</f>
        <v>0.05334821</v>
      </c>
      <c r="G41" s="65" t="n">
        <f aca="false">E41*F41</f>
        <v>1.48663678533333</v>
      </c>
      <c r="H41" s="66" t="n">
        <f aca="false">'DI, Tri e Pag'!$H$22</f>
        <v>0.0865</v>
      </c>
      <c r="I41" s="65" t="n">
        <f aca="false">C41*H41</f>
        <v>24568.595</v>
      </c>
      <c r="J41" s="65" t="n">
        <f aca="false">C41-(D41+E41+G41+I41)</f>
        <v>259432.051696548</v>
      </c>
      <c r="K41" s="67" t="n">
        <f aca="false">'DI, Tri e Pag'!$H$26</f>
        <v>0.2</v>
      </c>
      <c r="L41" s="65" t="n">
        <f aca="false">IF(J41&gt;0,K41*J41,0)</f>
        <v>51886.4103393096</v>
      </c>
      <c r="M41" s="65" t="n">
        <f aca="false">J41-L41</f>
        <v>207545.641357238</v>
      </c>
      <c r="N41" s="68" t="n">
        <f aca="false">M41+N40</f>
        <v>5211744.72400742</v>
      </c>
      <c r="O41" s="69" t="n">
        <v>4</v>
      </c>
    </row>
    <row r="42" customFormat="false" ht="12.75" hidden="false" customHeight="false" outlineLevel="0" collapsed="false">
      <c r="A42" s="19" t="str">
        <f aca="false">VxTxR!A43</f>
        <v>out/ano03</v>
      </c>
      <c r="B42" s="64" t="n">
        <f aca="false">IF(RIGHT(A42,1)="1",Premissas!$C$38,IF(RIGHT(A42,1)="2",Premissas!$C$39,IF(RIGHT(A42,1)="3",Premissas!$C$40,IF(RIGHT(A42,1)="4",Premissas!$C$41,IF(RIGHT(A42,1)="5",Premissas!$C$42,"valor não encontrado")))))</f>
        <v>5</v>
      </c>
      <c r="C42" s="65" t="n">
        <f aca="false">VLOOKUP(A42,v_t_r,9,0)</f>
        <v>284030</v>
      </c>
      <c r="D42" s="70"/>
      <c r="E42" s="65" t="n">
        <f aca="false">VLOOKUP(O42,CFM,2,0)</f>
        <v>27.8666666666667</v>
      </c>
      <c r="F42" s="66" t="n">
        <f aca="false">'DI, Tri e Pag'!$H$18</f>
        <v>0.05334821</v>
      </c>
      <c r="G42" s="65" t="n">
        <f aca="false">E42*F42</f>
        <v>1.48663678533333</v>
      </c>
      <c r="H42" s="66" t="n">
        <f aca="false">'DI, Tri e Pag'!$H$22</f>
        <v>0.0865</v>
      </c>
      <c r="I42" s="65" t="n">
        <f aca="false">C42*H42</f>
        <v>24568.595</v>
      </c>
      <c r="J42" s="65" t="n">
        <f aca="false">C42-(D42+E42+G42+I42)</f>
        <v>259432.051696548</v>
      </c>
      <c r="K42" s="67" t="n">
        <f aca="false">'DI, Tri e Pag'!$H$26</f>
        <v>0.2</v>
      </c>
      <c r="L42" s="65" t="n">
        <f aca="false">IF(J42&gt;0,K42*J42,0)</f>
        <v>51886.4103393096</v>
      </c>
      <c r="M42" s="65" t="n">
        <f aca="false">J42-L42</f>
        <v>207545.641357238</v>
      </c>
      <c r="N42" s="68" t="n">
        <f aca="false">M42+N41</f>
        <v>5419290.36536466</v>
      </c>
      <c r="O42" s="69" t="n">
        <v>4</v>
      </c>
    </row>
    <row r="43" customFormat="false" ht="12.75" hidden="false" customHeight="false" outlineLevel="0" collapsed="false">
      <c r="A43" s="19" t="str">
        <f aca="false">VxTxR!A44</f>
        <v>nov/ano03</v>
      </c>
      <c r="B43" s="64" t="n">
        <f aca="false">IF(RIGHT(A43,1)="1",Premissas!$C$38,IF(RIGHT(A43,1)="2",Premissas!$C$39,IF(RIGHT(A43,1)="3",Premissas!$C$40,IF(RIGHT(A43,1)="4",Premissas!$C$41,IF(RIGHT(A43,1)="5",Premissas!$C$42,"valor não encontrado")))))</f>
        <v>5</v>
      </c>
      <c r="C43" s="65" t="n">
        <f aca="false">VLOOKUP(A43,v_t_r,9,0)</f>
        <v>284030</v>
      </c>
      <c r="D43" s="70"/>
      <c r="E43" s="65" t="n">
        <f aca="false">VLOOKUP(O43,CFM,2,0)</f>
        <v>27.8666666666667</v>
      </c>
      <c r="F43" s="66" t="n">
        <f aca="false">'DI, Tri e Pag'!$H$18</f>
        <v>0.05334821</v>
      </c>
      <c r="G43" s="65" t="n">
        <f aca="false">E43*F43</f>
        <v>1.48663678533333</v>
      </c>
      <c r="H43" s="66" t="n">
        <f aca="false">'DI, Tri e Pag'!$H$22</f>
        <v>0.0865</v>
      </c>
      <c r="I43" s="65" t="n">
        <f aca="false">C43*H43</f>
        <v>24568.595</v>
      </c>
      <c r="J43" s="65" t="n">
        <f aca="false">C43-(D43+E43+G43+I43)</f>
        <v>259432.051696548</v>
      </c>
      <c r="K43" s="67" t="n">
        <f aca="false">'DI, Tri e Pag'!$H$26</f>
        <v>0.2</v>
      </c>
      <c r="L43" s="65" t="n">
        <f aca="false">IF(J43&gt;0,K43*J43,0)</f>
        <v>51886.4103393096</v>
      </c>
      <c r="M43" s="65" t="n">
        <f aca="false">J43-L43</f>
        <v>207545.641357238</v>
      </c>
      <c r="N43" s="68" t="n">
        <f aca="false">M43+N42</f>
        <v>5626836.0067219</v>
      </c>
      <c r="O43" s="69" t="n">
        <v>4</v>
      </c>
    </row>
    <row r="44" customFormat="false" ht="12.75" hidden="false" customHeight="false" outlineLevel="0" collapsed="false">
      <c r="A44" s="19" t="str">
        <f aca="false">VxTxR!A45</f>
        <v>dez/ano03</v>
      </c>
      <c r="B44" s="64" t="n">
        <f aca="false">IF(RIGHT(A44,1)="1",Premissas!$C$38,IF(RIGHT(A44,1)="2",Premissas!$C$39,IF(RIGHT(A44,1)="3",Premissas!$C$40,IF(RIGHT(A44,1)="4",Premissas!$C$41,IF(RIGHT(A44,1)="5",Premissas!$C$42,"valor não encontrado")))))</f>
        <v>5</v>
      </c>
      <c r="C44" s="65" t="n">
        <f aca="false">VLOOKUP(A44,v_t_r,9,0)</f>
        <v>170440</v>
      </c>
      <c r="D44" s="70"/>
      <c r="E44" s="65" t="n">
        <f aca="false">VLOOKUP(O44,CFM,2,0)</f>
        <v>27.8666666666667</v>
      </c>
      <c r="F44" s="66" t="n">
        <f aca="false">'DI, Tri e Pag'!$H$18</f>
        <v>0.05334821</v>
      </c>
      <c r="G44" s="65" t="n">
        <f aca="false">E44*F44</f>
        <v>1.48663678533333</v>
      </c>
      <c r="H44" s="66" t="n">
        <f aca="false">'DI, Tri e Pag'!$H$22</f>
        <v>0.0865</v>
      </c>
      <c r="I44" s="65" t="n">
        <f aca="false">C44*H44</f>
        <v>14743.06</v>
      </c>
      <c r="J44" s="65" t="n">
        <f aca="false">C44-(D44+E44+G44+I44)</f>
        <v>155667.586696548</v>
      </c>
      <c r="K44" s="67" t="n">
        <f aca="false">'DI, Tri e Pag'!$H$26</f>
        <v>0.2</v>
      </c>
      <c r="L44" s="65" t="n">
        <f aca="false">IF(J44&gt;0,K44*J44,0)</f>
        <v>31133.5173393096</v>
      </c>
      <c r="M44" s="65" t="n">
        <f aca="false">J44-L44</f>
        <v>124534.069357238</v>
      </c>
      <c r="N44" s="68" t="n">
        <f aca="false">M44+N43</f>
        <v>5751370.07607914</v>
      </c>
      <c r="O44" s="69" t="n">
        <v>4</v>
      </c>
    </row>
    <row r="45" customFormat="false" ht="12.75" hidden="false" customHeight="false" outlineLevel="0" collapsed="false">
      <c r="A45" s="71" t="str">
        <f aca="false">VxTxR!A46</f>
        <v>jan/ano04</v>
      </c>
      <c r="B45" s="72" t="n">
        <f aca="false">IF(RIGHT(A45,1)="1",Premissas!$C$38,IF(RIGHT(A45,1)="2",Premissas!$C$39,IF(RIGHT(A45,1)="3",Premissas!$C$40,IF(RIGHT(A45,1)="4",Premissas!$C$41,IF(RIGHT(A45,1)="5",Premissas!$C$42,"valor não encontrado")))))</f>
        <v>5.5</v>
      </c>
      <c r="C45" s="73" t="n">
        <f aca="false">VLOOKUP(A45,v_t_r,9,0)</f>
        <v>187484</v>
      </c>
      <c r="D45" s="74"/>
      <c r="E45" s="73" t="n">
        <f aca="false">VLOOKUP(O45,CFM,2,0)</f>
        <v>27.8666666666667</v>
      </c>
      <c r="F45" s="75" t="n">
        <f aca="false">'DI, Tri e Pag'!$H$18</f>
        <v>0.05334821</v>
      </c>
      <c r="G45" s="73" t="n">
        <f aca="false">E45*F45</f>
        <v>1.48663678533333</v>
      </c>
      <c r="H45" s="75" t="n">
        <f aca="false">'DI, Tri e Pag'!$H$22</f>
        <v>0.0865</v>
      </c>
      <c r="I45" s="73" t="n">
        <f aca="false">C45*H45</f>
        <v>16217.366</v>
      </c>
      <c r="J45" s="73" t="n">
        <f aca="false">C45-(D45+E45+G45+I45)</f>
        <v>171237.280696548</v>
      </c>
      <c r="K45" s="76" t="n">
        <f aca="false">'DI, Tri e Pag'!$H$26</f>
        <v>0.2</v>
      </c>
      <c r="L45" s="73" t="n">
        <f aca="false">IF(J45&gt;0,K45*J45,0)</f>
        <v>34247.4561393096</v>
      </c>
      <c r="M45" s="73" t="n">
        <f aca="false">J45-L45</f>
        <v>136989.824557238</v>
      </c>
      <c r="N45" s="77" t="n">
        <f aca="false">M45+N44</f>
        <v>5888359.90063638</v>
      </c>
      <c r="O45" s="69" t="n">
        <v>4</v>
      </c>
    </row>
    <row r="46" customFormat="false" ht="12.75" hidden="false" customHeight="false" outlineLevel="0" collapsed="false">
      <c r="A46" s="71" t="str">
        <f aca="false">VxTxR!A47</f>
        <v>fev/ano04</v>
      </c>
      <c r="B46" s="72" t="n">
        <f aca="false">IF(RIGHT(A46,1)="1",Premissas!$C$38,IF(RIGHT(A46,1)="2",Premissas!$C$39,IF(RIGHT(A46,1)="3",Premissas!$C$40,IF(RIGHT(A46,1)="4",Premissas!$C$41,IF(RIGHT(A46,1)="5",Premissas!$C$42,"valor não encontrado")))))</f>
        <v>5.5</v>
      </c>
      <c r="C46" s="73" t="n">
        <f aca="false">VLOOKUP(A46,v_t_r,9,0)</f>
        <v>218636</v>
      </c>
      <c r="D46" s="74"/>
      <c r="E46" s="73" t="n">
        <f aca="false">VLOOKUP(O46,CFM,2,0)</f>
        <v>27.8666666666667</v>
      </c>
      <c r="F46" s="75" t="n">
        <f aca="false">'DI, Tri e Pag'!$H$18</f>
        <v>0.05334821</v>
      </c>
      <c r="G46" s="73" t="n">
        <f aca="false">E46*F46</f>
        <v>1.48663678533333</v>
      </c>
      <c r="H46" s="75" t="n">
        <f aca="false">'DI, Tri e Pag'!$H$22</f>
        <v>0.0865</v>
      </c>
      <c r="I46" s="73" t="n">
        <f aca="false">C46*H46</f>
        <v>18912.014</v>
      </c>
      <c r="J46" s="73" t="n">
        <f aca="false">C46-(D46+E46+G46+I46)</f>
        <v>199694.632696548</v>
      </c>
      <c r="K46" s="76" t="n">
        <f aca="false">'DI, Tri e Pag'!$H$26</f>
        <v>0.2</v>
      </c>
      <c r="L46" s="73" t="n">
        <f aca="false">IF(J46&gt;0,K46*J46,0)</f>
        <v>39938.9265393096</v>
      </c>
      <c r="M46" s="73" t="n">
        <f aca="false">J46-L46</f>
        <v>159755.706157238</v>
      </c>
      <c r="N46" s="77" t="n">
        <f aca="false">M46+N45</f>
        <v>6048115.60679362</v>
      </c>
      <c r="O46" s="69" t="n">
        <v>4</v>
      </c>
    </row>
    <row r="47" customFormat="false" ht="12.75" hidden="false" customHeight="false" outlineLevel="0" collapsed="false">
      <c r="A47" s="71" t="str">
        <f aca="false">VxTxR!A48</f>
        <v>mar/ano04</v>
      </c>
      <c r="B47" s="72" t="n">
        <f aca="false">IF(RIGHT(A47,1)="1",Premissas!$C$38,IF(RIGHT(A47,1)="2",Premissas!$C$39,IF(RIGHT(A47,1)="3",Premissas!$C$40,IF(RIGHT(A47,1)="4",Premissas!$C$41,IF(RIGHT(A47,1)="5",Premissas!$C$42,"valor não encontrado")))))</f>
        <v>5.5</v>
      </c>
      <c r="C47" s="73" t="n">
        <f aca="false">VLOOKUP(A47,v_t_r,9,0)</f>
        <v>312433</v>
      </c>
      <c r="D47" s="74"/>
      <c r="E47" s="73" t="n">
        <f aca="false">VLOOKUP(O47,CFM,2,0)</f>
        <v>27.8666666666667</v>
      </c>
      <c r="F47" s="75" t="n">
        <f aca="false">'DI, Tri e Pag'!$H$18</f>
        <v>0.05334821</v>
      </c>
      <c r="G47" s="73" t="n">
        <f aca="false">E47*F47</f>
        <v>1.48663678533333</v>
      </c>
      <c r="H47" s="75" t="n">
        <f aca="false">'DI, Tri e Pag'!$H$22</f>
        <v>0.0865</v>
      </c>
      <c r="I47" s="73" t="n">
        <f aca="false">C47*H47</f>
        <v>27025.4545</v>
      </c>
      <c r="J47" s="73" t="n">
        <f aca="false">C47-(D47+E47+G47+I47)</f>
        <v>285378.192196548</v>
      </c>
      <c r="K47" s="76" t="n">
        <f aca="false">'DI, Tri e Pag'!$H$26</f>
        <v>0.2</v>
      </c>
      <c r="L47" s="73" t="n">
        <f aca="false">IF(J47&gt;0,K47*J47,0)</f>
        <v>57075.6384393096</v>
      </c>
      <c r="M47" s="73" t="n">
        <f aca="false">J47-L47</f>
        <v>228302.553757238</v>
      </c>
      <c r="N47" s="77" t="n">
        <f aca="false">M47+N46</f>
        <v>6276418.16055085</v>
      </c>
      <c r="O47" s="69" t="n">
        <v>4</v>
      </c>
    </row>
    <row r="48" customFormat="false" ht="12.75" hidden="false" customHeight="false" outlineLevel="0" collapsed="false">
      <c r="A48" s="71" t="str">
        <f aca="false">VxTxR!A49</f>
        <v>abr/ano04</v>
      </c>
      <c r="B48" s="72" t="n">
        <f aca="false">IF(RIGHT(A48,1)="1",Premissas!$C$38,IF(RIGHT(A48,1)="2",Premissas!$C$39,IF(RIGHT(A48,1)="3",Premissas!$C$40,IF(RIGHT(A48,1)="4",Premissas!$C$41,IF(RIGHT(A48,1)="5",Premissas!$C$42,"valor não encontrado")))))</f>
        <v>5.5</v>
      </c>
      <c r="C48" s="73" t="n">
        <f aca="false">VLOOKUP(A48,v_t_r,9,0)</f>
        <v>312433</v>
      </c>
      <c r="D48" s="74"/>
      <c r="E48" s="73" t="n">
        <f aca="false">VLOOKUP(O48,CFM,2,0)</f>
        <v>27.8666666666667</v>
      </c>
      <c r="F48" s="75" t="n">
        <f aca="false">'DI, Tri e Pag'!$H$18</f>
        <v>0.05334821</v>
      </c>
      <c r="G48" s="73" t="n">
        <f aca="false">E48*F48</f>
        <v>1.48663678533333</v>
      </c>
      <c r="H48" s="75" t="n">
        <f aca="false">'DI, Tri e Pag'!$H$22</f>
        <v>0.0865</v>
      </c>
      <c r="I48" s="73" t="n">
        <f aca="false">C48*H48</f>
        <v>27025.4545</v>
      </c>
      <c r="J48" s="73" t="n">
        <f aca="false">C48-(D48+E48+G48+I48)</f>
        <v>285378.192196548</v>
      </c>
      <c r="K48" s="76" t="n">
        <f aca="false">'DI, Tri e Pag'!$H$26</f>
        <v>0.2</v>
      </c>
      <c r="L48" s="73" t="n">
        <f aca="false">IF(J48&gt;0,K48*J48,0)</f>
        <v>57075.6384393096</v>
      </c>
      <c r="M48" s="73" t="n">
        <f aca="false">J48-L48</f>
        <v>228302.553757238</v>
      </c>
      <c r="N48" s="77" t="n">
        <f aca="false">M48+N47</f>
        <v>6504720.71430809</v>
      </c>
      <c r="O48" s="69" t="n">
        <v>5</v>
      </c>
    </row>
    <row r="49" customFormat="false" ht="12.75" hidden="false" customHeight="false" outlineLevel="0" collapsed="false">
      <c r="A49" s="71" t="str">
        <f aca="false">VxTxR!A50</f>
        <v>mai/ano04</v>
      </c>
      <c r="B49" s="72" t="n">
        <f aca="false">IF(RIGHT(A49,1)="1",Premissas!$C$38,IF(RIGHT(A49,1)="2",Premissas!$C$39,IF(RIGHT(A49,1)="3",Premissas!$C$40,IF(RIGHT(A49,1)="4",Premissas!$C$41,IF(RIGHT(A49,1)="5",Premissas!$C$42,"valor não encontrado")))))</f>
        <v>5.5</v>
      </c>
      <c r="C49" s="73" t="n">
        <f aca="false">VLOOKUP(A49,v_t_r,9,0)</f>
        <v>312433</v>
      </c>
      <c r="D49" s="74"/>
      <c r="E49" s="73" t="n">
        <f aca="false">VLOOKUP(O49,CFM,2,0)</f>
        <v>27.8666666666667</v>
      </c>
      <c r="F49" s="75" t="n">
        <f aca="false">'DI, Tri e Pag'!$H$18</f>
        <v>0.05334821</v>
      </c>
      <c r="G49" s="73" t="n">
        <f aca="false">E49*F49</f>
        <v>1.48663678533333</v>
      </c>
      <c r="H49" s="75" t="n">
        <f aca="false">'DI, Tri e Pag'!$H$22</f>
        <v>0.0865</v>
      </c>
      <c r="I49" s="73" t="n">
        <f aca="false">C49*H49</f>
        <v>27025.4545</v>
      </c>
      <c r="J49" s="73" t="n">
        <f aca="false">C49-(D49+E49+G49+I49)</f>
        <v>285378.192196548</v>
      </c>
      <c r="K49" s="76" t="n">
        <f aca="false">'DI, Tri e Pag'!$H$26</f>
        <v>0.2</v>
      </c>
      <c r="L49" s="73" t="n">
        <f aca="false">IF(J49&gt;0,K49*J49,0)</f>
        <v>57075.6384393096</v>
      </c>
      <c r="M49" s="73" t="n">
        <f aca="false">J49-L49</f>
        <v>228302.553757238</v>
      </c>
      <c r="N49" s="77" t="n">
        <f aca="false">M49+N48</f>
        <v>6733023.26806533</v>
      </c>
      <c r="O49" s="69" t="n">
        <v>5</v>
      </c>
    </row>
    <row r="50" customFormat="false" ht="12.75" hidden="false" customHeight="false" outlineLevel="0" collapsed="false">
      <c r="A50" s="71" t="str">
        <f aca="false">VxTxR!A51</f>
        <v>jun/ano04</v>
      </c>
      <c r="B50" s="72" t="n">
        <f aca="false">IF(RIGHT(A50,1)="1",Premissas!$C$38,IF(RIGHT(A50,1)="2",Premissas!$C$39,IF(RIGHT(A50,1)="3",Premissas!$C$40,IF(RIGHT(A50,1)="4",Premissas!$C$41,IF(RIGHT(A50,1)="5",Premissas!$C$42,"valor não encontrado")))))</f>
        <v>5.5</v>
      </c>
      <c r="C50" s="73" t="n">
        <f aca="false">VLOOKUP(A50,v_t_r,9,0)</f>
        <v>312433</v>
      </c>
      <c r="D50" s="74"/>
      <c r="E50" s="73" t="n">
        <f aca="false">VLOOKUP(O50,CFM,2,0)</f>
        <v>27.8666666666667</v>
      </c>
      <c r="F50" s="75" t="n">
        <f aca="false">'DI, Tri e Pag'!$H$18</f>
        <v>0.05334821</v>
      </c>
      <c r="G50" s="73" t="n">
        <f aca="false">E50*F50</f>
        <v>1.48663678533333</v>
      </c>
      <c r="H50" s="75" t="n">
        <f aca="false">'DI, Tri e Pag'!$H$22</f>
        <v>0.0865</v>
      </c>
      <c r="I50" s="73" t="n">
        <f aca="false">C50*H50</f>
        <v>27025.4545</v>
      </c>
      <c r="J50" s="73" t="n">
        <f aca="false">C50-(D50+E50+G50+I50)</f>
        <v>285378.192196548</v>
      </c>
      <c r="K50" s="76" t="n">
        <f aca="false">'DI, Tri e Pag'!$H$26</f>
        <v>0.2</v>
      </c>
      <c r="L50" s="73" t="n">
        <f aca="false">IF(J50&gt;0,K50*J50,0)</f>
        <v>57075.6384393096</v>
      </c>
      <c r="M50" s="73" t="n">
        <f aca="false">J50-L50</f>
        <v>228302.553757238</v>
      </c>
      <c r="N50" s="77" t="n">
        <f aca="false">M50+N49</f>
        <v>6961325.82182257</v>
      </c>
      <c r="O50" s="69" t="n">
        <v>5</v>
      </c>
    </row>
    <row r="51" customFormat="false" ht="12.75" hidden="false" customHeight="false" outlineLevel="0" collapsed="false">
      <c r="A51" s="71" t="str">
        <f aca="false">VxTxR!A52</f>
        <v>jul/ano04</v>
      </c>
      <c r="B51" s="72" t="n">
        <f aca="false">IF(RIGHT(A51,1)="1",Premissas!$C$38,IF(RIGHT(A51,1)="2",Premissas!$C$39,IF(RIGHT(A51,1)="3",Premissas!$C$40,IF(RIGHT(A51,1)="4",Premissas!$C$41,IF(RIGHT(A51,1)="5",Premissas!$C$42,"valor não encontrado")))))</f>
        <v>5.5</v>
      </c>
      <c r="C51" s="73" t="n">
        <f aca="false">VLOOKUP(A51,v_t_r,9,0)</f>
        <v>187484</v>
      </c>
      <c r="D51" s="74"/>
      <c r="E51" s="73" t="n">
        <f aca="false">VLOOKUP(O51,CFM,2,0)</f>
        <v>27.8666666666667</v>
      </c>
      <c r="F51" s="75" t="n">
        <f aca="false">'DI, Tri e Pag'!$H$18</f>
        <v>0.05334821</v>
      </c>
      <c r="G51" s="73" t="n">
        <f aca="false">E51*F51</f>
        <v>1.48663678533333</v>
      </c>
      <c r="H51" s="75" t="n">
        <f aca="false">'DI, Tri e Pag'!$H$22</f>
        <v>0.0865</v>
      </c>
      <c r="I51" s="73" t="n">
        <f aca="false">C51*H51</f>
        <v>16217.366</v>
      </c>
      <c r="J51" s="73" t="n">
        <f aca="false">C51-(D51+E51+G51+I51)</f>
        <v>171237.280696548</v>
      </c>
      <c r="K51" s="76" t="n">
        <f aca="false">'DI, Tri e Pag'!$H$26</f>
        <v>0.2</v>
      </c>
      <c r="L51" s="73" t="n">
        <f aca="false">IF(J51&gt;0,K51*J51,0)</f>
        <v>34247.4561393096</v>
      </c>
      <c r="M51" s="73" t="n">
        <f aca="false">J51-L51</f>
        <v>136989.824557238</v>
      </c>
      <c r="N51" s="77" t="n">
        <f aca="false">M51+N50</f>
        <v>7098315.64637981</v>
      </c>
      <c r="O51" s="69" t="n">
        <v>5</v>
      </c>
    </row>
    <row r="52" customFormat="false" ht="12.75" hidden="false" customHeight="false" outlineLevel="0" collapsed="false">
      <c r="A52" s="71" t="str">
        <f aca="false">VxTxR!A53</f>
        <v>ago/ano04</v>
      </c>
      <c r="B52" s="72" t="n">
        <f aca="false">IF(RIGHT(A52,1)="1",Premissas!$C$38,IF(RIGHT(A52,1)="2",Premissas!$C$39,IF(RIGHT(A52,1)="3",Premissas!$C$40,IF(RIGHT(A52,1)="4",Premissas!$C$41,IF(RIGHT(A52,1)="5",Premissas!$C$42,"valor não encontrado")))))</f>
        <v>5.5</v>
      </c>
      <c r="C52" s="73" t="n">
        <f aca="false">VLOOKUP(A52,v_t_r,9,0)</f>
        <v>312433</v>
      </c>
      <c r="D52" s="74"/>
      <c r="E52" s="73" t="n">
        <f aca="false">VLOOKUP(O52,CFM,2,0)</f>
        <v>27.8666666666667</v>
      </c>
      <c r="F52" s="75" t="n">
        <f aca="false">'DI, Tri e Pag'!$H$18</f>
        <v>0.05334821</v>
      </c>
      <c r="G52" s="73" t="n">
        <f aca="false">E52*F52</f>
        <v>1.48663678533333</v>
      </c>
      <c r="H52" s="75" t="n">
        <f aca="false">'DI, Tri e Pag'!$H$22</f>
        <v>0.0865</v>
      </c>
      <c r="I52" s="73" t="n">
        <f aca="false">C52*H52</f>
        <v>27025.4545</v>
      </c>
      <c r="J52" s="73" t="n">
        <f aca="false">C52-(D52+E52+G52+I52)</f>
        <v>285378.192196548</v>
      </c>
      <c r="K52" s="76" t="n">
        <f aca="false">'DI, Tri e Pag'!$H$26</f>
        <v>0.2</v>
      </c>
      <c r="L52" s="73" t="n">
        <f aca="false">IF(J52&gt;0,K52*J52,0)</f>
        <v>57075.6384393096</v>
      </c>
      <c r="M52" s="73" t="n">
        <f aca="false">J52-L52</f>
        <v>228302.553757238</v>
      </c>
      <c r="N52" s="77" t="n">
        <f aca="false">M52+N51</f>
        <v>7326618.20013705</v>
      </c>
      <c r="O52" s="69" t="n">
        <v>5</v>
      </c>
    </row>
    <row r="53" customFormat="false" ht="12.75" hidden="false" customHeight="false" outlineLevel="0" collapsed="false">
      <c r="A53" s="71" t="str">
        <f aca="false">VxTxR!A54</f>
        <v>set/ano04</v>
      </c>
      <c r="B53" s="72" t="n">
        <f aca="false">IF(RIGHT(A53,1)="1",Premissas!$C$38,IF(RIGHT(A53,1)="2",Premissas!$C$39,IF(RIGHT(A53,1)="3",Premissas!$C$40,IF(RIGHT(A53,1)="4",Premissas!$C$41,IF(RIGHT(A53,1)="5",Premissas!$C$42,"valor não encontrado")))))</f>
        <v>5.5</v>
      </c>
      <c r="C53" s="73" t="n">
        <f aca="false">VLOOKUP(A53,v_t_r,9,0)</f>
        <v>312433</v>
      </c>
      <c r="D53" s="74"/>
      <c r="E53" s="73" t="n">
        <f aca="false">VLOOKUP(O53,CFM,2,0)</f>
        <v>27.8666666666667</v>
      </c>
      <c r="F53" s="75" t="n">
        <f aca="false">'DI, Tri e Pag'!$H$18</f>
        <v>0.05334821</v>
      </c>
      <c r="G53" s="73" t="n">
        <f aca="false">E53*F53</f>
        <v>1.48663678533333</v>
      </c>
      <c r="H53" s="75" t="n">
        <f aca="false">'DI, Tri e Pag'!$H$22</f>
        <v>0.0865</v>
      </c>
      <c r="I53" s="73" t="n">
        <f aca="false">C53*H53</f>
        <v>27025.4545</v>
      </c>
      <c r="J53" s="73" t="n">
        <f aca="false">C53-(D53+E53+G53+I53)</f>
        <v>285378.192196548</v>
      </c>
      <c r="K53" s="76" t="n">
        <f aca="false">'DI, Tri e Pag'!$H$26</f>
        <v>0.2</v>
      </c>
      <c r="L53" s="73" t="n">
        <f aca="false">IF(J53&gt;0,K53*J53,0)</f>
        <v>57075.6384393096</v>
      </c>
      <c r="M53" s="73" t="n">
        <f aca="false">J53-L53</f>
        <v>228302.553757238</v>
      </c>
      <c r="N53" s="77" t="n">
        <f aca="false">M53+N52</f>
        <v>7554920.75389428</v>
      </c>
      <c r="O53" s="69" t="n">
        <v>5</v>
      </c>
    </row>
    <row r="54" customFormat="false" ht="12.75" hidden="false" customHeight="false" outlineLevel="0" collapsed="false">
      <c r="A54" s="71" t="str">
        <f aca="false">VxTxR!A55</f>
        <v>out/ano04</v>
      </c>
      <c r="B54" s="72" t="n">
        <f aca="false">IF(RIGHT(A54,1)="1",Premissas!$C$38,IF(RIGHT(A54,1)="2",Premissas!$C$39,IF(RIGHT(A54,1)="3",Premissas!$C$40,IF(RIGHT(A54,1)="4",Premissas!$C$41,IF(RIGHT(A54,1)="5",Premissas!$C$42,"valor não encontrado")))))</f>
        <v>5.5</v>
      </c>
      <c r="C54" s="73" t="n">
        <f aca="false">VLOOKUP(A54,v_t_r,9,0)</f>
        <v>312433</v>
      </c>
      <c r="D54" s="74"/>
      <c r="E54" s="73" t="n">
        <f aca="false">VLOOKUP(O54,CFM,2,0)</f>
        <v>27.8666666666667</v>
      </c>
      <c r="F54" s="75" t="n">
        <f aca="false">'DI, Tri e Pag'!$H$18</f>
        <v>0.05334821</v>
      </c>
      <c r="G54" s="73" t="n">
        <f aca="false">E54*F54</f>
        <v>1.48663678533333</v>
      </c>
      <c r="H54" s="75" t="n">
        <f aca="false">'DI, Tri e Pag'!$H$22</f>
        <v>0.0865</v>
      </c>
      <c r="I54" s="73" t="n">
        <f aca="false">C54*H54</f>
        <v>27025.4545</v>
      </c>
      <c r="J54" s="73" t="n">
        <f aca="false">C54-(D54+E54+G54+I54)</f>
        <v>285378.192196548</v>
      </c>
      <c r="K54" s="76" t="n">
        <f aca="false">'DI, Tri e Pag'!$H$26</f>
        <v>0.2</v>
      </c>
      <c r="L54" s="73" t="n">
        <f aca="false">IF(J54&gt;0,K54*J54,0)</f>
        <v>57075.6384393096</v>
      </c>
      <c r="M54" s="73" t="n">
        <f aca="false">J54-L54</f>
        <v>228302.553757238</v>
      </c>
      <c r="N54" s="77" t="n">
        <f aca="false">M54+N53</f>
        <v>7783223.30765152</v>
      </c>
      <c r="O54" s="69" t="n">
        <v>5</v>
      </c>
    </row>
    <row r="55" customFormat="false" ht="12.75" hidden="false" customHeight="false" outlineLevel="0" collapsed="false">
      <c r="A55" s="71" t="str">
        <f aca="false">VxTxR!A56</f>
        <v>nov/ano04</v>
      </c>
      <c r="B55" s="72" t="n">
        <f aca="false">IF(RIGHT(A55,1)="1",Premissas!$C$38,IF(RIGHT(A55,1)="2",Premissas!$C$39,IF(RIGHT(A55,1)="3",Premissas!$C$40,IF(RIGHT(A55,1)="4",Premissas!$C$41,IF(RIGHT(A55,1)="5",Premissas!$C$42,"valor não encontrado")))))</f>
        <v>5.5</v>
      </c>
      <c r="C55" s="73" t="n">
        <f aca="false">VLOOKUP(A55,v_t_r,9,0)</f>
        <v>312433</v>
      </c>
      <c r="D55" s="74"/>
      <c r="E55" s="73" t="n">
        <f aca="false">VLOOKUP(O55,CFM,2,0)</f>
        <v>27.8666666666667</v>
      </c>
      <c r="F55" s="75" t="n">
        <f aca="false">'DI, Tri e Pag'!$H$18</f>
        <v>0.05334821</v>
      </c>
      <c r="G55" s="73" t="n">
        <f aca="false">E55*F55</f>
        <v>1.48663678533333</v>
      </c>
      <c r="H55" s="75" t="n">
        <f aca="false">'DI, Tri e Pag'!$H$22</f>
        <v>0.0865</v>
      </c>
      <c r="I55" s="73" t="n">
        <f aca="false">C55*H55</f>
        <v>27025.4545</v>
      </c>
      <c r="J55" s="73" t="n">
        <f aca="false">C55-(D55+E55+G55+I55)</f>
        <v>285378.192196548</v>
      </c>
      <c r="K55" s="76" t="n">
        <f aca="false">'DI, Tri e Pag'!$H$26</f>
        <v>0.2</v>
      </c>
      <c r="L55" s="73" t="n">
        <f aca="false">IF(J55&gt;0,K55*J55,0)</f>
        <v>57075.6384393096</v>
      </c>
      <c r="M55" s="73" t="n">
        <f aca="false">J55-L55</f>
        <v>228302.553757238</v>
      </c>
      <c r="N55" s="77" t="n">
        <f aca="false">M55+N54</f>
        <v>8011525.86140876</v>
      </c>
      <c r="O55" s="69" t="n">
        <v>5</v>
      </c>
    </row>
    <row r="56" customFormat="false" ht="12.75" hidden="false" customHeight="false" outlineLevel="0" collapsed="false">
      <c r="A56" s="71" t="str">
        <f aca="false">VxTxR!A57</f>
        <v>dez/ano04</v>
      </c>
      <c r="B56" s="72" t="n">
        <f aca="false">IF(RIGHT(A56,1)="1",Premissas!$C$38,IF(RIGHT(A56,1)="2",Premissas!$C$39,IF(RIGHT(A56,1)="3",Premissas!$C$40,IF(RIGHT(A56,1)="4",Premissas!$C$41,IF(RIGHT(A56,1)="5",Premissas!$C$42,"valor não encontrado")))))</f>
        <v>5.5</v>
      </c>
      <c r="C56" s="73" t="n">
        <f aca="false">VLOOKUP(A56,v_t_r,9,0)</f>
        <v>187484</v>
      </c>
      <c r="D56" s="74"/>
      <c r="E56" s="73" t="n">
        <f aca="false">VLOOKUP(O56,CFM,2,0)</f>
        <v>27.8666666666667</v>
      </c>
      <c r="F56" s="75" t="n">
        <f aca="false">'DI, Tri e Pag'!$H$18</f>
        <v>0.05334821</v>
      </c>
      <c r="G56" s="73" t="n">
        <f aca="false">E56*F56</f>
        <v>1.48663678533333</v>
      </c>
      <c r="H56" s="75" t="n">
        <f aca="false">'DI, Tri e Pag'!$H$22</f>
        <v>0.0865</v>
      </c>
      <c r="I56" s="73" t="n">
        <f aca="false">C56*H56</f>
        <v>16217.366</v>
      </c>
      <c r="J56" s="73" t="n">
        <f aca="false">C56-(D56+E56+G56+I56)</f>
        <v>171237.280696548</v>
      </c>
      <c r="K56" s="76" t="n">
        <f aca="false">'DI, Tri e Pag'!$H$26</f>
        <v>0.2</v>
      </c>
      <c r="L56" s="73" t="n">
        <f aca="false">IF(J56&gt;0,K56*J56,0)</f>
        <v>34247.4561393096</v>
      </c>
      <c r="M56" s="73" t="n">
        <f aca="false">J56-L56</f>
        <v>136989.824557238</v>
      </c>
      <c r="N56" s="77" t="n">
        <f aca="false">M56+N55</f>
        <v>8148515.685966</v>
      </c>
      <c r="O56" s="69" t="n">
        <v>5</v>
      </c>
    </row>
    <row r="57" customFormat="false" ht="12.75" hidden="false" customHeight="false" outlineLevel="0" collapsed="false">
      <c r="A57" s="19" t="str">
        <f aca="false">VxTxR!A58</f>
        <v>jan/ano05</v>
      </c>
      <c r="B57" s="64" t="n">
        <f aca="false">IF(RIGHT(A57,1)="1",Premissas!$C$38,IF(RIGHT(A57,1)="2",Premissas!$C$39,IF(RIGHT(A57,1)="3",Premissas!$C$40,IF(RIGHT(A57,1)="4",Premissas!$C$41,IF(RIGHT(A57,1)="5",Premissas!$C$42,"valor não encontrado")))))</f>
        <v>6</v>
      </c>
      <c r="C57" s="65" t="n">
        <f aca="false">VLOOKUP(A57,v_t_r,9,0)</f>
        <v>204528</v>
      </c>
      <c r="D57" s="70"/>
      <c r="E57" s="65" t="n">
        <f aca="false">VLOOKUP(O57,CFM,2,0)</f>
        <v>27.8666666666667</v>
      </c>
      <c r="F57" s="66" t="n">
        <f aca="false">'DI, Tri e Pag'!$H$18</f>
        <v>0.05334821</v>
      </c>
      <c r="G57" s="65" t="n">
        <f aca="false">E57*F57</f>
        <v>1.48663678533333</v>
      </c>
      <c r="H57" s="66" t="n">
        <f aca="false">'DI, Tri e Pag'!$H$22</f>
        <v>0.0865</v>
      </c>
      <c r="I57" s="65" t="n">
        <f aca="false">C57*H57</f>
        <v>17691.672</v>
      </c>
      <c r="J57" s="65" t="n">
        <f aca="false">C57-(D57+E57+G57+I57)</f>
        <v>186806.974696548</v>
      </c>
      <c r="K57" s="67" t="n">
        <f aca="false">'DI, Tri e Pag'!$H$26</f>
        <v>0.2</v>
      </c>
      <c r="L57" s="65" t="n">
        <f aca="false">IF(J57&gt;0,K57*J57,0)</f>
        <v>37361.3949393096</v>
      </c>
      <c r="M57" s="65" t="n">
        <f aca="false">J57-L57</f>
        <v>149445.579757238</v>
      </c>
      <c r="N57" s="68" t="n">
        <f aca="false">M57+N56</f>
        <v>8297961.26572324</v>
      </c>
      <c r="O57" s="69" t="n">
        <v>5</v>
      </c>
    </row>
    <row r="58" customFormat="false" ht="12.75" hidden="false" customHeight="false" outlineLevel="0" collapsed="false">
      <c r="A58" s="19" t="str">
        <f aca="false">VxTxR!A59</f>
        <v>fev/ano05</v>
      </c>
      <c r="B58" s="64" t="n">
        <f aca="false">IF(RIGHT(A58,1)="1",Premissas!$C$38,IF(RIGHT(A58,1)="2",Premissas!$C$39,IF(RIGHT(A58,1)="3",Premissas!$C$40,IF(RIGHT(A58,1)="4",Premissas!$C$41,IF(RIGHT(A58,1)="5",Premissas!$C$42,"valor não encontrado")))))</f>
        <v>6</v>
      </c>
      <c r="C58" s="65" t="n">
        <f aca="false">VLOOKUP(A58,v_t_r,9,0)</f>
        <v>238512</v>
      </c>
      <c r="D58" s="70"/>
      <c r="E58" s="65" t="n">
        <f aca="false">VLOOKUP(O58,CFM,2,0)</f>
        <v>27.8666666666667</v>
      </c>
      <c r="F58" s="66" t="n">
        <f aca="false">'DI, Tri e Pag'!$H$18</f>
        <v>0.05334821</v>
      </c>
      <c r="G58" s="65" t="n">
        <f aca="false">E58*F58</f>
        <v>1.48663678533333</v>
      </c>
      <c r="H58" s="66" t="n">
        <f aca="false">'DI, Tri e Pag'!$H$22</f>
        <v>0.0865</v>
      </c>
      <c r="I58" s="65" t="n">
        <f aca="false">C58*H58</f>
        <v>20631.288</v>
      </c>
      <c r="J58" s="65" t="n">
        <f aca="false">C58-(D58+E58+G58+I58)</f>
        <v>217851.358696548</v>
      </c>
      <c r="K58" s="67" t="n">
        <f aca="false">'DI, Tri e Pag'!$H$26</f>
        <v>0.2</v>
      </c>
      <c r="L58" s="65" t="n">
        <f aca="false">IF(J58&gt;0,K58*J58,0)</f>
        <v>43570.2717393096</v>
      </c>
      <c r="M58" s="65" t="n">
        <f aca="false">J58-L58</f>
        <v>174281.086957238</v>
      </c>
      <c r="N58" s="68" t="n">
        <f aca="false">M58+N57</f>
        <v>8472242.35268047</v>
      </c>
      <c r="O58" s="69" t="n">
        <v>5</v>
      </c>
    </row>
    <row r="59" customFormat="false" ht="12.75" hidden="false" customHeight="false" outlineLevel="0" collapsed="false">
      <c r="A59" s="19" t="str">
        <f aca="false">VxTxR!A60</f>
        <v>mar/ano05</v>
      </c>
      <c r="B59" s="64" t="n">
        <f aca="false">IF(RIGHT(A59,1)="1",Premissas!$C$38,IF(RIGHT(A59,1)="2",Premissas!$C$39,IF(RIGHT(A59,1)="3",Premissas!$C$40,IF(RIGHT(A59,1)="4",Premissas!$C$41,IF(RIGHT(A59,1)="5",Premissas!$C$42,"valor não encontrado")))))</f>
        <v>6</v>
      </c>
      <c r="C59" s="65" t="n">
        <f aca="false">VLOOKUP(A59,v_t_r,9,0)</f>
        <v>340836</v>
      </c>
      <c r="D59" s="70"/>
      <c r="E59" s="65" t="n">
        <f aca="false">VLOOKUP(O59,CFM,2,0)</f>
        <v>27.8666666666667</v>
      </c>
      <c r="F59" s="66" t="n">
        <f aca="false">'DI, Tri e Pag'!$H$18</f>
        <v>0.05334821</v>
      </c>
      <c r="G59" s="65" t="n">
        <f aca="false">E59*F59</f>
        <v>1.48663678533333</v>
      </c>
      <c r="H59" s="66" t="n">
        <f aca="false">'DI, Tri e Pag'!$H$22</f>
        <v>0.0865</v>
      </c>
      <c r="I59" s="65" t="n">
        <f aca="false">C59*H59</f>
        <v>29482.314</v>
      </c>
      <c r="J59" s="65" t="n">
        <f aca="false">C59-(D59+E59+G59+I59)</f>
        <v>311324.332696548</v>
      </c>
      <c r="K59" s="67" t="n">
        <f aca="false">'DI, Tri e Pag'!$H$26</f>
        <v>0.2</v>
      </c>
      <c r="L59" s="65" t="n">
        <f aca="false">IF(J59&gt;0,K59*J59,0)</f>
        <v>62264.8665393096</v>
      </c>
      <c r="M59" s="65" t="n">
        <f aca="false">J59-L59</f>
        <v>249059.466157238</v>
      </c>
      <c r="N59" s="68" t="n">
        <f aca="false">M59+N58</f>
        <v>8721301.81883771</v>
      </c>
      <c r="O59" s="69" t="n">
        <v>5</v>
      </c>
    </row>
    <row r="60" customFormat="false" ht="12.75" hidden="false" customHeight="false" outlineLevel="0" collapsed="false">
      <c r="A60" s="19" t="str">
        <f aca="false">VxTxR!A61</f>
        <v>abr/ano05</v>
      </c>
      <c r="B60" s="64" t="n">
        <f aca="false">IF(RIGHT(A60,1)="1",Premissas!$C$38,IF(RIGHT(A60,1)="2",Premissas!$C$39,IF(RIGHT(A60,1)="3",Premissas!$C$40,IF(RIGHT(A60,1)="4",Premissas!$C$41,IF(RIGHT(A60,1)="5",Premissas!$C$42,"valor não encontrado")))))</f>
        <v>6</v>
      </c>
      <c r="C60" s="65" t="n">
        <f aca="false">VLOOKUP(A60,v_t_r,9,0)</f>
        <v>340836</v>
      </c>
      <c r="D60" s="70"/>
      <c r="E60" s="65" t="n">
        <f aca="false">VLOOKUP(O60,CFM,2,0)</f>
        <v>27.8666666666667</v>
      </c>
      <c r="F60" s="66" t="n">
        <f aca="false">'DI, Tri e Pag'!$H$18</f>
        <v>0.05334821</v>
      </c>
      <c r="G60" s="65" t="n">
        <f aca="false">E60*F60</f>
        <v>1.48663678533333</v>
      </c>
      <c r="H60" s="66" t="n">
        <f aca="false">'DI, Tri e Pag'!$H$22</f>
        <v>0.0865</v>
      </c>
      <c r="I60" s="65" t="n">
        <f aca="false">C60*H60</f>
        <v>29482.314</v>
      </c>
      <c r="J60" s="65" t="n">
        <f aca="false">C60-(D60+E60+G60+I60)</f>
        <v>311324.332696548</v>
      </c>
      <c r="K60" s="67" t="n">
        <f aca="false">'DI, Tri e Pag'!$H$26</f>
        <v>0.2</v>
      </c>
      <c r="L60" s="65" t="n">
        <f aca="false">IF(J60&gt;0,K60*J60,0)</f>
        <v>62264.8665393096</v>
      </c>
      <c r="M60" s="65" t="n">
        <f aca="false">J60-L60</f>
        <v>249059.466157238</v>
      </c>
      <c r="N60" s="68" t="n">
        <f aca="false">M60+N59</f>
        <v>8970361.28499495</v>
      </c>
      <c r="O60" s="69" t="n">
        <v>6</v>
      </c>
    </row>
    <row r="61" customFormat="false" ht="12.75" hidden="false" customHeight="false" outlineLevel="0" collapsed="false">
      <c r="A61" s="19" t="str">
        <f aca="false">VxTxR!A62</f>
        <v>mai/ano05</v>
      </c>
      <c r="B61" s="64" t="n">
        <f aca="false">IF(RIGHT(A61,1)="1",Premissas!$C$38,IF(RIGHT(A61,1)="2",Premissas!$C$39,IF(RIGHT(A61,1)="3",Premissas!$C$40,IF(RIGHT(A61,1)="4",Premissas!$C$41,IF(RIGHT(A61,1)="5",Premissas!$C$42,"valor não encontrado")))))</f>
        <v>6</v>
      </c>
      <c r="C61" s="65" t="n">
        <f aca="false">VLOOKUP(A61,v_t_r,9,0)</f>
        <v>340836</v>
      </c>
      <c r="D61" s="70"/>
      <c r="E61" s="65" t="n">
        <f aca="false">VLOOKUP(O61,CFM,2,0)</f>
        <v>27.8666666666667</v>
      </c>
      <c r="F61" s="66" t="n">
        <f aca="false">'DI, Tri e Pag'!$H$18</f>
        <v>0.05334821</v>
      </c>
      <c r="G61" s="65" t="n">
        <f aca="false">E61*F61</f>
        <v>1.48663678533333</v>
      </c>
      <c r="H61" s="66" t="n">
        <f aca="false">'DI, Tri e Pag'!$H$22</f>
        <v>0.0865</v>
      </c>
      <c r="I61" s="65" t="n">
        <f aca="false">C61*H61</f>
        <v>29482.314</v>
      </c>
      <c r="J61" s="65" t="n">
        <f aca="false">C61-(D61+E61+G61+I61)</f>
        <v>311324.332696548</v>
      </c>
      <c r="K61" s="67" t="n">
        <f aca="false">'DI, Tri e Pag'!$H$26</f>
        <v>0.2</v>
      </c>
      <c r="L61" s="65" t="n">
        <f aca="false">IF(J61&gt;0,K61*J61,0)</f>
        <v>62264.8665393096</v>
      </c>
      <c r="M61" s="65" t="n">
        <f aca="false">J61-L61</f>
        <v>249059.466157238</v>
      </c>
      <c r="N61" s="68" t="n">
        <f aca="false">M61+N60</f>
        <v>9219420.75115219</v>
      </c>
      <c r="O61" s="69" t="n">
        <v>6</v>
      </c>
    </row>
    <row r="62" customFormat="false" ht="12.75" hidden="false" customHeight="false" outlineLevel="0" collapsed="false">
      <c r="A62" s="19" t="str">
        <f aca="false">VxTxR!A63</f>
        <v>jun/ano05</v>
      </c>
      <c r="B62" s="64" t="n">
        <f aca="false">IF(RIGHT(A62,1)="1",Premissas!$C$38,IF(RIGHT(A62,1)="2",Premissas!$C$39,IF(RIGHT(A62,1)="3",Premissas!$C$40,IF(RIGHT(A62,1)="4",Premissas!$C$41,IF(RIGHT(A62,1)="5",Premissas!$C$42,"valor não encontrado")))))</f>
        <v>6</v>
      </c>
      <c r="C62" s="65" t="n">
        <f aca="false">VLOOKUP(A62,v_t_r,9,0)</f>
        <v>340836</v>
      </c>
      <c r="D62" s="70"/>
      <c r="E62" s="65" t="n">
        <f aca="false">VLOOKUP(O62,CFM,2,0)</f>
        <v>27.8666666666667</v>
      </c>
      <c r="F62" s="66" t="n">
        <f aca="false">'DI, Tri e Pag'!$H$18</f>
        <v>0.05334821</v>
      </c>
      <c r="G62" s="65" t="n">
        <f aca="false">E62*F62</f>
        <v>1.48663678533333</v>
      </c>
      <c r="H62" s="66" t="n">
        <f aca="false">'DI, Tri e Pag'!$H$22</f>
        <v>0.0865</v>
      </c>
      <c r="I62" s="65" t="n">
        <f aca="false">C62*H62</f>
        <v>29482.314</v>
      </c>
      <c r="J62" s="65" t="n">
        <f aca="false">C62-(D62+E62+G62+I62)</f>
        <v>311324.332696548</v>
      </c>
      <c r="K62" s="67" t="n">
        <f aca="false">'DI, Tri e Pag'!$H$26</f>
        <v>0.2</v>
      </c>
      <c r="L62" s="65" t="n">
        <f aca="false">IF(J62&gt;0,K62*J62,0)</f>
        <v>62264.8665393096</v>
      </c>
      <c r="M62" s="65" t="n">
        <f aca="false">J62-L62</f>
        <v>249059.466157238</v>
      </c>
      <c r="N62" s="68" t="n">
        <f aca="false">M62+N61</f>
        <v>9468480.21730943</v>
      </c>
      <c r="O62" s="69" t="n">
        <v>6</v>
      </c>
    </row>
    <row r="63" customFormat="false" ht="12.75" hidden="false" customHeight="false" outlineLevel="0" collapsed="false">
      <c r="A63" s="19" t="str">
        <f aca="false">VxTxR!A64</f>
        <v>jul/ano05</v>
      </c>
      <c r="B63" s="64" t="n">
        <f aca="false">IF(RIGHT(A63,1)="1",Premissas!$C$38,IF(RIGHT(A63,1)="2",Premissas!$C$39,IF(RIGHT(A63,1)="3",Premissas!$C$40,IF(RIGHT(A63,1)="4",Premissas!$C$41,IF(RIGHT(A63,1)="5",Premissas!$C$42,"valor não encontrado")))))</f>
        <v>6</v>
      </c>
      <c r="C63" s="65" t="n">
        <f aca="false">VLOOKUP(A63,v_t_r,9,0)</f>
        <v>204528</v>
      </c>
      <c r="D63" s="70"/>
      <c r="E63" s="65" t="n">
        <f aca="false">VLOOKUP(O63,CFM,2,0)</f>
        <v>27.8666666666667</v>
      </c>
      <c r="F63" s="66" t="n">
        <f aca="false">'DI, Tri e Pag'!$H$18</f>
        <v>0.05334821</v>
      </c>
      <c r="G63" s="65" t="n">
        <f aca="false">E63*F63</f>
        <v>1.48663678533333</v>
      </c>
      <c r="H63" s="66" t="n">
        <f aca="false">'DI, Tri e Pag'!$H$22</f>
        <v>0.0865</v>
      </c>
      <c r="I63" s="65" t="n">
        <f aca="false">C63*H63</f>
        <v>17691.672</v>
      </c>
      <c r="J63" s="65" t="n">
        <f aca="false">C63-(D63+E63+G63+I63)</f>
        <v>186806.974696548</v>
      </c>
      <c r="K63" s="67" t="n">
        <f aca="false">'DI, Tri e Pag'!$H$26</f>
        <v>0.2</v>
      </c>
      <c r="L63" s="65" t="n">
        <f aca="false">IF(J63&gt;0,K63*J63,0)</f>
        <v>37361.3949393096</v>
      </c>
      <c r="M63" s="65" t="n">
        <f aca="false">J63-L63</f>
        <v>149445.579757238</v>
      </c>
      <c r="N63" s="68" t="n">
        <f aca="false">M63+N62</f>
        <v>9617925.79706667</v>
      </c>
      <c r="O63" s="69" t="n">
        <v>6</v>
      </c>
    </row>
    <row r="64" customFormat="false" ht="12.75" hidden="false" customHeight="false" outlineLevel="0" collapsed="false">
      <c r="A64" s="19" t="str">
        <f aca="false">VxTxR!A65</f>
        <v>ago/ano05</v>
      </c>
      <c r="B64" s="64" t="n">
        <f aca="false">IF(RIGHT(A64,1)="1",Premissas!$C$38,IF(RIGHT(A64,1)="2",Premissas!$C$39,IF(RIGHT(A64,1)="3",Premissas!$C$40,IF(RIGHT(A64,1)="4",Premissas!$C$41,IF(RIGHT(A64,1)="5",Premissas!$C$42,"valor não encontrado")))))</f>
        <v>6</v>
      </c>
      <c r="C64" s="65" t="n">
        <f aca="false">VLOOKUP(A64,v_t_r,9,0)</f>
        <v>340836</v>
      </c>
      <c r="D64" s="70"/>
      <c r="E64" s="65" t="n">
        <f aca="false">VLOOKUP(O64,CFM,2,0)</f>
        <v>27.8666666666667</v>
      </c>
      <c r="F64" s="66" t="n">
        <f aca="false">'DI, Tri e Pag'!$H$18</f>
        <v>0.05334821</v>
      </c>
      <c r="G64" s="65" t="n">
        <f aca="false">E64*F64</f>
        <v>1.48663678533333</v>
      </c>
      <c r="H64" s="66" t="n">
        <f aca="false">'DI, Tri e Pag'!$H$22</f>
        <v>0.0865</v>
      </c>
      <c r="I64" s="65" t="n">
        <f aca="false">C64*H64</f>
        <v>29482.314</v>
      </c>
      <c r="J64" s="65" t="n">
        <f aca="false">C64-(D64+E64+G64+I64)</f>
        <v>311324.332696548</v>
      </c>
      <c r="K64" s="67" t="n">
        <f aca="false">'DI, Tri e Pag'!$H$26</f>
        <v>0.2</v>
      </c>
      <c r="L64" s="65" t="n">
        <f aca="false">IF(J64&gt;0,K64*J64,0)</f>
        <v>62264.8665393096</v>
      </c>
      <c r="M64" s="65" t="n">
        <f aca="false">J64-L64</f>
        <v>249059.466157238</v>
      </c>
      <c r="N64" s="68" t="n">
        <f aca="false">M64+N63</f>
        <v>9866985.26322391</v>
      </c>
      <c r="O64" s="69" t="n">
        <v>6</v>
      </c>
    </row>
    <row r="65" customFormat="false" ht="12.75" hidden="false" customHeight="false" outlineLevel="0" collapsed="false">
      <c r="A65" s="19" t="str">
        <f aca="false">VxTxR!A66</f>
        <v>set/ano05</v>
      </c>
      <c r="B65" s="64" t="n">
        <f aca="false">IF(RIGHT(A65,1)="1",Premissas!$C$38,IF(RIGHT(A65,1)="2",Premissas!$C$39,IF(RIGHT(A65,1)="3",Premissas!$C$40,IF(RIGHT(A65,1)="4",Premissas!$C$41,IF(RIGHT(A65,1)="5",Premissas!$C$42,"valor não encontrado")))))</f>
        <v>6</v>
      </c>
      <c r="C65" s="65" t="n">
        <f aca="false">VLOOKUP(A65,v_t_r,9,0)</f>
        <v>340836</v>
      </c>
      <c r="D65" s="70"/>
      <c r="E65" s="65" t="n">
        <f aca="false">VLOOKUP(O65,CFM,2,0)</f>
        <v>27.8666666666667</v>
      </c>
      <c r="F65" s="66" t="n">
        <f aca="false">'DI, Tri e Pag'!$H$18</f>
        <v>0.05334821</v>
      </c>
      <c r="G65" s="65" t="n">
        <f aca="false">E65*F65</f>
        <v>1.48663678533333</v>
      </c>
      <c r="H65" s="66" t="n">
        <f aca="false">'DI, Tri e Pag'!$H$22</f>
        <v>0.0865</v>
      </c>
      <c r="I65" s="65" t="n">
        <f aca="false">C65*H65</f>
        <v>29482.314</v>
      </c>
      <c r="J65" s="65" t="n">
        <f aca="false">C65-(D65+E65+G65+I65)</f>
        <v>311324.332696548</v>
      </c>
      <c r="K65" s="67" t="n">
        <f aca="false">'DI, Tri e Pag'!$H$26</f>
        <v>0.2</v>
      </c>
      <c r="L65" s="65" t="n">
        <f aca="false">IF(J65&gt;0,K65*J65,0)</f>
        <v>62264.8665393096</v>
      </c>
      <c r="M65" s="65" t="n">
        <f aca="false">J65-L65</f>
        <v>249059.466157238</v>
      </c>
      <c r="N65" s="68" t="n">
        <f aca="false">M65+N64</f>
        <v>10116044.7293811</v>
      </c>
      <c r="O65" s="69" t="n">
        <v>6</v>
      </c>
    </row>
    <row r="66" customFormat="false" ht="12.75" hidden="false" customHeight="false" outlineLevel="0" collapsed="false">
      <c r="A66" s="19" t="str">
        <f aca="false">VxTxR!A67</f>
        <v>out/ano05</v>
      </c>
      <c r="B66" s="64" t="n">
        <f aca="false">IF(RIGHT(A66,1)="1",Premissas!$C$38,IF(RIGHT(A66,1)="2",Premissas!$C$39,IF(RIGHT(A66,1)="3",Premissas!$C$40,IF(RIGHT(A66,1)="4",Premissas!$C$41,IF(RIGHT(A66,1)="5",Premissas!$C$42,"valor não encontrado")))))</f>
        <v>6</v>
      </c>
      <c r="C66" s="65" t="n">
        <f aca="false">VLOOKUP(A66,v_t_r,9,0)</f>
        <v>340836</v>
      </c>
      <c r="D66" s="70"/>
      <c r="E66" s="65" t="n">
        <f aca="false">VLOOKUP(O66,CFM,2,0)</f>
        <v>27.8666666666667</v>
      </c>
      <c r="F66" s="66" t="n">
        <f aca="false">'DI, Tri e Pag'!$H$18</f>
        <v>0.05334821</v>
      </c>
      <c r="G66" s="65" t="n">
        <f aca="false">E66*F66</f>
        <v>1.48663678533333</v>
      </c>
      <c r="H66" s="66" t="n">
        <f aca="false">'DI, Tri e Pag'!$H$22</f>
        <v>0.0865</v>
      </c>
      <c r="I66" s="65" t="n">
        <f aca="false">C66*H66</f>
        <v>29482.314</v>
      </c>
      <c r="J66" s="65" t="n">
        <f aca="false">C66-(D66+E66+G66+I66)</f>
        <v>311324.332696548</v>
      </c>
      <c r="K66" s="67" t="n">
        <f aca="false">'DI, Tri e Pag'!$H$26</f>
        <v>0.2</v>
      </c>
      <c r="L66" s="65" t="n">
        <f aca="false">IF(J66&gt;0,K66*J66,0)</f>
        <v>62264.8665393096</v>
      </c>
      <c r="M66" s="65" t="n">
        <f aca="false">J66-L66</f>
        <v>249059.466157238</v>
      </c>
      <c r="N66" s="68" t="n">
        <f aca="false">M66+N65</f>
        <v>10365104.1955384</v>
      </c>
      <c r="O66" s="69" t="n">
        <v>6</v>
      </c>
    </row>
    <row r="67" customFormat="false" ht="12.75" hidden="false" customHeight="false" outlineLevel="0" collapsed="false">
      <c r="A67" s="19" t="str">
        <f aca="false">VxTxR!A68</f>
        <v>nov/ano05</v>
      </c>
      <c r="B67" s="64" t="n">
        <f aca="false">IF(RIGHT(A67,1)="1",Premissas!$C$38,IF(RIGHT(A67,1)="2",Premissas!$C$39,IF(RIGHT(A67,1)="3",Premissas!$C$40,IF(RIGHT(A67,1)="4",Premissas!$C$41,IF(RIGHT(A67,1)="5",Premissas!$C$42,"valor não encontrado")))))</f>
        <v>6</v>
      </c>
      <c r="C67" s="65" t="n">
        <f aca="false">VLOOKUP(A67,v_t_r,9,0)</f>
        <v>340836</v>
      </c>
      <c r="D67" s="70"/>
      <c r="E67" s="65" t="n">
        <f aca="false">VLOOKUP(O67,CFM,2,0)</f>
        <v>27.8666666666667</v>
      </c>
      <c r="F67" s="66" t="n">
        <f aca="false">'DI, Tri e Pag'!$H$18</f>
        <v>0.05334821</v>
      </c>
      <c r="G67" s="65" t="n">
        <f aca="false">E67*F67</f>
        <v>1.48663678533333</v>
      </c>
      <c r="H67" s="66" t="n">
        <f aca="false">'DI, Tri e Pag'!$H$22</f>
        <v>0.0865</v>
      </c>
      <c r="I67" s="65" t="n">
        <f aca="false">C67*H67</f>
        <v>29482.314</v>
      </c>
      <c r="J67" s="65" t="n">
        <f aca="false">C67-(D67+E67+G67+I67)</f>
        <v>311324.332696548</v>
      </c>
      <c r="K67" s="67" t="n">
        <f aca="false">'DI, Tri e Pag'!$H$26</f>
        <v>0.2</v>
      </c>
      <c r="L67" s="65" t="n">
        <f aca="false">IF(J67&gt;0,K67*J67,0)</f>
        <v>62264.8665393096</v>
      </c>
      <c r="M67" s="65" t="n">
        <f aca="false">J67-L67</f>
        <v>249059.466157238</v>
      </c>
      <c r="N67" s="68" t="n">
        <f aca="false">M67+N66</f>
        <v>10614163.6616956</v>
      </c>
      <c r="O67" s="69" t="n">
        <v>6</v>
      </c>
    </row>
    <row r="68" customFormat="false" ht="12.75" hidden="false" customHeight="false" outlineLevel="0" collapsed="false">
      <c r="A68" s="19" t="str">
        <f aca="false">VxTxR!A69</f>
        <v>dez/ano05</v>
      </c>
      <c r="B68" s="64" t="n">
        <f aca="false">IF(RIGHT(A68,1)="1",Premissas!$C$38,IF(RIGHT(A68,1)="2",Premissas!$C$39,IF(RIGHT(A68,1)="3",Premissas!$C$40,IF(RIGHT(A68,1)="4",Premissas!$C$41,IF(RIGHT(A68,1)="5",Premissas!$C$42,"valor não encontrado")))))</f>
        <v>6</v>
      </c>
      <c r="C68" s="65" t="n">
        <f aca="false">VLOOKUP(A68,v_t_r,9,0)</f>
        <v>204528</v>
      </c>
      <c r="D68" s="70"/>
      <c r="E68" s="65" t="n">
        <f aca="false">VLOOKUP(O68,CFM,2,0)</f>
        <v>27.8666666666667</v>
      </c>
      <c r="F68" s="66" t="n">
        <f aca="false">'DI, Tri e Pag'!$H$18</f>
        <v>0.05334821</v>
      </c>
      <c r="G68" s="65" t="n">
        <f aca="false">E68*F68</f>
        <v>1.48663678533333</v>
      </c>
      <c r="H68" s="66" t="n">
        <f aca="false">'DI, Tri e Pag'!$H$22</f>
        <v>0.0865</v>
      </c>
      <c r="I68" s="65" t="n">
        <f aca="false">C68*H68</f>
        <v>17691.672</v>
      </c>
      <c r="J68" s="65" t="n">
        <f aca="false">C68-(D68+E68+G68+I68)</f>
        <v>186806.974696548</v>
      </c>
      <c r="K68" s="67" t="n">
        <f aca="false">'DI, Tri e Pag'!$H$26</f>
        <v>0.2</v>
      </c>
      <c r="L68" s="65" t="n">
        <f aca="false">IF(J68&gt;0,K68*J68,0)</f>
        <v>37361.3949393096</v>
      </c>
      <c r="M68" s="65" t="n">
        <f aca="false">J68-L68</f>
        <v>149445.579757238</v>
      </c>
      <c r="N68" s="68" t="n">
        <f aca="false">M68+N67</f>
        <v>10763609.2414529</v>
      </c>
      <c r="O68" s="69" t="n">
        <v>6</v>
      </c>
    </row>
    <row r="69" customFormat="false" ht="12.75" hidden="false" customHeight="false" outlineLevel="0" collapsed="false">
      <c r="A69" s="78" t="s">
        <v>68</v>
      </c>
      <c r="B69" s="78"/>
      <c r="C69" s="79" t="n">
        <f aca="false">SUM(C9:C68)</f>
        <v>14775248</v>
      </c>
      <c r="D69" s="79" t="n">
        <f aca="false">SUM(D9:D68)</f>
        <v>0</v>
      </c>
      <c r="E69" s="79" t="n">
        <f aca="false">SUM(E9:E68)</f>
        <v>37521.6043780901</v>
      </c>
      <c r="F69" s="79"/>
      <c r="G69" s="79" t="n">
        <f aca="false">SUM(G9:G68)</f>
        <v>2001.71042989926</v>
      </c>
      <c r="H69" s="79"/>
      <c r="I69" s="79" t="n">
        <f aca="false">SUM(I9:I68)</f>
        <v>1278058.952</v>
      </c>
      <c r="J69" s="79" t="n">
        <f aca="false">SUM(J9:J68)</f>
        <v>13457665.733192</v>
      </c>
      <c r="K69" s="79"/>
      <c r="L69" s="79" t="n">
        <f aca="false">SUM(L9:L68)</f>
        <v>2694056.49173915</v>
      </c>
      <c r="M69" s="79" t="n">
        <f aca="false">SUM(M9:M68)</f>
        <v>10763609.2414529</v>
      </c>
      <c r="N69" s="79"/>
      <c r="O69" s="46"/>
    </row>
    <row r="72" customFormat="false" ht="15" hidden="false" customHeight="false" outlineLevel="0" collapsed="false">
      <c r="A72" s="20" t="s">
        <v>88</v>
      </c>
      <c r="B72" s="20"/>
      <c r="C72" s="20"/>
      <c r="D72" s="20"/>
      <c r="E72" s="20"/>
      <c r="F72" s="20"/>
      <c r="G72" s="20"/>
      <c r="H72" s="20"/>
      <c r="I72" s="20"/>
      <c r="J72" s="20"/>
      <c r="K72" s="20"/>
      <c r="L72" s="20"/>
      <c r="M72" s="20"/>
      <c r="N72" s="20"/>
      <c r="O72" s="0"/>
      <c r="P72" s="0"/>
      <c r="Q72" s="0"/>
      <c r="R72" s="0"/>
      <c r="S72" s="0"/>
      <c r="T72" s="0"/>
      <c r="U72" s="0"/>
      <c r="V72" s="0"/>
      <c r="W72" s="0"/>
      <c r="X72" s="0"/>
      <c r="Y72" s="0"/>
      <c r="Z72" s="0"/>
      <c r="AA72" s="0"/>
      <c r="AB72" s="0"/>
      <c r="AC72" s="0"/>
      <c r="AD72" s="0"/>
      <c r="AE72" s="0"/>
      <c r="AF72" s="0"/>
      <c r="AG72" s="0"/>
      <c r="AH72" s="0"/>
      <c r="AI72" s="0"/>
      <c r="AJ72" s="0"/>
      <c r="AK72" s="0"/>
      <c r="AL72" s="0"/>
      <c r="AM72" s="0"/>
      <c r="AN72" s="0"/>
      <c r="AO72" s="0"/>
      <c r="AP72" s="0"/>
      <c r="AQ72" s="0"/>
      <c r="AR72" s="0"/>
      <c r="AS72" s="0"/>
      <c r="AT72" s="0"/>
      <c r="AU72" s="0"/>
      <c r="AV72" s="0"/>
      <c r="AW72" s="0"/>
      <c r="AX72" s="0"/>
      <c r="AY72" s="0"/>
      <c r="AZ72" s="0"/>
      <c r="BA72" s="0"/>
      <c r="BB72" s="0"/>
      <c r="BC72" s="0"/>
      <c r="BD72" s="0"/>
      <c r="BE72" s="0"/>
      <c r="BF72" s="0"/>
      <c r="BG72" s="0"/>
      <c r="BH72" s="0"/>
      <c r="BI72" s="0"/>
      <c r="BJ72" s="0"/>
      <c r="BK72" s="0"/>
      <c r="BL72" s="0"/>
      <c r="BM72" s="0"/>
      <c r="BN72" s="0"/>
      <c r="BO72" s="0"/>
      <c r="BP72" s="0"/>
      <c r="BQ72" s="0"/>
      <c r="BR72" s="0"/>
      <c r="BS72" s="0"/>
      <c r="BT72" s="0"/>
      <c r="BU72" s="0"/>
      <c r="BV72" s="0"/>
      <c r="BW72" s="0"/>
      <c r="BX72" s="0"/>
      <c r="BY72" s="0"/>
      <c r="BZ72" s="0"/>
      <c r="CA72" s="0"/>
      <c r="CB72" s="0"/>
      <c r="CC72" s="0"/>
      <c r="CD72" s="0"/>
      <c r="CE72" s="0"/>
      <c r="CF72" s="0"/>
      <c r="CG72" s="0"/>
      <c r="CH72" s="0"/>
      <c r="CI72" s="0"/>
      <c r="CJ72" s="0"/>
      <c r="CK72" s="0"/>
      <c r="CL72" s="0"/>
      <c r="CM72" s="0"/>
      <c r="CN72" s="0"/>
      <c r="CO72" s="0"/>
      <c r="CP72" s="0"/>
      <c r="CQ72" s="0"/>
      <c r="CR72" s="0"/>
      <c r="CS72" s="0"/>
      <c r="CT72" s="0"/>
      <c r="CU72" s="0"/>
      <c r="CV72" s="0"/>
      <c r="CW72" s="0"/>
      <c r="CX72" s="0"/>
      <c r="CY72" s="0"/>
      <c r="CZ72" s="0"/>
      <c r="DA72" s="0"/>
      <c r="DB72" s="0"/>
      <c r="DC72" s="0"/>
      <c r="DD72" s="0"/>
      <c r="DE72" s="0"/>
      <c r="DF72" s="0"/>
      <c r="DG72" s="0"/>
      <c r="DH72" s="0"/>
      <c r="DI72" s="0"/>
      <c r="DJ72" s="0"/>
      <c r="DK72" s="0"/>
      <c r="DL72" s="0"/>
      <c r="DM72" s="0"/>
      <c r="DN72" s="0"/>
      <c r="DO72" s="0"/>
      <c r="DP72" s="0"/>
      <c r="DQ72" s="0"/>
      <c r="DR72" s="0"/>
      <c r="DS72" s="0"/>
      <c r="DT72" s="0"/>
      <c r="DU72" s="0"/>
      <c r="DV72" s="0"/>
      <c r="DW72" s="0"/>
      <c r="DX72" s="0"/>
      <c r="DY72" s="0"/>
      <c r="DZ72" s="0"/>
      <c r="EA72" s="0"/>
      <c r="EB72" s="0"/>
      <c r="EC72" s="0"/>
      <c r="ED72" s="0"/>
      <c r="EE72" s="0"/>
      <c r="EF72" s="0"/>
      <c r="EG72" s="0"/>
      <c r="EH72" s="0"/>
      <c r="EI72" s="0"/>
      <c r="EJ72" s="0"/>
      <c r="EK72" s="0"/>
      <c r="EL72" s="0"/>
      <c r="EM72" s="0"/>
      <c r="EN72" s="0"/>
      <c r="EO72" s="0"/>
      <c r="EP72" s="0"/>
      <c r="EQ72" s="0"/>
      <c r="ER72" s="0"/>
      <c r="ES72" s="0"/>
      <c r="ET72" s="0"/>
      <c r="EU72" s="0"/>
      <c r="EV72" s="0"/>
      <c r="EW72" s="0"/>
      <c r="EX72" s="0"/>
      <c r="EY72" s="0"/>
      <c r="EZ72" s="0"/>
      <c r="FA72" s="0"/>
      <c r="FB72" s="0"/>
      <c r="FC72" s="0"/>
      <c r="FD72" s="0"/>
      <c r="FE72" s="0"/>
      <c r="FF72" s="0"/>
      <c r="FG72" s="0"/>
      <c r="FH72" s="0"/>
      <c r="FI72" s="0"/>
      <c r="FJ72" s="0"/>
      <c r="FK72" s="0"/>
      <c r="FL72" s="0"/>
      <c r="FM72" s="0"/>
      <c r="FN72" s="0"/>
      <c r="FO72" s="0"/>
      <c r="FP72" s="0"/>
      <c r="FQ72" s="0"/>
      <c r="FR72" s="0"/>
      <c r="FS72" s="0"/>
      <c r="FT72" s="0"/>
      <c r="FU72" s="0"/>
      <c r="FV72" s="0"/>
      <c r="FW72" s="0"/>
      <c r="FX72" s="0"/>
      <c r="FY72" s="0"/>
      <c r="FZ72" s="0"/>
      <c r="GA72" s="0"/>
      <c r="GB72" s="0"/>
      <c r="GC72" s="0"/>
      <c r="GD72" s="0"/>
      <c r="GE72" s="0"/>
      <c r="GF72" s="0"/>
      <c r="GG72" s="0"/>
      <c r="GH72" s="0"/>
      <c r="GI72" s="0"/>
      <c r="GJ72" s="0"/>
      <c r="GK72" s="0"/>
      <c r="GL72" s="0"/>
      <c r="GM72" s="0"/>
      <c r="GN72" s="0"/>
      <c r="GO72" s="0"/>
      <c r="GP72" s="0"/>
      <c r="GQ72" s="0"/>
      <c r="GR72" s="0"/>
      <c r="GS72" s="0"/>
      <c r="GT72" s="0"/>
      <c r="GU72" s="0"/>
      <c r="GV72" s="0"/>
      <c r="GW72" s="0"/>
      <c r="GX72" s="0"/>
      <c r="GY72" s="0"/>
      <c r="GZ72" s="0"/>
      <c r="HA72" s="0"/>
      <c r="HB72" s="0"/>
      <c r="HC72" s="0"/>
      <c r="HD72" s="0"/>
      <c r="HE72" s="0"/>
      <c r="HF72" s="0"/>
      <c r="HG72" s="0"/>
      <c r="HH72" s="0"/>
      <c r="HI72" s="0"/>
      <c r="HJ72" s="0"/>
      <c r="HK72" s="0"/>
      <c r="HL72" s="0"/>
      <c r="HM72" s="0"/>
      <c r="HN72" s="0"/>
      <c r="HO72" s="0"/>
      <c r="HP72" s="0"/>
      <c r="HQ72" s="0"/>
      <c r="HR72" s="0"/>
      <c r="HS72" s="0"/>
      <c r="HT72" s="0"/>
      <c r="HU72" s="0"/>
      <c r="HV72" s="0"/>
      <c r="HW72" s="0"/>
      <c r="HX72" s="0"/>
      <c r="HY72" s="0"/>
      <c r="HZ72" s="0"/>
      <c r="IA72" s="0"/>
      <c r="IB72" s="0"/>
      <c r="IC72" s="0"/>
      <c r="ID72" s="0"/>
      <c r="IE72" s="0"/>
      <c r="IF72" s="0"/>
      <c r="IG72" s="0"/>
      <c r="IH72" s="0"/>
      <c r="II72" s="0"/>
      <c r="IJ72" s="0"/>
      <c r="IK72" s="0"/>
      <c r="IL72" s="0"/>
      <c r="IM72" s="0"/>
      <c r="IN72" s="0"/>
      <c r="IO72" s="0"/>
      <c r="IP72" s="0"/>
      <c r="IQ72" s="0"/>
      <c r="IR72" s="0"/>
      <c r="IS72" s="0"/>
      <c r="IT72" s="0"/>
      <c r="IU72" s="0"/>
      <c r="IV72" s="0"/>
      <c r="IW72" s="0"/>
      <c r="IX72" s="0"/>
      <c r="IY72" s="0"/>
      <c r="IZ72" s="0"/>
      <c r="JA72" s="0"/>
      <c r="JB72" s="0"/>
      <c r="JC72" s="0"/>
      <c r="JD72" s="0"/>
      <c r="JE72" s="0"/>
      <c r="JF72" s="0"/>
      <c r="JG72" s="0"/>
      <c r="JH72" s="0"/>
      <c r="JI72" s="0"/>
      <c r="JJ72" s="0"/>
      <c r="JK72" s="0"/>
      <c r="JL72" s="0"/>
      <c r="JM72" s="0"/>
      <c r="JN72" s="0"/>
      <c r="JO72" s="0"/>
      <c r="JP72" s="0"/>
      <c r="JQ72" s="0"/>
      <c r="JR72" s="0"/>
      <c r="JS72" s="0"/>
      <c r="JT72" s="0"/>
      <c r="JU72" s="0"/>
      <c r="JV72" s="0"/>
      <c r="JW72" s="0"/>
      <c r="JX72" s="0"/>
      <c r="JY72" s="0"/>
      <c r="JZ72" s="0"/>
      <c r="KA72" s="0"/>
      <c r="KB72" s="0"/>
      <c r="KC72" s="0"/>
      <c r="KD72" s="0"/>
      <c r="KE72" s="0"/>
      <c r="KF72" s="0"/>
      <c r="KG72" s="0"/>
      <c r="KH72" s="0"/>
      <c r="KI72" s="0"/>
      <c r="KJ72" s="0"/>
      <c r="KK72" s="0"/>
      <c r="KL72" s="0"/>
      <c r="KM72" s="0"/>
      <c r="KN72" s="0"/>
      <c r="KO72" s="0"/>
      <c r="KP72" s="0"/>
      <c r="KQ72" s="0"/>
      <c r="KR72" s="0"/>
      <c r="KS72" s="0"/>
      <c r="KT72" s="0"/>
      <c r="KU72" s="0"/>
      <c r="KV72" s="0"/>
      <c r="KW72" s="0"/>
      <c r="KX72" s="0"/>
      <c r="KY72" s="0"/>
      <c r="KZ72" s="0"/>
      <c r="LA72" s="0"/>
      <c r="LB72" s="0"/>
      <c r="LC72" s="0"/>
      <c r="LD72" s="0"/>
      <c r="LE72" s="0"/>
      <c r="LF72" s="0"/>
      <c r="LG72" s="0"/>
      <c r="LH72" s="0"/>
      <c r="LI72" s="0"/>
      <c r="LJ72" s="0"/>
      <c r="LK72" s="0"/>
      <c r="LL72" s="0"/>
      <c r="LM72" s="0"/>
      <c r="LN72" s="0"/>
      <c r="LO72" s="0"/>
      <c r="LP72" s="0"/>
      <c r="LQ72" s="0"/>
      <c r="LR72" s="0"/>
      <c r="LS72" s="0"/>
      <c r="LT72" s="0"/>
      <c r="LU72" s="0"/>
      <c r="LV72" s="0"/>
      <c r="LW72" s="0"/>
      <c r="LX72" s="0"/>
      <c r="LY72" s="0"/>
      <c r="LZ72" s="0"/>
      <c r="MA72" s="0"/>
      <c r="MB72" s="0"/>
      <c r="MC72" s="0"/>
      <c r="MD72" s="0"/>
      <c r="ME72" s="0"/>
      <c r="MF72" s="0"/>
      <c r="MG72" s="0"/>
      <c r="MH72" s="0"/>
      <c r="MI72" s="0"/>
      <c r="MJ72" s="0"/>
      <c r="MK72" s="0"/>
      <c r="ML72" s="0"/>
      <c r="MM72" s="0"/>
      <c r="MN72" s="0"/>
      <c r="MO72" s="0"/>
      <c r="MP72" s="0"/>
      <c r="MQ72" s="0"/>
      <c r="MR72" s="0"/>
      <c r="MS72" s="0"/>
      <c r="MT72" s="0"/>
      <c r="MU72" s="0"/>
      <c r="MV72" s="0"/>
      <c r="MW72" s="0"/>
      <c r="MX72" s="0"/>
      <c r="MY72" s="0"/>
      <c r="MZ72" s="0"/>
      <c r="NA72" s="0"/>
      <c r="NB72" s="0"/>
      <c r="NC72" s="0"/>
      <c r="ND72" s="0"/>
      <c r="NE72" s="0"/>
      <c r="NF72" s="0"/>
      <c r="NG72" s="0"/>
      <c r="NH72" s="0"/>
      <c r="NI72" s="0"/>
      <c r="NJ72" s="0"/>
      <c r="NK72" s="0"/>
      <c r="NL72" s="0"/>
      <c r="NM72" s="0"/>
      <c r="NN72" s="0"/>
      <c r="NO72" s="0"/>
      <c r="NP72" s="0"/>
      <c r="NQ72" s="0"/>
      <c r="NR72" s="0"/>
      <c r="NS72" s="0"/>
      <c r="NT72" s="0"/>
      <c r="NU72" s="0"/>
      <c r="NV72" s="0"/>
      <c r="NW72" s="0"/>
      <c r="NX72" s="0"/>
      <c r="NY72" s="0"/>
      <c r="NZ72" s="0"/>
      <c r="OA72" s="0"/>
      <c r="OB72" s="0"/>
      <c r="OC72" s="0"/>
      <c r="OD72" s="0"/>
      <c r="OE72" s="0"/>
      <c r="OF72" s="0"/>
      <c r="OG72" s="0"/>
      <c r="OH72" s="0"/>
      <c r="OI72" s="0"/>
      <c r="OJ72" s="0"/>
      <c r="OK72" s="0"/>
      <c r="OL72" s="0"/>
      <c r="OM72" s="0"/>
      <c r="ON72" s="0"/>
      <c r="OO72" s="0"/>
      <c r="OP72" s="0"/>
      <c r="OQ72" s="0"/>
      <c r="OR72" s="0"/>
      <c r="OS72" s="0"/>
      <c r="OT72" s="0"/>
      <c r="OU72" s="0"/>
      <c r="OV72" s="0"/>
      <c r="OW72" s="0"/>
      <c r="OX72" s="0"/>
      <c r="OY72" s="0"/>
      <c r="OZ72" s="0"/>
      <c r="PA72" s="0"/>
      <c r="PB72" s="0"/>
      <c r="PC72" s="0"/>
      <c r="PD72" s="0"/>
      <c r="PE72" s="0"/>
      <c r="PF72" s="0"/>
      <c r="PG72" s="0"/>
      <c r="PH72" s="0"/>
      <c r="PI72" s="0"/>
      <c r="PJ72" s="0"/>
      <c r="PK72" s="0"/>
      <c r="PL72" s="0"/>
      <c r="PM72" s="0"/>
      <c r="PN72" s="0"/>
      <c r="PO72" s="0"/>
      <c r="PP72" s="0"/>
      <c r="PQ72" s="0"/>
      <c r="PR72" s="0"/>
      <c r="PS72" s="0"/>
      <c r="PT72" s="0"/>
      <c r="PU72" s="0"/>
      <c r="PV72" s="0"/>
      <c r="PW72" s="0"/>
      <c r="PX72" s="0"/>
      <c r="PY72" s="0"/>
      <c r="PZ72" s="0"/>
      <c r="QA72" s="0"/>
      <c r="QB72" s="0"/>
      <c r="QC72" s="0"/>
      <c r="QD72" s="0"/>
      <c r="QE72" s="0"/>
      <c r="QF72" s="0"/>
      <c r="QG72" s="0"/>
      <c r="QH72" s="0"/>
      <c r="QI72" s="0"/>
      <c r="QJ72" s="0"/>
      <c r="QK72" s="0"/>
      <c r="QL72" s="0"/>
      <c r="QM72" s="0"/>
      <c r="QN72" s="0"/>
      <c r="QO72" s="0"/>
      <c r="QP72" s="0"/>
      <c r="QQ72" s="0"/>
      <c r="QR72" s="0"/>
      <c r="QS72" s="0"/>
      <c r="QT72" s="0"/>
      <c r="QU72" s="0"/>
      <c r="QV72" s="0"/>
      <c r="QW72" s="0"/>
      <c r="QX72" s="0"/>
      <c r="QY72" s="0"/>
      <c r="QZ72" s="0"/>
      <c r="RA72" s="0"/>
      <c r="RB72" s="0"/>
      <c r="RC72" s="0"/>
      <c r="RD72" s="0"/>
      <c r="RE72" s="0"/>
      <c r="RF72" s="0"/>
      <c r="RG72" s="0"/>
      <c r="RH72" s="0"/>
      <c r="RI72" s="0"/>
      <c r="RJ72" s="0"/>
      <c r="RK72" s="0"/>
      <c r="RL72" s="0"/>
      <c r="RM72" s="0"/>
      <c r="RN72" s="0"/>
      <c r="RO72" s="0"/>
      <c r="RP72" s="0"/>
      <c r="RQ72" s="0"/>
      <c r="RR72" s="0"/>
      <c r="RS72" s="0"/>
      <c r="RT72" s="0"/>
      <c r="RU72" s="0"/>
      <c r="RV72" s="0"/>
      <c r="RW72" s="0"/>
      <c r="RX72" s="0"/>
      <c r="RY72" s="0"/>
      <c r="RZ72" s="0"/>
      <c r="SA72" s="0"/>
      <c r="SB72" s="0"/>
      <c r="SC72" s="0"/>
      <c r="SD72" s="0"/>
      <c r="SE72" s="0"/>
      <c r="SF72" s="0"/>
      <c r="SG72" s="0"/>
      <c r="SH72" s="0"/>
      <c r="SI72" s="0"/>
      <c r="SJ72" s="0"/>
      <c r="SK72" s="0"/>
      <c r="SL72" s="0"/>
      <c r="SM72" s="0"/>
      <c r="SN72" s="0"/>
      <c r="SO72" s="0"/>
      <c r="SP72" s="0"/>
      <c r="SQ72" s="0"/>
      <c r="SR72" s="0"/>
      <c r="SS72" s="0"/>
      <c r="ST72" s="0"/>
      <c r="SU72" s="0"/>
      <c r="SV72" s="0"/>
      <c r="SW72" s="0"/>
      <c r="SX72" s="0"/>
      <c r="SY72" s="0"/>
      <c r="SZ72" s="0"/>
      <c r="TA72" s="0"/>
      <c r="TB72" s="0"/>
      <c r="TC72" s="0"/>
      <c r="TD72" s="0"/>
      <c r="TE72" s="0"/>
      <c r="TF72" s="0"/>
      <c r="TG72" s="0"/>
      <c r="TH72" s="0"/>
      <c r="TI72" s="0"/>
      <c r="TJ72" s="0"/>
      <c r="TK72" s="0"/>
      <c r="TL72" s="0"/>
      <c r="TM72" s="0"/>
      <c r="TN72" s="0"/>
      <c r="TO72" s="0"/>
      <c r="TP72" s="0"/>
      <c r="TQ72" s="0"/>
      <c r="TR72" s="0"/>
      <c r="TS72" s="0"/>
      <c r="TT72" s="0"/>
      <c r="TU72" s="0"/>
      <c r="TV72" s="0"/>
      <c r="TW72" s="0"/>
      <c r="TX72" s="0"/>
      <c r="TY72" s="0"/>
      <c r="TZ72" s="0"/>
      <c r="UA72" s="0"/>
      <c r="UB72" s="0"/>
      <c r="UC72" s="0"/>
      <c r="UD72" s="0"/>
      <c r="UE72" s="0"/>
      <c r="UF72" s="0"/>
      <c r="UG72" s="0"/>
      <c r="UH72" s="0"/>
      <c r="UI72" s="0"/>
      <c r="UJ72" s="0"/>
      <c r="UK72" s="0"/>
      <c r="UL72" s="0"/>
      <c r="UM72" s="0"/>
      <c r="UN72" s="0"/>
      <c r="UO72" s="0"/>
      <c r="UP72" s="0"/>
      <c r="UQ72" s="0"/>
      <c r="UR72" s="0"/>
      <c r="US72" s="0"/>
      <c r="UT72" s="0"/>
      <c r="UU72" s="0"/>
      <c r="UV72" s="0"/>
      <c r="UW72" s="0"/>
      <c r="UX72" s="0"/>
      <c r="UY72" s="0"/>
      <c r="UZ72" s="0"/>
      <c r="VA72" s="0"/>
      <c r="VB72" s="0"/>
      <c r="VC72" s="0"/>
      <c r="VD72" s="0"/>
      <c r="VE72" s="0"/>
      <c r="VF72" s="0"/>
      <c r="VG72" s="0"/>
      <c r="VH72" s="0"/>
      <c r="VI72" s="0"/>
      <c r="VJ72" s="0"/>
      <c r="VK72" s="0"/>
      <c r="VL72" s="0"/>
      <c r="VM72" s="0"/>
      <c r="VN72" s="0"/>
      <c r="VO72" s="0"/>
      <c r="VP72" s="0"/>
      <c r="VQ72" s="0"/>
      <c r="VR72" s="0"/>
      <c r="VS72" s="0"/>
      <c r="VT72" s="0"/>
      <c r="VU72" s="0"/>
      <c r="VV72" s="0"/>
      <c r="VW72" s="0"/>
      <c r="VX72" s="0"/>
      <c r="VY72" s="0"/>
      <c r="VZ72" s="0"/>
      <c r="WA72" s="0"/>
      <c r="WB72" s="0"/>
      <c r="WC72" s="0"/>
      <c r="WD72" s="0"/>
      <c r="WE72" s="0"/>
      <c r="WF72" s="0"/>
      <c r="WG72" s="0"/>
      <c r="WH72" s="0"/>
      <c r="WI72" s="0"/>
      <c r="WJ72" s="0"/>
      <c r="WK72" s="0"/>
      <c r="WL72" s="0"/>
      <c r="WM72" s="0"/>
      <c r="WN72" s="0"/>
      <c r="WO72" s="0"/>
      <c r="WP72" s="0"/>
      <c r="WQ72" s="0"/>
      <c r="WR72" s="0"/>
      <c r="WS72" s="0"/>
      <c r="WT72" s="0"/>
      <c r="WU72" s="0"/>
      <c r="WV72" s="0"/>
      <c r="WW72" s="0"/>
      <c r="WX72" s="0"/>
      <c r="WY72" s="0"/>
      <c r="WZ72" s="0"/>
      <c r="XA72" s="0"/>
      <c r="XB72" s="0"/>
      <c r="XC72" s="0"/>
      <c r="XD72" s="0"/>
      <c r="XE72" s="0"/>
      <c r="XF72" s="0"/>
      <c r="XG72" s="0"/>
      <c r="XH72" s="0"/>
      <c r="XI72" s="0"/>
      <c r="XJ72" s="0"/>
      <c r="XK72" s="0"/>
      <c r="XL72" s="0"/>
      <c r="XM72" s="0"/>
      <c r="XN72" s="0"/>
      <c r="XO72" s="0"/>
      <c r="XP72" s="0"/>
      <c r="XQ72" s="0"/>
      <c r="XR72" s="0"/>
      <c r="XS72" s="0"/>
      <c r="XT72" s="0"/>
      <c r="XU72" s="0"/>
      <c r="XV72" s="0"/>
      <c r="XW72" s="0"/>
      <c r="XX72" s="0"/>
      <c r="XY72" s="0"/>
      <c r="XZ72" s="0"/>
      <c r="YA72" s="0"/>
      <c r="YB72" s="0"/>
      <c r="YC72" s="0"/>
      <c r="YD72" s="0"/>
      <c r="YE72" s="0"/>
      <c r="YF72" s="0"/>
      <c r="YG72" s="0"/>
      <c r="YH72" s="0"/>
      <c r="YI72" s="0"/>
      <c r="YJ72" s="0"/>
      <c r="YK72" s="0"/>
      <c r="YL72" s="0"/>
      <c r="YM72" s="0"/>
      <c r="YN72" s="0"/>
      <c r="YO72" s="0"/>
      <c r="YP72" s="0"/>
      <c r="YQ72" s="0"/>
      <c r="YR72" s="0"/>
      <c r="YS72" s="0"/>
      <c r="YT72" s="0"/>
      <c r="YU72" s="0"/>
      <c r="YV72" s="0"/>
      <c r="YW72" s="0"/>
      <c r="YX72" s="0"/>
      <c r="YY72" s="0"/>
      <c r="YZ72" s="0"/>
      <c r="ZA72" s="0"/>
      <c r="ZB72" s="0"/>
      <c r="ZC72" s="0"/>
      <c r="ZD72" s="0"/>
      <c r="ZE72" s="0"/>
      <c r="ZF72" s="0"/>
      <c r="ZG72" s="0"/>
      <c r="ZH72" s="0"/>
      <c r="ZI72" s="0"/>
      <c r="ZJ72" s="0"/>
      <c r="ZK72" s="0"/>
      <c r="ZL72" s="0"/>
      <c r="ZM72" s="0"/>
      <c r="ZN72" s="0"/>
      <c r="ZO72" s="0"/>
      <c r="ZP72" s="0"/>
      <c r="ZQ72" s="0"/>
      <c r="ZR72" s="0"/>
      <c r="ZS72" s="0"/>
      <c r="ZT72" s="0"/>
      <c r="ZU72" s="0"/>
      <c r="ZV72" s="0"/>
      <c r="ZW72" s="0"/>
      <c r="ZX72" s="0"/>
      <c r="ZY72" s="0"/>
      <c r="ZZ72" s="0"/>
      <c r="AAA72" s="0"/>
      <c r="AAB72" s="0"/>
      <c r="AAC72" s="0"/>
      <c r="AAD72" s="0"/>
      <c r="AAE72" s="0"/>
      <c r="AAF72" s="0"/>
      <c r="AAG72" s="0"/>
      <c r="AAH72" s="0"/>
      <c r="AAI72" s="0"/>
      <c r="AAJ72" s="0"/>
      <c r="AAK72" s="0"/>
      <c r="AAL72" s="0"/>
      <c r="AAM72" s="0"/>
      <c r="AAN72" s="0"/>
      <c r="AAO72" s="0"/>
      <c r="AAP72" s="0"/>
      <c r="AAQ72" s="0"/>
      <c r="AAR72" s="0"/>
      <c r="AAS72" s="0"/>
      <c r="AAT72" s="0"/>
      <c r="AAU72" s="0"/>
      <c r="AAV72" s="0"/>
      <c r="AAW72" s="0"/>
      <c r="AAX72" s="0"/>
      <c r="AAY72" s="0"/>
      <c r="AAZ72" s="0"/>
      <c r="ABA72" s="0"/>
      <c r="ABB72" s="0"/>
      <c r="ABC72" s="0"/>
      <c r="ABD72" s="0"/>
      <c r="ABE72" s="0"/>
      <c r="ABF72" s="0"/>
      <c r="ABG72" s="0"/>
      <c r="ABH72" s="0"/>
      <c r="ABI72" s="0"/>
      <c r="ABJ72" s="0"/>
      <c r="ABK72" s="0"/>
      <c r="ABL72" s="0"/>
      <c r="ABM72" s="0"/>
      <c r="ABN72" s="0"/>
      <c r="ABO72" s="0"/>
      <c r="ABP72" s="0"/>
      <c r="ABQ72" s="0"/>
      <c r="ABR72" s="0"/>
      <c r="ABS72" s="0"/>
      <c r="ABT72" s="0"/>
      <c r="ABU72" s="0"/>
      <c r="ABV72" s="0"/>
      <c r="ABW72" s="0"/>
      <c r="ABX72" s="0"/>
      <c r="ABY72" s="0"/>
      <c r="ABZ72" s="0"/>
      <c r="ACA72" s="0"/>
      <c r="ACB72" s="0"/>
      <c r="ACC72" s="0"/>
      <c r="ACD72" s="0"/>
      <c r="ACE72" s="0"/>
      <c r="ACF72" s="0"/>
      <c r="ACG72" s="0"/>
      <c r="ACH72" s="0"/>
      <c r="ACI72" s="0"/>
      <c r="ACJ72" s="0"/>
      <c r="ACK72" s="0"/>
      <c r="ACL72" s="0"/>
      <c r="ACM72" s="0"/>
      <c r="ACN72" s="0"/>
      <c r="ACO72" s="0"/>
      <c r="ACP72" s="0"/>
      <c r="ACQ72" s="0"/>
      <c r="ACR72" s="0"/>
      <c r="ACS72" s="0"/>
      <c r="ACT72" s="0"/>
      <c r="ACU72" s="0"/>
      <c r="ACV72" s="0"/>
      <c r="ACW72" s="0"/>
      <c r="ACX72" s="0"/>
      <c r="ACY72" s="0"/>
      <c r="ACZ72" s="0"/>
      <c r="ADA72" s="0"/>
      <c r="ADB72" s="0"/>
      <c r="ADC72" s="0"/>
      <c r="ADD72" s="0"/>
      <c r="ADE72" s="0"/>
      <c r="ADF72" s="0"/>
      <c r="ADG72" s="0"/>
      <c r="ADH72" s="0"/>
      <c r="ADI72" s="0"/>
      <c r="ADJ72" s="0"/>
      <c r="ADK72" s="0"/>
      <c r="ADL72" s="0"/>
      <c r="ADM72" s="0"/>
      <c r="ADN72" s="0"/>
      <c r="ADO72" s="0"/>
      <c r="ADP72" s="0"/>
      <c r="ADQ72" s="0"/>
      <c r="ADR72" s="0"/>
      <c r="ADS72" s="0"/>
      <c r="ADT72" s="0"/>
      <c r="ADU72" s="0"/>
      <c r="ADV72" s="0"/>
      <c r="ADW72" s="0"/>
      <c r="ADX72" s="0"/>
      <c r="ADY72" s="0"/>
      <c r="ADZ72" s="0"/>
      <c r="AEA72" s="0"/>
      <c r="AEB72" s="0"/>
      <c r="AEC72" s="0"/>
      <c r="AED72" s="0"/>
      <c r="AEE72" s="0"/>
      <c r="AEF72" s="0"/>
      <c r="AEG72" s="0"/>
      <c r="AEH72" s="0"/>
      <c r="AEI72" s="0"/>
      <c r="AEJ72" s="0"/>
      <c r="AEK72" s="0"/>
      <c r="AEL72" s="0"/>
      <c r="AEM72" s="0"/>
      <c r="AEN72" s="0"/>
      <c r="AEO72" s="0"/>
      <c r="AEP72" s="0"/>
      <c r="AEQ72" s="0"/>
      <c r="AER72" s="0"/>
      <c r="AES72" s="0"/>
      <c r="AET72" s="0"/>
      <c r="AEU72" s="0"/>
      <c r="AEV72" s="0"/>
      <c r="AEW72" s="0"/>
      <c r="AEX72" s="0"/>
      <c r="AEY72" s="0"/>
      <c r="AEZ72" s="0"/>
      <c r="AFA72" s="0"/>
      <c r="AFB72" s="0"/>
      <c r="AFC72" s="0"/>
      <c r="AFD72" s="0"/>
      <c r="AFE72" s="0"/>
      <c r="AFF72" s="0"/>
      <c r="AFG72" s="0"/>
      <c r="AFH72" s="0"/>
      <c r="AFI72" s="0"/>
      <c r="AFJ72" s="0"/>
      <c r="AFK72" s="0"/>
      <c r="AFL72" s="0"/>
      <c r="AFM72" s="0"/>
      <c r="AFN72" s="0"/>
      <c r="AFO72" s="0"/>
      <c r="AFP72" s="0"/>
      <c r="AFQ72" s="0"/>
      <c r="AFR72" s="0"/>
      <c r="AFS72" s="0"/>
      <c r="AFT72" s="0"/>
      <c r="AFU72" s="0"/>
      <c r="AFV72" s="0"/>
      <c r="AFW72" s="0"/>
      <c r="AFX72" s="0"/>
      <c r="AFY72" s="0"/>
      <c r="AFZ72" s="0"/>
      <c r="AGA72" s="0"/>
      <c r="AGB72" s="0"/>
      <c r="AGC72" s="0"/>
      <c r="AGD72" s="0"/>
      <c r="AGE72" s="0"/>
      <c r="AGF72" s="0"/>
      <c r="AGG72" s="0"/>
      <c r="AGH72" s="0"/>
      <c r="AGI72" s="0"/>
      <c r="AGJ72" s="0"/>
      <c r="AGK72" s="0"/>
      <c r="AGL72" s="0"/>
      <c r="AGM72" s="0"/>
      <c r="AGN72" s="0"/>
      <c r="AGO72" s="0"/>
      <c r="AGP72" s="0"/>
      <c r="AGQ72" s="0"/>
      <c r="AGR72" s="0"/>
      <c r="AGS72" s="0"/>
      <c r="AGT72" s="0"/>
      <c r="AGU72" s="0"/>
      <c r="AGV72" s="0"/>
      <c r="AGW72" s="0"/>
      <c r="AGX72" s="0"/>
      <c r="AGY72" s="0"/>
      <c r="AGZ72" s="0"/>
      <c r="AHA72" s="0"/>
      <c r="AHB72" s="0"/>
      <c r="AHC72" s="0"/>
      <c r="AHD72" s="0"/>
      <c r="AHE72" s="0"/>
      <c r="AHF72" s="0"/>
      <c r="AHG72" s="0"/>
      <c r="AHH72" s="0"/>
      <c r="AHI72" s="0"/>
      <c r="AHJ72" s="0"/>
      <c r="AHK72" s="0"/>
      <c r="AHL72" s="0"/>
      <c r="AHM72" s="0"/>
      <c r="AHN72" s="0"/>
      <c r="AHO72" s="0"/>
      <c r="AHP72" s="0"/>
      <c r="AHQ72" s="0"/>
      <c r="AHR72" s="0"/>
      <c r="AHS72" s="0"/>
      <c r="AHT72" s="0"/>
      <c r="AHU72" s="0"/>
      <c r="AHV72" s="0"/>
      <c r="AHW72" s="0"/>
      <c r="AHX72" s="0"/>
      <c r="AHY72" s="0"/>
      <c r="AHZ72" s="0"/>
      <c r="AIA72" s="0"/>
      <c r="AIB72" s="0"/>
      <c r="AIC72" s="0"/>
      <c r="AID72" s="0"/>
      <c r="AIE72" s="0"/>
      <c r="AIF72" s="0"/>
      <c r="AIG72" s="0"/>
      <c r="AIH72" s="0"/>
      <c r="AII72" s="0"/>
      <c r="AIJ72" s="0"/>
      <c r="AIK72" s="0"/>
      <c r="AIL72" s="0"/>
      <c r="AIM72" s="0"/>
      <c r="AIN72" s="0"/>
      <c r="AIO72" s="0"/>
      <c r="AIP72" s="0"/>
      <c r="AIQ72" s="0"/>
      <c r="AIR72" s="0"/>
      <c r="AIS72" s="0"/>
      <c r="AIT72" s="0"/>
      <c r="AIU72" s="0"/>
      <c r="AIV72" s="0"/>
      <c r="AIW72" s="0"/>
      <c r="AIX72" s="0"/>
      <c r="AIY72" s="0"/>
      <c r="AIZ72" s="0"/>
      <c r="AJA72" s="0"/>
      <c r="AJB72" s="0"/>
      <c r="AJC72" s="0"/>
      <c r="AJD72" s="0"/>
      <c r="AJE72" s="0"/>
      <c r="AJF72" s="0"/>
      <c r="AJG72" s="0"/>
      <c r="AJH72" s="0"/>
      <c r="AJI72" s="0"/>
      <c r="AJJ72" s="0"/>
      <c r="AJK72" s="0"/>
      <c r="AJL72" s="0"/>
      <c r="AJM72" s="0"/>
      <c r="AJN72" s="0"/>
      <c r="AJO72" s="0"/>
      <c r="AJP72" s="0"/>
      <c r="AJQ72" s="0"/>
      <c r="AJR72" s="0"/>
      <c r="AJS72" s="0"/>
      <c r="AJT72" s="0"/>
      <c r="AJU72" s="0"/>
      <c r="AJV72" s="0"/>
      <c r="AJW72" s="0"/>
      <c r="AJX72" s="0"/>
      <c r="AJY72" s="0"/>
      <c r="AJZ72" s="0"/>
      <c r="AKA72" s="0"/>
      <c r="AKB72" s="0"/>
      <c r="AKC72" s="0"/>
      <c r="AKD72" s="0"/>
      <c r="AKE72" s="0"/>
      <c r="AKF72" s="0"/>
      <c r="AKG72" s="0"/>
      <c r="AKH72" s="0"/>
      <c r="AKI72" s="0"/>
      <c r="AKJ72" s="0"/>
      <c r="AKK72" s="0"/>
      <c r="AKL72" s="0"/>
      <c r="AKM72" s="0"/>
      <c r="AKN72" s="0"/>
      <c r="AKO72" s="0"/>
      <c r="AKP72" s="0"/>
      <c r="AKQ72" s="0"/>
      <c r="AKR72" s="0"/>
      <c r="AKS72" s="0"/>
      <c r="AKT72" s="0"/>
      <c r="AKU72" s="0"/>
      <c r="AKV72" s="0"/>
      <c r="AKW72" s="0"/>
      <c r="AKX72" s="0"/>
      <c r="AKY72" s="0"/>
      <c r="AKZ72" s="0"/>
      <c r="ALA72" s="0"/>
      <c r="ALB72" s="0"/>
      <c r="ALC72" s="0"/>
      <c r="ALD72" s="0"/>
      <c r="ALE72" s="0"/>
      <c r="ALF72" s="0"/>
      <c r="ALG72" s="0"/>
      <c r="ALH72" s="0"/>
      <c r="ALI72" s="0"/>
      <c r="ALJ72" s="0"/>
      <c r="ALK72" s="0"/>
      <c r="ALL72" s="0"/>
      <c r="ALM72" s="0"/>
      <c r="ALN72" s="0"/>
      <c r="ALO72" s="0"/>
      <c r="ALP72" s="0"/>
      <c r="ALQ72" s="0"/>
      <c r="ALR72" s="0"/>
      <c r="ALS72" s="0"/>
      <c r="ALT72" s="0"/>
      <c r="ALU72" s="0"/>
      <c r="ALV72" s="0"/>
      <c r="ALW72" s="0"/>
      <c r="ALX72" s="0"/>
      <c r="ALY72" s="0"/>
      <c r="ALZ72" s="0"/>
      <c r="AMA72" s="0"/>
      <c r="AMB72" s="0"/>
      <c r="AMC72" s="0"/>
      <c r="AMD72" s="0"/>
      <c r="AME72" s="0"/>
      <c r="AMF72" s="0"/>
      <c r="AMG72" s="0"/>
      <c r="AMH72" s="0"/>
      <c r="AMI72" s="0"/>
      <c r="AMJ72" s="0"/>
    </row>
    <row r="73" customFormat="false" ht="12.75" hidden="false" customHeight="false" outlineLevel="0" collapsed="false">
      <c r="A73" s="80" t="s">
        <v>303</v>
      </c>
      <c r="B73" s="81"/>
      <c r="C73" s="81"/>
      <c r="D73" s="81"/>
      <c r="E73" s="81"/>
      <c r="F73" s="81"/>
      <c r="G73" s="81"/>
      <c r="H73" s="81"/>
      <c r="I73" s="81"/>
      <c r="J73" s="81"/>
      <c r="K73" s="81"/>
      <c r="L73" s="81"/>
      <c r="M73" s="81"/>
      <c r="N73" s="82"/>
    </row>
    <row r="74" customFormat="false" ht="12.75" hidden="false" customHeight="false" outlineLevel="0" collapsed="false">
      <c r="A74" s="80" t="s">
        <v>304</v>
      </c>
      <c r="B74" s="81"/>
      <c r="C74" s="81"/>
      <c r="D74" s="81"/>
      <c r="E74" s="81"/>
      <c r="F74" s="81"/>
      <c r="G74" s="81"/>
      <c r="H74" s="81"/>
      <c r="I74" s="81"/>
      <c r="J74" s="81"/>
      <c r="K74" s="81"/>
      <c r="L74" s="81"/>
      <c r="M74" s="81"/>
      <c r="N74" s="82"/>
    </row>
    <row r="75" customFormat="false" ht="12.75" hidden="false" customHeight="false" outlineLevel="0" collapsed="false">
      <c r="A75" s="80" t="s">
        <v>305</v>
      </c>
      <c r="B75" s="81"/>
      <c r="C75" s="81"/>
      <c r="D75" s="81"/>
      <c r="E75" s="81"/>
      <c r="F75" s="81"/>
      <c r="G75" s="81"/>
      <c r="H75" s="81"/>
      <c r="I75" s="81"/>
      <c r="J75" s="81"/>
      <c r="K75" s="81"/>
      <c r="L75" s="81"/>
      <c r="M75" s="81"/>
      <c r="N75" s="82"/>
    </row>
    <row r="76" customFormat="false" ht="12.75" hidden="false" customHeight="false" outlineLevel="0" collapsed="false">
      <c r="A76" s="80" t="s">
        <v>306</v>
      </c>
      <c r="B76" s="81"/>
      <c r="C76" s="81"/>
      <c r="D76" s="81"/>
      <c r="E76" s="81"/>
      <c r="F76" s="81"/>
      <c r="G76" s="81"/>
      <c r="H76" s="81"/>
      <c r="I76" s="81"/>
      <c r="J76" s="81"/>
      <c r="K76" s="81"/>
      <c r="L76" s="81"/>
      <c r="M76" s="81"/>
      <c r="N76" s="82"/>
    </row>
    <row r="77" customFormat="false" ht="12.75" hidden="false" customHeight="false" outlineLevel="0" collapsed="false">
      <c r="A77" s="80" t="s">
        <v>307</v>
      </c>
      <c r="B77" s="81"/>
      <c r="C77" s="81"/>
      <c r="D77" s="81"/>
      <c r="E77" s="81"/>
      <c r="F77" s="81"/>
      <c r="G77" s="81"/>
      <c r="H77" s="81"/>
      <c r="I77" s="81"/>
      <c r="J77" s="81"/>
      <c r="K77" s="81"/>
      <c r="L77" s="81"/>
      <c r="M77" s="81"/>
      <c r="N77" s="82"/>
    </row>
    <row r="78" customFormat="false" ht="12.75" hidden="false" customHeight="false" outlineLevel="0" collapsed="false">
      <c r="A78" s="80" t="s">
        <v>308</v>
      </c>
      <c r="B78" s="81"/>
      <c r="C78" s="81"/>
      <c r="D78" s="81"/>
      <c r="E78" s="81"/>
      <c r="F78" s="81"/>
      <c r="G78" s="81"/>
      <c r="H78" s="81"/>
      <c r="I78" s="81"/>
      <c r="J78" s="81"/>
      <c r="K78" s="81"/>
      <c r="L78" s="81"/>
      <c r="M78" s="81"/>
      <c r="N78" s="82"/>
    </row>
    <row r="79" customFormat="false" ht="12.75" hidden="false" customHeight="false" outlineLevel="0" collapsed="false">
      <c r="A79" s="80" t="s">
        <v>309</v>
      </c>
      <c r="B79" s="81"/>
      <c r="C79" s="81"/>
      <c r="D79" s="81"/>
      <c r="E79" s="81"/>
      <c r="F79" s="81"/>
      <c r="G79" s="81"/>
      <c r="H79" s="81"/>
      <c r="I79" s="81"/>
      <c r="J79" s="81"/>
      <c r="K79" s="81"/>
      <c r="L79" s="81"/>
      <c r="M79" s="81"/>
      <c r="N79" s="82"/>
    </row>
    <row r="80" customFormat="false" ht="12.75" hidden="false" customHeight="false" outlineLevel="0" collapsed="false">
      <c r="A80" s="80" t="s">
        <v>310</v>
      </c>
      <c r="B80" s="81"/>
      <c r="C80" s="81"/>
      <c r="D80" s="81"/>
      <c r="E80" s="81"/>
      <c r="F80" s="81"/>
      <c r="G80" s="81"/>
      <c r="H80" s="81"/>
      <c r="I80" s="81"/>
      <c r="J80" s="81"/>
      <c r="K80" s="81"/>
      <c r="L80" s="81"/>
      <c r="M80" s="81"/>
      <c r="N80" s="82"/>
    </row>
    <row r="81" customFormat="false" ht="12.75" hidden="false" customHeight="false" outlineLevel="0" collapsed="false">
      <c r="A81" s="80" t="s">
        <v>311</v>
      </c>
      <c r="B81" s="81"/>
      <c r="C81" s="81"/>
      <c r="D81" s="81"/>
      <c r="E81" s="81"/>
      <c r="F81" s="81"/>
      <c r="G81" s="81"/>
      <c r="H81" s="81"/>
      <c r="I81" s="81"/>
      <c r="J81" s="81"/>
      <c r="K81" s="81"/>
      <c r="L81" s="81"/>
      <c r="M81" s="81"/>
      <c r="N81" s="82"/>
    </row>
    <row r="82" customFormat="false" ht="12.75" hidden="false" customHeight="false" outlineLevel="0" collapsed="false">
      <c r="A82" s="80" t="s">
        <v>312</v>
      </c>
      <c r="B82" s="81"/>
      <c r="C82" s="81"/>
      <c r="D82" s="81"/>
      <c r="E82" s="81"/>
      <c r="F82" s="81"/>
      <c r="G82" s="81"/>
      <c r="H82" s="81"/>
      <c r="I82" s="81"/>
      <c r="J82" s="81"/>
      <c r="K82" s="81"/>
      <c r="L82" s="81"/>
      <c r="M82" s="81"/>
      <c r="N82" s="82"/>
    </row>
    <row r="83" customFormat="false" ht="28.5" hidden="false" customHeight="true" outlineLevel="0" collapsed="false">
      <c r="A83" s="83" t="s">
        <v>313</v>
      </c>
      <c r="B83" s="83"/>
      <c r="C83" s="83"/>
      <c r="D83" s="83"/>
      <c r="E83" s="83"/>
      <c r="F83" s="83"/>
      <c r="G83" s="83"/>
      <c r="H83" s="83"/>
      <c r="I83" s="83"/>
      <c r="J83" s="83"/>
      <c r="K83" s="83"/>
      <c r="L83" s="83"/>
      <c r="M83" s="83"/>
      <c r="N83" s="83"/>
    </row>
    <row r="84" customFormat="false" ht="15" hidden="false" customHeight="false" outlineLevel="0" collapsed="false">
      <c r="A84" s="20" t="s">
        <v>314</v>
      </c>
      <c r="B84" s="20"/>
      <c r="C84" s="20"/>
      <c r="D84" s="20"/>
      <c r="E84" s="20"/>
      <c r="F84" s="20"/>
      <c r="G84" s="20"/>
      <c r="H84" s="20"/>
      <c r="I84" s="20"/>
      <c r="J84" s="20"/>
      <c r="K84" s="20"/>
      <c r="L84" s="20"/>
      <c r="M84" s="20"/>
      <c r="N84" s="20"/>
      <c r="O84" s="0"/>
      <c r="P84" s="0"/>
      <c r="Q84" s="0"/>
      <c r="R84" s="0"/>
      <c r="S84" s="0"/>
      <c r="T84" s="0"/>
      <c r="U84" s="0"/>
      <c r="V84" s="0"/>
      <c r="W84" s="0"/>
      <c r="X84" s="0"/>
      <c r="Y84" s="0"/>
      <c r="Z84" s="0"/>
      <c r="AA84" s="0"/>
      <c r="AB84" s="0"/>
      <c r="AC84" s="0"/>
      <c r="AD84" s="0"/>
      <c r="AE84" s="0"/>
      <c r="AF84" s="0"/>
      <c r="AG84" s="0"/>
      <c r="AH84" s="0"/>
      <c r="AI84" s="0"/>
      <c r="AJ84" s="0"/>
      <c r="AK84" s="0"/>
      <c r="AL84" s="0"/>
      <c r="AM84" s="0"/>
      <c r="AN84" s="0"/>
      <c r="AO84" s="0"/>
      <c r="AP84" s="0"/>
      <c r="AQ84" s="0"/>
      <c r="AR84" s="0"/>
      <c r="AS84" s="0"/>
      <c r="AT84" s="0"/>
      <c r="AU84" s="0"/>
      <c r="AV84" s="0"/>
      <c r="AW84" s="0"/>
      <c r="AX84" s="0"/>
      <c r="AY84" s="0"/>
      <c r="AZ84" s="0"/>
      <c r="BA84" s="0"/>
      <c r="BB84" s="0"/>
      <c r="BC84" s="0"/>
      <c r="BD84" s="0"/>
      <c r="BE84" s="0"/>
      <c r="BF84" s="0"/>
      <c r="BG84" s="0"/>
      <c r="BH84" s="0"/>
      <c r="BI84" s="0"/>
      <c r="BJ84" s="0"/>
      <c r="BK84" s="0"/>
      <c r="BL84" s="0"/>
      <c r="BM84" s="0"/>
      <c r="BN84" s="0"/>
      <c r="BO84" s="0"/>
      <c r="BP84" s="0"/>
      <c r="BQ84" s="0"/>
      <c r="BR84" s="0"/>
      <c r="BS84" s="0"/>
      <c r="BT84" s="0"/>
      <c r="BU84" s="0"/>
      <c r="BV84" s="0"/>
      <c r="BW84" s="0"/>
      <c r="BX84" s="0"/>
      <c r="BY84" s="0"/>
      <c r="BZ84" s="0"/>
      <c r="CA84" s="0"/>
      <c r="CB84" s="0"/>
      <c r="CC84" s="0"/>
      <c r="CD84" s="0"/>
      <c r="CE84" s="0"/>
      <c r="CF84" s="0"/>
      <c r="CG84" s="0"/>
      <c r="CH84" s="0"/>
      <c r="CI84" s="0"/>
      <c r="CJ84" s="0"/>
      <c r="CK84" s="0"/>
      <c r="CL84" s="0"/>
      <c r="CM84" s="0"/>
      <c r="CN84" s="0"/>
      <c r="CO84" s="0"/>
      <c r="CP84" s="0"/>
      <c r="CQ84" s="0"/>
      <c r="CR84" s="0"/>
      <c r="CS84" s="0"/>
      <c r="CT84" s="0"/>
      <c r="CU84" s="0"/>
      <c r="CV84" s="0"/>
      <c r="CW84" s="0"/>
      <c r="CX84" s="0"/>
      <c r="CY84" s="0"/>
      <c r="CZ84" s="0"/>
      <c r="DA84" s="0"/>
      <c r="DB84" s="0"/>
      <c r="DC84" s="0"/>
      <c r="DD84" s="0"/>
      <c r="DE84" s="0"/>
      <c r="DF84" s="0"/>
      <c r="DG84" s="0"/>
      <c r="DH84" s="0"/>
      <c r="DI84" s="0"/>
      <c r="DJ84" s="0"/>
      <c r="DK84" s="0"/>
      <c r="DL84" s="0"/>
      <c r="DM84" s="0"/>
      <c r="DN84" s="0"/>
      <c r="DO84" s="0"/>
      <c r="DP84" s="0"/>
      <c r="DQ84" s="0"/>
      <c r="DR84" s="0"/>
      <c r="DS84" s="0"/>
      <c r="DT84" s="0"/>
      <c r="DU84" s="0"/>
      <c r="DV84" s="0"/>
      <c r="DW84" s="0"/>
      <c r="DX84" s="0"/>
      <c r="DY84" s="0"/>
      <c r="DZ84" s="0"/>
      <c r="EA84" s="0"/>
      <c r="EB84" s="0"/>
      <c r="EC84" s="0"/>
      <c r="ED84" s="0"/>
      <c r="EE84" s="0"/>
      <c r="EF84" s="0"/>
      <c r="EG84" s="0"/>
      <c r="EH84" s="0"/>
      <c r="EI84" s="0"/>
      <c r="EJ84" s="0"/>
      <c r="EK84" s="0"/>
      <c r="EL84" s="0"/>
      <c r="EM84" s="0"/>
      <c r="EN84" s="0"/>
      <c r="EO84" s="0"/>
      <c r="EP84" s="0"/>
      <c r="EQ84" s="0"/>
      <c r="ER84" s="0"/>
      <c r="ES84" s="0"/>
      <c r="ET84" s="0"/>
      <c r="EU84" s="0"/>
      <c r="EV84" s="0"/>
      <c r="EW84" s="0"/>
      <c r="EX84" s="0"/>
      <c r="EY84" s="0"/>
      <c r="EZ84" s="0"/>
      <c r="FA84" s="0"/>
      <c r="FB84" s="0"/>
      <c r="FC84" s="0"/>
      <c r="FD84" s="0"/>
      <c r="FE84" s="0"/>
      <c r="FF84" s="0"/>
      <c r="FG84" s="0"/>
      <c r="FH84" s="0"/>
      <c r="FI84" s="0"/>
      <c r="FJ84" s="0"/>
      <c r="FK84" s="0"/>
      <c r="FL84" s="0"/>
      <c r="FM84" s="0"/>
      <c r="FN84" s="0"/>
      <c r="FO84" s="0"/>
      <c r="FP84" s="0"/>
      <c r="FQ84" s="0"/>
      <c r="FR84" s="0"/>
      <c r="FS84" s="0"/>
      <c r="FT84" s="0"/>
      <c r="FU84" s="0"/>
      <c r="FV84" s="0"/>
      <c r="FW84" s="0"/>
      <c r="FX84" s="0"/>
      <c r="FY84" s="0"/>
      <c r="FZ84" s="0"/>
      <c r="GA84" s="0"/>
      <c r="GB84" s="0"/>
      <c r="GC84" s="0"/>
      <c r="GD84" s="0"/>
      <c r="GE84" s="0"/>
      <c r="GF84" s="0"/>
      <c r="GG84" s="0"/>
      <c r="GH84" s="0"/>
      <c r="GI84" s="0"/>
      <c r="GJ84" s="0"/>
      <c r="GK84" s="0"/>
      <c r="GL84" s="0"/>
      <c r="GM84" s="0"/>
      <c r="GN84" s="0"/>
      <c r="GO84" s="0"/>
      <c r="GP84" s="0"/>
      <c r="GQ84" s="0"/>
      <c r="GR84" s="0"/>
      <c r="GS84" s="0"/>
      <c r="GT84" s="0"/>
      <c r="GU84" s="0"/>
      <c r="GV84" s="0"/>
      <c r="GW84" s="0"/>
      <c r="GX84" s="0"/>
      <c r="GY84" s="0"/>
      <c r="GZ84" s="0"/>
      <c r="HA84" s="0"/>
      <c r="HB84" s="0"/>
      <c r="HC84" s="0"/>
      <c r="HD84" s="0"/>
      <c r="HE84" s="0"/>
      <c r="HF84" s="0"/>
      <c r="HG84" s="0"/>
      <c r="HH84" s="0"/>
      <c r="HI84" s="0"/>
      <c r="HJ84" s="0"/>
      <c r="HK84" s="0"/>
      <c r="HL84" s="0"/>
      <c r="HM84" s="0"/>
      <c r="HN84" s="0"/>
      <c r="HO84" s="0"/>
      <c r="HP84" s="0"/>
      <c r="HQ84" s="0"/>
      <c r="HR84" s="0"/>
      <c r="HS84" s="0"/>
      <c r="HT84" s="0"/>
      <c r="HU84" s="0"/>
      <c r="HV84" s="0"/>
      <c r="HW84" s="0"/>
      <c r="HX84" s="0"/>
      <c r="HY84" s="0"/>
      <c r="HZ84" s="0"/>
      <c r="IA84" s="0"/>
      <c r="IB84" s="0"/>
      <c r="IC84" s="0"/>
      <c r="ID84" s="0"/>
      <c r="IE84" s="0"/>
      <c r="IF84" s="0"/>
      <c r="IG84" s="0"/>
      <c r="IH84" s="0"/>
      <c r="II84" s="0"/>
      <c r="IJ84" s="0"/>
      <c r="IK84" s="0"/>
      <c r="IL84" s="0"/>
      <c r="IM84" s="0"/>
      <c r="IN84" s="0"/>
      <c r="IO84" s="0"/>
      <c r="IP84" s="0"/>
      <c r="IQ84" s="0"/>
      <c r="IR84" s="0"/>
      <c r="IS84" s="0"/>
      <c r="IT84" s="0"/>
      <c r="IU84" s="0"/>
      <c r="IV84" s="0"/>
      <c r="IW84" s="0"/>
      <c r="IX84" s="0"/>
      <c r="IY84" s="0"/>
      <c r="IZ84" s="0"/>
      <c r="JA84" s="0"/>
      <c r="JB84" s="0"/>
      <c r="JC84" s="0"/>
      <c r="JD84" s="0"/>
      <c r="JE84" s="0"/>
      <c r="JF84" s="0"/>
      <c r="JG84" s="0"/>
      <c r="JH84" s="0"/>
      <c r="JI84" s="0"/>
      <c r="JJ84" s="0"/>
      <c r="JK84" s="0"/>
      <c r="JL84" s="0"/>
      <c r="JM84" s="0"/>
      <c r="JN84" s="0"/>
      <c r="JO84" s="0"/>
      <c r="JP84" s="0"/>
      <c r="JQ84" s="0"/>
      <c r="JR84" s="0"/>
      <c r="JS84" s="0"/>
      <c r="JT84" s="0"/>
      <c r="JU84" s="0"/>
      <c r="JV84" s="0"/>
      <c r="JW84" s="0"/>
      <c r="JX84" s="0"/>
      <c r="JY84" s="0"/>
      <c r="JZ84" s="0"/>
      <c r="KA84" s="0"/>
      <c r="KB84" s="0"/>
      <c r="KC84" s="0"/>
      <c r="KD84" s="0"/>
      <c r="KE84" s="0"/>
      <c r="KF84" s="0"/>
      <c r="KG84" s="0"/>
      <c r="KH84" s="0"/>
      <c r="KI84" s="0"/>
      <c r="KJ84" s="0"/>
      <c r="KK84" s="0"/>
      <c r="KL84" s="0"/>
      <c r="KM84" s="0"/>
      <c r="KN84" s="0"/>
      <c r="KO84" s="0"/>
      <c r="KP84" s="0"/>
      <c r="KQ84" s="0"/>
      <c r="KR84" s="0"/>
      <c r="KS84" s="0"/>
      <c r="KT84" s="0"/>
      <c r="KU84" s="0"/>
      <c r="KV84" s="0"/>
      <c r="KW84" s="0"/>
      <c r="KX84" s="0"/>
      <c r="KY84" s="0"/>
      <c r="KZ84" s="0"/>
      <c r="LA84" s="0"/>
      <c r="LB84" s="0"/>
      <c r="LC84" s="0"/>
      <c r="LD84" s="0"/>
      <c r="LE84" s="0"/>
      <c r="LF84" s="0"/>
      <c r="LG84" s="0"/>
      <c r="LH84" s="0"/>
      <c r="LI84" s="0"/>
      <c r="LJ84" s="0"/>
      <c r="LK84" s="0"/>
      <c r="LL84" s="0"/>
      <c r="LM84" s="0"/>
      <c r="LN84" s="0"/>
      <c r="LO84" s="0"/>
      <c r="LP84" s="0"/>
      <c r="LQ84" s="0"/>
      <c r="LR84" s="0"/>
      <c r="LS84" s="0"/>
      <c r="LT84" s="0"/>
      <c r="LU84" s="0"/>
      <c r="LV84" s="0"/>
      <c r="LW84" s="0"/>
      <c r="LX84" s="0"/>
      <c r="LY84" s="0"/>
      <c r="LZ84" s="0"/>
      <c r="MA84" s="0"/>
      <c r="MB84" s="0"/>
      <c r="MC84" s="0"/>
      <c r="MD84" s="0"/>
      <c r="ME84" s="0"/>
      <c r="MF84" s="0"/>
      <c r="MG84" s="0"/>
      <c r="MH84" s="0"/>
      <c r="MI84" s="0"/>
      <c r="MJ84" s="0"/>
      <c r="MK84" s="0"/>
      <c r="ML84" s="0"/>
      <c r="MM84" s="0"/>
      <c r="MN84" s="0"/>
      <c r="MO84" s="0"/>
      <c r="MP84" s="0"/>
      <c r="MQ84" s="0"/>
      <c r="MR84" s="0"/>
      <c r="MS84" s="0"/>
      <c r="MT84" s="0"/>
      <c r="MU84" s="0"/>
      <c r="MV84" s="0"/>
      <c r="MW84" s="0"/>
      <c r="MX84" s="0"/>
      <c r="MY84" s="0"/>
      <c r="MZ84" s="0"/>
      <c r="NA84" s="0"/>
      <c r="NB84" s="0"/>
      <c r="NC84" s="0"/>
      <c r="ND84" s="0"/>
      <c r="NE84" s="0"/>
      <c r="NF84" s="0"/>
      <c r="NG84" s="0"/>
      <c r="NH84" s="0"/>
      <c r="NI84" s="0"/>
      <c r="NJ84" s="0"/>
      <c r="NK84" s="0"/>
      <c r="NL84" s="0"/>
      <c r="NM84" s="0"/>
      <c r="NN84" s="0"/>
      <c r="NO84" s="0"/>
      <c r="NP84" s="0"/>
      <c r="NQ84" s="0"/>
      <c r="NR84" s="0"/>
      <c r="NS84" s="0"/>
      <c r="NT84" s="0"/>
      <c r="NU84" s="0"/>
      <c r="NV84" s="0"/>
      <c r="NW84" s="0"/>
      <c r="NX84" s="0"/>
      <c r="NY84" s="0"/>
      <c r="NZ84" s="0"/>
      <c r="OA84" s="0"/>
      <c r="OB84" s="0"/>
      <c r="OC84" s="0"/>
      <c r="OD84" s="0"/>
      <c r="OE84" s="0"/>
      <c r="OF84" s="0"/>
      <c r="OG84" s="0"/>
      <c r="OH84" s="0"/>
      <c r="OI84" s="0"/>
      <c r="OJ84" s="0"/>
      <c r="OK84" s="0"/>
      <c r="OL84" s="0"/>
      <c r="OM84" s="0"/>
      <c r="ON84" s="0"/>
      <c r="OO84" s="0"/>
      <c r="OP84" s="0"/>
      <c r="OQ84" s="0"/>
      <c r="OR84" s="0"/>
      <c r="OS84" s="0"/>
      <c r="OT84" s="0"/>
      <c r="OU84" s="0"/>
      <c r="OV84" s="0"/>
      <c r="OW84" s="0"/>
      <c r="OX84" s="0"/>
      <c r="OY84" s="0"/>
      <c r="OZ84" s="0"/>
      <c r="PA84" s="0"/>
      <c r="PB84" s="0"/>
      <c r="PC84" s="0"/>
      <c r="PD84" s="0"/>
      <c r="PE84" s="0"/>
      <c r="PF84" s="0"/>
      <c r="PG84" s="0"/>
      <c r="PH84" s="0"/>
      <c r="PI84" s="0"/>
      <c r="PJ84" s="0"/>
      <c r="PK84" s="0"/>
      <c r="PL84" s="0"/>
      <c r="PM84" s="0"/>
      <c r="PN84" s="0"/>
      <c r="PO84" s="0"/>
      <c r="PP84" s="0"/>
      <c r="PQ84" s="0"/>
      <c r="PR84" s="0"/>
      <c r="PS84" s="0"/>
      <c r="PT84" s="0"/>
      <c r="PU84" s="0"/>
      <c r="PV84" s="0"/>
      <c r="PW84" s="0"/>
      <c r="PX84" s="0"/>
      <c r="PY84" s="0"/>
      <c r="PZ84" s="0"/>
      <c r="QA84" s="0"/>
      <c r="QB84" s="0"/>
      <c r="QC84" s="0"/>
      <c r="QD84" s="0"/>
      <c r="QE84" s="0"/>
      <c r="QF84" s="0"/>
      <c r="QG84" s="0"/>
      <c r="QH84" s="0"/>
      <c r="QI84" s="0"/>
      <c r="QJ84" s="0"/>
      <c r="QK84" s="0"/>
      <c r="QL84" s="0"/>
      <c r="QM84" s="0"/>
      <c r="QN84" s="0"/>
      <c r="QO84" s="0"/>
      <c r="QP84" s="0"/>
      <c r="QQ84" s="0"/>
      <c r="QR84" s="0"/>
      <c r="QS84" s="0"/>
      <c r="QT84" s="0"/>
      <c r="QU84" s="0"/>
      <c r="QV84" s="0"/>
      <c r="QW84" s="0"/>
      <c r="QX84" s="0"/>
      <c r="QY84" s="0"/>
      <c r="QZ84" s="0"/>
      <c r="RA84" s="0"/>
      <c r="RB84" s="0"/>
      <c r="RC84" s="0"/>
      <c r="RD84" s="0"/>
      <c r="RE84" s="0"/>
      <c r="RF84" s="0"/>
      <c r="RG84" s="0"/>
      <c r="RH84" s="0"/>
      <c r="RI84" s="0"/>
      <c r="RJ84" s="0"/>
      <c r="RK84" s="0"/>
      <c r="RL84" s="0"/>
      <c r="RM84" s="0"/>
      <c r="RN84" s="0"/>
      <c r="RO84" s="0"/>
      <c r="RP84" s="0"/>
      <c r="RQ84" s="0"/>
      <c r="RR84" s="0"/>
      <c r="RS84" s="0"/>
      <c r="RT84" s="0"/>
      <c r="RU84" s="0"/>
      <c r="RV84" s="0"/>
      <c r="RW84" s="0"/>
      <c r="RX84" s="0"/>
      <c r="RY84" s="0"/>
      <c r="RZ84" s="0"/>
      <c r="SA84" s="0"/>
      <c r="SB84" s="0"/>
      <c r="SC84" s="0"/>
      <c r="SD84" s="0"/>
      <c r="SE84" s="0"/>
      <c r="SF84" s="0"/>
      <c r="SG84" s="0"/>
      <c r="SH84" s="0"/>
      <c r="SI84" s="0"/>
      <c r="SJ84" s="0"/>
      <c r="SK84" s="0"/>
      <c r="SL84" s="0"/>
      <c r="SM84" s="0"/>
      <c r="SN84" s="0"/>
      <c r="SO84" s="0"/>
      <c r="SP84" s="0"/>
      <c r="SQ84" s="0"/>
      <c r="SR84" s="0"/>
      <c r="SS84" s="0"/>
      <c r="ST84" s="0"/>
      <c r="SU84" s="0"/>
      <c r="SV84" s="0"/>
      <c r="SW84" s="0"/>
      <c r="SX84" s="0"/>
      <c r="SY84" s="0"/>
      <c r="SZ84" s="0"/>
      <c r="TA84" s="0"/>
      <c r="TB84" s="0"/>
      <c r="TC84" s="0"/>
      <c r="TD84" s="0"/>
      <c r="TE84" s="0"/>
      <c r="TF84" s="0"/>
      <c r="TG84" s="0"/>
      <c r="TH84" s="0"/>
      <c r="TI84" s="0"/>
      <c r="TJ84" s="0"/>
      <c r="TK84" s="0"/>
      <c r="TL84" s="0"/>
      <c r="TM84" s="0"/>
      <c r="TN84" s="0"/>
      <c r="TO84" s="0"/>
      <c r="TP84" s="0"/>
      <c r="TQ84" s="0"/>
      <c r="TR84" s="0"/>
      <c r="TS84" s="0"/>
      <c r="TT84" s="0"/>
      <c r="TU84" s="0"/>
      <c r="TV84" s="0"/>
      <c r="TW84" s="0"/>
      <c r="TX84" s="0"/>
      <c r="TY84" s="0"/>
      <c r="TZ84" s="0"/>
      <c r="UA84" s="0"/>
      <c r="UB84" s="0"/>
      <c r="UC84" s="0"/>
      <c r="UD84" s="0"/>
      <c r="UE84" s="0"/>
      <c r="UF84" s="0"/>
      <c r="UG84" s="0"/>
      <c r="UH84" s="0"/>
      <c r="UI84" s="0"/>
      <c r="UJ84" s="0"/>
      <c r="UK84" s="0"/>
      <c r="UL84" s="0"/>
      <c r="UM84" s="0"/>
      <c r="UN84" s="0"/>
      <c r="UO84" s="0"/>
      <c r="UP84" s="0"/>
      <c r="UQ84" s="0"/>
      <c r="UR84" s="0"/>
      <c r="US84" s="0"/>
      <c r="UT84" s="0"/>
      <c r="UU84" s="0"/>
      <c r="UV84" s="0"/>
      <c r="UW84" s="0"/>
      <c r="UX84" s="0"/>
      <c r="UY84" s="0"/>
      <c r="UZ84" s="0"/>
      <c r="VA84" s="0"/>
      <c r="VB84" s="0"/>
      <c r="VC84" s="0"/>
      <c r="VD84" s="0"/>
      <c r="VE84" s="0"/>
      <c r="VF84" s="0"/>
      <c r="VG84" s="0"/>
      <c r="VH84" s="0"/>
      <c r="VI84" s="0"/>
      <c r="VJ84" s="0"/>
      <c r="VK84" s="0"/>
      <c r="VL84" s="0"/>
      <c r="VM84" s="0"/>
      <c r="VN84" s="0"/>
      <c r="VO84" s="0"/>
      <c r="VP84" s="0"/>
      <c r="VQ84" s="0"/>
      <c r="VR84" s="0"/>
      <c r="VS84" s="0"/>
      <c r="VT84" s="0"/>
      <c r="VU84" s="0"/>
      <c r="VV84" s="0"/>
      <c r="VW84" s="0"/>
      <c r="VX84" s="0"/>
      <c r="VY84" s="0"/>
      <c r="VZ84" s="0"/>
      <c r="WA84" s="0"/>
      <c r="WB84" s="0"/>
      <c r="WC84" s="0"/>
      <c r="WD84" s="0"/>
      <c r="WE84" s="0"/>
      <c r="WF84" s="0"/>
      <c r="WG84" s="0"/>
      <c r="WH84" s="0"/>
      <c r="WI84" s="0"/>
      <c r="WJ84" s="0"/>
      <c r="WK84" s="0"/>
      <c r="WL84" s="0"/>
      <c r="WM84" s="0"/>
      <c r="WN84" s="0"/>
      <c r="WO84" s="0"/>
      <c r="WP84" s="0"/>
      <c r="WQ84" s="0"/>
      <c r="WR84" s="0"/>
      <c r="WS84" s="0"/>
      <c r="WT84" s="0"/>
      <c r="WU84" s="0"/>
      <c r="WV84" s="0"/>
      <c r="WW84" s="0"/>
      <c r="WX84" s="0"/>
      <c r="WY84" s="0"/>
      <c r="WZ84" s="0"/>
      <c r="XA84" s="0"/>
      <c r="XB84" s="0"/>
      <c r="XC84" s="0"/>
      <c r="XD84" s="0"/>
      <c r="XE84" s="0"/>
      <c r="XF84" s="0"/>
      <c r="XG84" s="0"/>
      <c r="XH84" s="0"/>
      <c r="XI84" s="0"/>
      <c r="XJ84" s="0"/>
      <c r="XK84" s="0"/>
      <c r="XL84" s="0"/>
      <c r="XM84" s="0"/>
      <c r="XN84" s="0"/>
      <c r="XO84" s="0"/>
      <c r="XP84" s="0"/>
      <c r="XQ84" s="0"/>
      <c r="XR84" s="0"/>
      <c r="XS84" s="0"/>
      <c r="XT84" s="0"/>
      <c r="XU84" s="0"/>
      <c r="XV84" s="0"/>
      <c r="XW84" s="0"/>
      <c r="XX84" s="0"/>
      <c r="XY84" s="0"/>
      <c r="XZ84" s="0"/>
      <c r="YA84" s="0"/>
      <c r="YB84" s="0"/>
      <c r="YC84" s="0"/>
      <c r="YD84" s="0"/>
      <c r="YE84" s="0"/>
      <c r="YF84" s="0"/>
      <c r="YG84" s="0"/>
      <c r="YH84" s="0"/>
      <c r="YI84" s="0"/>
      <c r="YJ84" s="0"/>
      <c r="YK84" s="0"/>
      <c r="YL84" s="0"/>
      <c r="YM84" s="0"/>
      <c r="YN84" s="0"/>
      <c r="YO84" s="0"/>
      <c r="YP84" s="0"/>
      <c r="YQ84" s="0"/>
      <c r="YR84" s="0"/>
      <c r="YS84" s="0"/>
      <c r="YT84" s="0"/>
      <c r="YU84" s="0"/>
      <c r="YV84" s="0"/>
      <c r="YW84" s="0"/>
      <c r="YX84" s="0"/>
      <c r="YY84" s="0"/>
      <c r="YZ84" s="0"/>
      <c r="ZA84" s="0"/>
      <c r="ZB84" s="0"/>
      <c r="ZC84" s="0"/>
      <c r="ZD84" s="0"/>
      <c r="ZE84" s="0"/>
      <c r="ZF84" s="0"/>
      <c r="ZG84" s="0"/>
      <c r="ZH84" s="0"/>
      <c r="ZI84" s="0"/>
      <c r="ZJ84" s="0"/>
      <c r="ZK84" s="0"/>
      <c r="ZL84" s="0"/>
      <c r="ZM84" s="0"/>
      <c r="ZN84" s="0"/>
      <c r="ZO84" s="0"/>
      <c r="ZP84" s="0"/>
      <c r="ZQ84" s="0"/>
      <c r="ZR84" s="0"/>
      <c r="ZS84" s="0"/>
      <c r="ZT84" s="0"/>
      <c r="ZU84" s="0"/>
      <c r="ZV84" s="0"/>
      <c r="ZW84" s="0"/>
      <c r="ZX84" s="0"/>
      <c r="ZY84" s="0"/>
      <c r="ZZ84" s="0"/>
      <c r="AAA84" s="0"/>
      <c r="AAB84" s="0"/>
      <c r="AAC84" s="0"/>
      <c r="AAD84" s="0"/>
      <c r="AAE84" s="0"/>
      <c r="AAF84" s="0"/>
      <c r="AAG84" s="0"/>
      <c r="AAH84" s="0"/>
      <c r="AAI84" s="0"/>
      <c r="AAJ84" s="0"/>
      <c r="AAK84" s="0"/>
      <c r="AAL84" s="0"/>
      <c r="AAM84" s="0"/>
      <c r="AAN84" s="0"/>
      <c r="AAO84" s="0"/>
      <c r="AAP84" s="0"/>
      <c r="AAQ84" s="0"/>
      <c r="AAR84" s="0"/>
      <c r="AAS84" s="0"/>
      <c r="AAT84" s="0"/>
      <c r="AAU84" s="0"/>
      <c r="AAV84" s="0"/>
      <c r="AAW84" s="0"/>
      <c r="AAX84" s="0"/>
      <c r="AAY84" s="0"/>
      <c r="AAZ84" s="0"/>
      <c r="ABA84" s="0"/>
      <c r="ABB84" s="0"/>
      <c r="ABC84" s="0"/>
      <c r="ABD84" s="0"/>
      <c r="ABE84" s="0"/>
      <c r="ABF84" s="0"/>
      <c r="ABG84" s="0"/>
      <c r="ABH84" s="0"/>
      <c r="ABI84" s="0"/>
      <c r="ABJ84" s="0"/>
      <c r="ABK84" s="0"/>
      <c r="ABL84" s="0"/>
      <c r="ABM84" s="0"/>
      <c r="ABN84" s="0"/>
      <c r="ABO84" s="0"/>
      <c r="ABP84" s="0"/>
      <c r="ABQ84" s="0"/>
      <c r="ABR84" s="0"/>
      <c r="ABS84" s="0"/>
      <c r="ABT84" s="0"/>
      <c r="ABU84" s="0"/>
      <c r="ABV84" s="0"/>
      <c r="ABW84" s="0"/>
      <c r="ABX84" s="0"/>
      <c r="ABY84" s="0"/>
      <c r="ABZ84" s="0"/>
      <c r="ACA84" s="0"/>
      <c r="ACB84" s="0"/>
      <c r="ACC84" s="0"/>
      <c r="ACD84" s="0"/>
      <c r="ACE84" s="0"/>
      <c r="ACF84" s="0"/>
      <c r="ACG84" s="0"/>
      <c r="ACH84" s="0"/>
      <c r="ACI84" s="0"/>
      <c r="ACJ84" s="0"/>
      <c r="ACK84" s="0"/>
      <c r="ACL84" s="0"/>
      <c r="ACM84" s="0"/>
      <c r="ACN84" s="0"/>
      <c r="ACO84" s="0"/>
      <c r="ACP84" s="0"/>
      <c r="ACQ84" s="0"/>
      <c r="ACR84" s="0"/>
      <c r="ACS84" s="0"/>
      <c r="ACT84" s="0"/>
      <c r="ACU84" s="0"/>
      <c r="ACV84" s="0"/>
      <c r="ACW84" s="0"/>
      <c r="ACX84" s="0"/>
      <c r="ACY84" s="0"/>
      <c r="ACZ84" s="0"/>
      <c r="ADA84" s="0"/>
      <c r="ADB84" s="0"/>
      <c r="ADC84" s="0"/>
      <c r="ADD84" s="0"/>
      <c r="ADE84" s="0"/>
      <c r="ADF84" s="0"/>
      <c r="ADG84" s="0"/>
      <c r="ADH84" s="0"/>
      <c r="ADI84" s="0"/>
      <c r="ADJ84" s="0"/>
      <c r="ADK84" s="0"/>
      <c r="ADL84" s="0"/>
      <c r="ADM84" s="0"/>
      <c r="ADN84" s="0"/>
      <c r="ADO84" s="0"/>
      <c r="ADP84" s="0"/>
      <c r="ADQ84" s="0"/>
      <c r="ADR84" s="0"/>
      <c r="ADS84" s="0"/>
      <c r="ADT84" s="0"/>
      <c r="ADU84" s="0"/>
      <c r="ADV84" s="0"/>
      <c r="ADW84" s="0"/>
      <c r="ADX84" s="0"/>
      <c r="ADY84" s="0"/>
      <c r="ADZ84" s="0"/>
      <c r="AEA84" s="0"/>
      <c r="AEB84" s="0"/>
      <c r="AEC84" s="0"/>
      <c r="AED84" s="0"/>
      <c r="AEE84" s="0"/>
      <c r="AEF84" s="0"/>
      <c r="AEG84" s="0"/>
      <c r="AEH84" s="0"/>
      <c r="AEI84" s="0"/>
      <c r="AEJ84" s="0"/>
      <c r="AEK84" s="0"/>
      <c r="AEL84" s="0"/>
      <c r="AEM84" s="0"/>
      <c r="AEN84" s="0"/>
      <c r="AEO84" s="0"/>
      <c r="AEP84" s="0"/>
      <c r="AEQ84" s="0"/>
      <c r="AER84" s="0"/>
      <c r="AES84" s="0"/>
      <c r="AET84" s="0"/>
      <c r="AEU84" s="0"/>
      <c r="AEV84" s="0"/>
      <c r="AEW84" s="0"/>
      <c r="AEX84" s="0"/>
      <c r="AEY84" s="0"/>
      <c r="AEZ84" s="0"/>
      <c r="AFA84" s="0"/>
      <c r="AFB84" s="0"/>
      <c r="AFC84" s="0"/>
      <c r="AFD84" s="0"/>
      <c r="AFE84" s="0"/>
      <c r="AFF84" s="0"/>
      <c r="AFG84" s="0"/>
      <c r="AFH84" s="0"/>
      <c r="AFI84" s="0"/>
      <c r="AFJ84" s="0"/>
      <c r="AFK84" s="0"/>
      <c r="AFL84" s="0"/>
      <c r="AFM84" s="0"/>
      <c r="AFN84" s="0"/>
      <c r="AFO84" s="0"/>
      <c r="AFP84" s="0"/>
      <c r="AFQ84" s="0"/>
      <c r="AFR84" s="0"/>
      <c r="AFS84" s="0"/>
      <c r="AFT84" s="0"/>
      <c r="AFU84" s="0"/>
      <c r="AFV84" s="0"/>
      <c r="AFW84" s="0"/>
      <c r="AFX84" s="0"/>
      <c r="AFY84" s="0"/>
      <c r="AFZ84" s="0"/>
      <c r="AGA84" s="0"/>
      <c r="AGB84" s="0"/>
      <c r="AGC84" s="0"/>
      <c r="AGD84" s="0"/>
      <c r="AGE84" s="0"/>
      <c r="AGF84" s="0"/>
      <c r="AGG84" s="0"/>
      <c r="AGH84" s="0"/>
      <c r="AGI84" s="0"/>
      <c r="AGJ84" s="0"/>
      <c r="AGK84" s="0"/>
      <c r="AGL84" s="0"/>
      <c r="AGM84" s="0"/>
      <c r="AGN84" s="0"/>
      <c r="AGO84" s="0"/>
      <c r="AGP84" s="0"/>
      <c r="AGQ84" s="0"/>
      <c r="AGR84" s="0"/>
      <c r="AGS84" s="0"/>
      <c r="AGT84" s="0"/>
      <c r="AGU84" s="0"/>
      <c r="AGV84" s="0"/>
      <c r="AGW84" s="0"/>
      <c r="AGX84" s="0"/>
      <c r="AGY84" s="0"/>
      <c r="AGZ84" s="0"/>
      <c r="AHA84" s="0"/>
      <c r="AHB84" s="0"/>
      <c r="AHC84" s="0"/>
      <c r="AHD84" s="0"/>
      <c r="AHE84" s="0"/>
      <c r="AHF84" s="0"/>
      <c r="AHG84" s="0"/>
      <c r="AHH84" s="0"/>
      <c r="AHI84" s="0"/>
      <c r="AHJ84" s="0"/>
      <c r="AHK84" s="0"/>
      <c r="AHL84" s="0"/>
      <c r="AHM84" s="0"/>
      <c r="AHN84" s="0"/>
      <c r="AHO84" s="0"/>
      <c r="AHP84" s="0"/>
      <c r="AHQ84" s="0"/>
      <c r="AHR84" s="0"/>
      <c r="AHS84" s="0"/>
      <c r="AHT84" s="0"/>
      <c r="AHU84" s="0"/>
      <c r="AHV84" s="0"/>
      <c r="AHW84" s="0"/>
      <c r="AHX84" s="0"/>
      <c r="AHY84" s="0"/>
      <c r="AHZ84" s="0"/>
      <c r="AIA84" s="0"/>
      <c r="AIB84" s="0"/>
      <c r="AIC84" s="0"/>
      <c r="AID84" s="0"/>
      <c r="AIE84" s="0"/>
      <c r="AIF84" s="0"/>
      <c r="AIG84" s="0"/>
      <c r="AIH84" s="0"/>
      <c r="AII84" s="0"/>
      <c r="AIJ84" s="0"/>
      <c r="AIK84" s="0"/>
      <c r="AIL84" s="0"/>
      <c r="AIM84" s="0"/>
      <c r="AIN84" s="0"/>
      <c r="AIO84" s="0"/>
      <c r="AIP84" s="0"/>
      <c r="AIQ84" s="0"/>
      <c r="AIR84" s="0"/>
      <c r="AIS84" s="0"/>
      <c r="AIT84" s="0"/>
      <c r="AIU84" s="0"/>
      <c r="AIV84" s="0"/>
      <c r="AIW84" s="0"/>
      <c r="AIX84" s="0"/>
      <c r="AIY84" s="0"/>
      <c r="AIZ84" s="0"/>
      <c r="AJA84" s="0"/>
      <c r="AJB84" s="0"/>
      <c r="AJC84" s="0"/>
      <c r="AJD84" s="0"/>
      <c r="AJE84" s="0"/>
      <c r="AJF84" s="0"/>
      <c r="AJG84" s="0"/>
      <c r="AJH84" s="0"/>
      <c r="AJI84" s="0"/>
      <c r="AJJ84" s="0"/>
      <c r="AJK84" s="0"/>
      <c r="AJL84" s="0"/>
      <c r="AJM84" s="0"/>
      <c r="AJN84" s="0"/>
      <c r="AJO84" s="0"/>
      <c r="AJP84" s="0"/>
      <c r="AJQ84" s="0"/>
      <c r="AJR84" s="0"/>
      <c r="AJS84" s="0"/>
      <c r="AJT84" s="0"/>
      <c r="AJU84" s="0"/>
      <c r="AJV84" s="0"/>
      <c r="AJW84" s="0"/>
      <c r="AJX84" s="0"/>
      <c r="AJY84" s="0"/>
      <c r="AJZ84" s="0"/>
      <c r="AKA84" s="0"/>
      <c r="AKB84" s="0"/>
      <c r="AKC84" s="0"/>
      <c r="AKD84" s="0"/>
      <c r="AKE84" s="0"/>
      <c r="AKF84" s="0"/>
      <c r="AKG84" s="0"/>
      <c r="AKH84" s="0"/>
      <c r="AKI84" s="0"/>
      <c r="AKJ84" s="0"/>
      <c r="AKK84" s="0"/>
      <c r="AKL84" s="0"/>
      <c r="AKM84" s="0"/>
      <c r="AKN84" s="0"/>
      <c r="AKO84" s="0"/>
      <c r="AKP84" s="0"/>
      <c r="AKQ84" s="0"/>
      <c r="AKR84" s="0"/>
      <c r="AKS84" s="0"/>
      <c r="AKT84" s="0"/>
      <c r="AKU84" s="0"/>
      <c r="AKV84" s="0"/>
      <c r="AKW84" s="0"/>
      <c r="AKX84" s="0"/>
      <c r="AKY84" s="0"/>
      <c r="AKZ84" s="0"/>
      <c r="ALA84" s="0"/>
      <c r="ALB84" s="0"/>
      <c r="ALC84" s="0"/>
      <c r="ALD84" s="0"/>
      <c r="ALE84" s="0"/>
      <c r="ALF84" s="0"/>
      <c r="ALG84" s="0"/>
      <c r="ALH84" s="0"/>
      <c r="ALI84" s="0"/>
      <c r="ALJ84" s="0"/>
      <c r="ALK84" s="0"/>
      <c r="ALL84" s="0"/>
      <c r="ALM84" s="0"/>
      <c r="ALN84" s="0"/>
      <c r="ALO84" s="0"/>
      <c r="ALP84" s="0"/>
      <c r="ALQ84" s="0"/>
      <c r="ALR84" s="0"/>
      <c r="ALS84" s="0"/>
      <c r="ALT84" s="0"/>
      <c r="ALU84" s="0"/>
      <c r="ALV84" s="0"/>
      <c r="ALW84" s="0"/>
      <c r="ALX84" s="0"/>
      <c r="ALY84" s="0"/>
      <c r="ALZ84" s="0"/>
      <c r="AMA84" s="0"/>
      <c r="AMB84" s="0"/>
      <c r="AMC84" s="0"/>
      <c r="AMD84" s="0"/>
      <c r="AME84" s="0"/>
      <c r="AMF84" s="0"/>
      <c r="AMG84" s="0"/>
      <c r="AMH84" s="0"/>
      <c r="AMI84" s="0"/>
      <c r="AMJ84" s="0"/>
    </row>
    <row r="85" customFormat="false" ht="12.75" hidden="false" customHeight="false" outlineLevel="0" collapsed="false">
      <c r="A85" s="84" t="s">
        <v>315</v>
      </c>
      <c r="B85" s="81" t="s">
        <v>316</v>
      </c>
      <c r="C85" s="81"/>
      <c r="D85" s="81"/>
      <c r="E85" s="81"/>
      <c r="F85" s="81"/>
      <c r="G85" s="81"/>
      <c r="H85" s="81"/>
      <c r="I85" s="81"/>
      <c r="J85" s="81"/>
      <c r="K85" s="81"/>
      <c r="L85" s="81"/>
      <c r="M85" s="81"/>
      <c r="N85" s="82"/>
    </row>
    <row r="86" customFormat="false" ht="12.75" hidden="false" customHeight="false" outlineLevel="0" collapsed="false">
      <c r="A86" s="84" t="s">
        <v>317</v>
      </c>
      <c r="B86" s="81" t="s">
        <v>318</v>
      </c>
      <c r="C86" s="81"/>
      <c r="D86" s="81"/>
      <c r="E86" s="81"/>
      <c r="F86" s="81"/>
      <c r="G86" s="81"/>
      <c r="H86" s="81"/>
      <c r="I86" s="81"/>
      <c r="J86" s="81"/>
      <c r="K86" s="81"/>
      <c r="L86" s="81"/>
      <c r="M86" s="81"/>
      <c r="N86" s="82"/>
    </row>
    <row r="87" customFormat="false" ht="12.75" hidden="false" customHeight="false" outlineLevel="0" collapsed="false">
      <c r="A87" s="84" t="s">
        <v>319</v>
      </c>
      <c r="B87" s="81" t="s">
        <v>320</v>
      </c>
      <c r="C87" s="81"/>
      <c r="D87" s="81"/>
      <c r="E87" s="81"/>
      <c r="F87" s="81"/>
      <c r="G87" s="81"/>
      <c r="H87" s="81"/>
      <c r="I87" s="81"/>
      <c r="J87" s="81"/>
      <c r="K87" s="81"/>
      <c r="L87" s="81"/>
      <c r="M87" s="81"/>
      <c r="N87" s="82"/>
    </row>
    <row r="88" customFormat="false" ht="12.75" hidden="false" customHeight="false" outlineLevel="0" collapsed="false">
      <c r="A88" s="84" t="s">
        <v>321</v>
      </c>
      <c r="B88" s="81" t="s">
        <v>322</v>
      </c>
      <c r="C88" s="81"/>
      <c r="D88" s="81"/>
      <c r="E88" s="81"/>
      <c r="F88" s="81"/>
      <c r="G88" s="81"/>
      <c r="H88" s="81"/>
      <c r="I88" s="81"/>
      <c r="J88" s="81"/>
      <c r="K88" s="81"/>
      <c r="L88" s="81"/>
      <c r="M88" s="81"/>
      <c r="N88" s="82"/>
    </row>
    <row r="89" customFormat="false" ht="12.75" hidden="false" customHeight="false" outlineLevel="0" collapsed="false">
      <c r="A89" s="84" t="s">
        <v>323</v>
      </c>
      <c r="B89" s="81" t="s">
        <v>324</v>
      </c>
      <c r="C89" s="81"/>
      <c r="D89" s="81"/>
      <c r="E89" s="81"/>
      <c r="F89" s="81"/>
      <c r="G89" s="81"/>
      <c r="H89" s="81"/>
      <c r="I89" s="81"/>
      <c r="J89" s="81"/>
      <c r="K89" s="81"/>
      <c r="L89" s="81"/>
      <c r="M89" s="81"/>
      <c r="N89" s="82"/>
    </row>
  </sheetData>
  <sheetProtection sheet="true" password="e536" objects="true" scenarios="true" formatColumns="false" formatRows="false"/>
  <mergeCells count="5">
    <mergeCell ref="A7:N7"/>
    <mergeCell ref="A69:B69"/>
    <mergeCell ref="A72:N72"/>
    <mergeCell ref="A83:N83"/>
    <mergeCell ref="A84:N84"/>
  </mergeCells>
  <conditionalFormatting sqref="M9:N69">
    <cfRule type="cellIs" priority="2" operator="lessThan" aboveAverage="0" equalAverage="0" bottom="0" percent="0" rank="0" text="" dxfId="0">
      <formula>0</formula>
    </cfRule>
  </conditionalFormatting>
  <hyperlinks>
    <hyperlink ref="O7" location="Início!A7" display="Início"/>
    <hyperlink ref="P7" location="VxTxR!A7" display="Voltar"/>
    <hyperlink ref="Q7" location="CFM!A7" display="Avançar"/>
  </hyperlinks>
  <printOptions headings="false" gridLines="false" gridLinesSet="true" horizontalCentered="true" verticalCentered="false"/>
  <pageMargins left="0.118055555555556" right="0.118055555555556" top="0.590277777777778" bottom="0.984027777777778" header="0.511805555555555" footer="0.118055555555556"/>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&amp;L&amp;"Times New Roman,Normal"&amp;10RESUMO FINANCEIRO&amp;C&amp;"Times New Roman,Normal"&amp;10&lt;Inserir nome da empresa&gt;
&lt;Inserir endereço da empresa&gt;
&lt;Inserir telefone da empresa&gt;
&lt;Inserir correio eletrônico da empresa&gt;&amp;R&amp;"Times New Roman,Normal"&amp;10&amp;P/&amp;N</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M88"/>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A7" activeCellId="0" sqref="A7"/>
    </sheetView>
  </sheetViews>
  <sheetFormatPr defaultRowHeight="12.75"/>
  <cols>
    <col collapsed="false" hidden="false" max="8" min="1" style="1" width="9.04591836734694"/>
    <col collapsed="false" hidden="false" max="9" min="9" style="1" width="8.10204081632653"/>
    <col collapsed="false" hidden="false" max="10" min="10" style="1" width="9.71938775510204"/>
    <col collapsed="false" hidden="false" max="1025" min="11" style="1" width="9.04591836734694"/>
  </cols>
  <sheetData>
    <row r="1" customFormat="false" ht="15" hidden="false" customHeight="false" outlineLevel="0" collapsed="false">
      <c r="A1" s="2" t="str">
        <f aca="false">Início!A1</f>
        <v>RAZÃO SOCIAL DA EMPRESA:</v>
      </c>
      <c r="B1" s="2"/>
      <c r="C1" s="2"/>
      <c r="D1" s="2"/>
      <c r="E1" s="2"/>
      <c r="F1" s="2"/>
      <c r="G1" s="2"/>
      <c r="H1" s="2"/>
      <c r="I1" s="2"/>
      <c r="J1" s="2"/>
    </row>
    <row r="2" customFormat="false" ht="15" hidden="false" customHeight="false" outlineLevel="0" collapsed="false">
      <c r="A2" s="2" t="str">
        <f aca="false">Início!A2</f>
        <v>Endereço:</v>
      </c>
      <c r="B2" s="2"/>
      <c r="C2" s="2"/>
      <c r="D2" s="2"/>
      <c r="E2" s="2"/>
      <c r="F2" s="2"/>
      <c r="G2" s="2"/>
      <c r="H2" s="2"/>
      <c r="I2" s="2"/>
      <c r="J2" s="2"/>
    </row>
    <row r="3" customFormat="false" ht="15" hidden="false" customHeight="false" outlineLevel="0" collapsed="false">
      <c r="A3" s="2" t="str">
        <f aca="false">Início!A3</f>
        <v>CNPJ:</v>
      </c>
      <c r="B3" s="2"/>
      <c r="C3" s="2"/>
      <c r="D3" s="2"/>
      <c r="E3" s="2"/>
      <c r="F3" s="2"/>
      <c r="G3" s="2"/>
      <c r="H3" s="2"/>
      <c r="I3" s="2"/>
      <c r="J3" s="2"/>
    </row>
    <row r="4" customFormat="false" ht="15" hidden="false" customHeight="false" outlineLevel="0" collapsed="false">
      <c r="A4" s="2" t="str">
        <f aca="false">Início!A4</f>
        <v>Telefone</v>
      </c>
      <c r="B4" s="2"/>
      <c r="C4" s="2"/>
      <c r="D4" s="2"/>
      <c r="E4" s="2"/>
      <c r="F4" s="2"/>
      <c r="G4" s="2"/>
      <c r="H4" s="2"/>
      <c r="I4" s="2"/>
      <c r="J4" s="2"/>
    </row>
    <row r="5" customFormat="false" ht="15" hidden="false" customHeight="false" outlineLevel="0" collapsed="false">
      <c r="A5" s="2" t="str">
        <f aca="false">Início!A5</f>
        <v>E-mail:</v>
      </c>
      <c r="B5" s="2"/>
      <c r="C5" s="2"/>
      <c r="D5" s="2"/>
      <c r="E5" s="2"/>
      <c r="F5" s="2"/>
      <c r="G5" s="2"/>
      <c r="H5" s="2"/>
      <c r="I5" s="2"/>
      <c r="J5" s="2"/>
    </row>
    <row r="6" customFormat="false" ht="15" hidden="false" customHeight="false" outlineLevel="0" collapsed="false">
      <c r="A6" s="2"/>
      <c r="B6" s="2"/>
      <c r="C6" s="2"/>
      <c r="D6" s="2"/>
      <c r="E6" s="2"/>
      <c r="F6" s="2"/>
      <c r="G6" s="2"/>
      <c r="H6" s="2"/>
      <c r="I6" s="2"/>
      <c r="J6" s="2"/>
    </row>
    <row r="7" customFormat="false" ht="15" hidden="false" customHeight="false" outlineLevel="0" collapsed="false">
      <c r="A7" s="8" t="s">
        <v>325</v>
      </c>
      <c r="B7" s="8"/>
      <c r="C7" s="8"/>
      <c r="D7" s="8"/>
      <c r="E7" s="8"/>
      <c r="F7" s="8"/>
      <c r="G7" s="8"/>
      <c r="H7" s="8"/>
      <c r="I7" s="8"/>
      <c r="J7" s="8"/>
      <c r="K7" s="26" t="s">
        <v>12</v>
      </c>
      <c r="L7" s="13" t="s">
        <v>45</v>
      </c>
      <c r="M7" s="5" t="s">
        <v>6</v>
      </c>
    </row>
    <row r="9" customFormat="false" ht="12.75" hidden="false" customHeight="false" outlineLevel="0" collapsed="false">
      <c r="A9" s="27" t="s">
        <v>104</v>
      </c>
      <c r="B9" s="27"/>
      <c r="C9" s="27"/>
      <c r="D9" s="27"/>
      <c r="E9" s="27"/>
      <c r="F9" s="27"/>
      <c r="G9" s="27"/>
      <c r="H9" s="27"/>
      <c r="I9" s="27"/>
      <c r="J9" s="27"/>
    </row>
    <row r="11" customFormat="false" ht="12.75" hidden="false" customHeight="false" outlineLevel="0" collapsed="false">
      <c r="A11" s="19" t="s">
        <v>114</v>
      </c>
      <c r="B11" s="19" t="s">
        <v>11</v>
      </c>
      <c r="C11" s="19"/>
      <c r="D11" s="19"/>
      <c r="E11" s="19"/>
      <c r="F11" s="19"/>
      <c r="G11" s="19" t="s">
        <v>149</v>
      </c>
      <c r="H11" s="19" t="s">
        <v>150</v>
      </c>
      <c r="I11" s="85" t="s">
        <v>326</v>
      </c>
      <c r="J11" s="19" t="s">
        <v>68</v>
      </c>
    </row>
    <row r="12" customFormat="false" ht="12.75" hidden="false" customHeight="false" outlineLevel="0" collapsed="false">
      <c r="A12" s="16" t="s">
        <v>117</v>
      </c>
      <c r="B12" s="22" t="s">
        <v>327</v>
      </c>
      <c r="C12" s="22"/>
      <c r="D12" s="22"/>
      <c r="E12" s="22"/>
      <c r="F12" s="22"/>
      <c r="G12" s="22"/>
      <c r="H12" s="22"/>
      <c r="I12" s="22"/>
      <c r="J12" s="56" t="n">
        <f aca="false">SUM(J13:J18)</f>
        <v>11949.86812603</v>
      </c>
    </row>
    <row r="13" customFormat="false" ht="12.75" hidden="false" customHeight="true" outlineLevel="0" collapsed="false">
      <c r="A13" s="19" t="s">
        <v>120</v>
      </c>
      <c r="B13" s="11" t="s">
        <v>328</v>
      </c>
      <c r="C13" s="11"/>
      <c r="D13" s="11"/>
      <c r="E13" s="11"/>
      <c r="F13" s="11"/>
      <c r="G13" s="19" t="s">
        <v>159</v>
      </c>
      <c r="H13" s="86"/>
      <c r="I13" s="87" t="n">
        <f aca="false">'C. F. P. Caixa-Operador'!I173:J173</f>
        <v>2087.41261741635</v>
      </c>
      <c r="J13" s="41" t="n">
        <f aca="false">PRODUCT(H13,I13)</f>
        <v>2087.41261741635</v>
      </c>
      <c r="L13" s="88"/>
    </row>
    <row r="14" customFormat="false" ht="12.75" hidden="false" customHeight="false" outlineLevel="0" collapsed="false">
      <c r="A14" s="19" t="s">
        <v>123</v>
      </c>
      <c r="B14" s="10" t="s">
        <v>329</v>
      </c>
      <c r="C14" s="10"/>
      <c r="D14" s="10"/>
      <c r="E14" s="10"/>
      <c r="F14" s="10"/>
      <c r="G14" s="19" t="s">
        <v>159</v>
      </c>
      <c r="H14" s="86"/>
      <c r="I14" s="87" t="n">
        <f aca="false">'C. F. P. Orient de Tráf'!I177:J177</f>
        <v>2038.04982519485</v>
      </c>
      <c r="J14" s="41" t="n">
        <f aca="false">PRODUCT(H14,I14)</f>
        <v>2038.04982519485</v>
      </c>
      <c r="L14" s="88"/>
    </row>
    <row r="15" customFormat="false" ht="12.75" hidden="false" customHeight="false" outlineLevel="0" collapsed="false">
      <c r="A15" s="19" t="s">
        <v>126</v>
      </c>
      <c r="B15" s="10" t="s">
        <v>330</v>
      </c>
      <c r="C15" s="10"/>
      <c r="D15" s="10"/>
      <c r="E15" s="10"/>
      <c r="F15" s="10"/>
      <c r="G15" s="19" t="s">
        <v>159</v>
      </c>
      <c r="H15" s="86"/>
      <c r="I15" s="87" t="n">
        <f aca="false">'C. F. P. Supervisor'!I160:J160</f>
        <v>3038.46908088392</v>
      </c>
      <c r="J15" s="41" t="n">
        <f aca="false">PRODUCT(H15,I15)</f>
        <v>3038.46908088392</v>
      </c>
      <c r="L15" s="88"/>
    </row>
    <row r="16" customFormat="false" ht="12.75" hidden="false" customHeight="false" outlineLevel="0" collapsed="false">
      <c r="A16" s="19" t="s">
        <v>160</v>
      </c>
      <c r="B16" s="10" t="s">
        <v>331</v>
      </c>
      <c r="C16" s="10"/>
      <c r="D16" s="10"/>
      <c r="E16" s="10"/>
      <c r="F16" s="10"/>
      <c r="G16" s="19" t="s">
        <v>159</v>
      </c>
      <c r="H16" s="86"/>
      <c r="I16" s="87" t="n">
        <f aca="false">'C. F. P. Encarregado'!I160:J160</f>
        <v>2373.71681230105</v>
      </c>
      <c r="J16" s="41" t="n">
        <f aca="false">PRODUCT(H16,I16)</f>
        <v>2373.71681230105</v>
      </c>
      <c r="L16" s="88"/>
    </row>
    <row r="17" customFormat="false" ht="12.75" hidden="false" customHeight="false" outlineLevel="0" collapsed="false">
      <c r="A17" s="19" t="s">
        <v>161</v>
      </c>
      <c r="B17" s="10" t="s">
        <v>332</v>
      </c>
      <c r="C17" s="10"/>
      <c r="D17" s="10"/>
      <c r="E17" s="10"/>
      <c r="F17" s="10"/>
      <c r="G17" s="19" t="s">
        <v>159</v>
      </c>
      <c r="H17" s="86"/>
      <c r="I17" s="87" t="n">
        <f aca="false">'C. F. P. Vigia Diurno'!I186:J186</f>
        <v>2038.04982519485</v>
      </c>
      <c r="J17" s="41" t="n">
        <f aca="false">H17*I17</f>
        <v>0</v>
      </c>
      <c r="L17" s="88"/>
    </row>
    <row r="18" customFormat="false" ht="12.75" hidden="false" customHeight="false" outlineLevel="0" collapsed="false">
      <c r="A18" s="19" t="s">
        <v>163</v>
      </c>
      <c r="B18" s="10" t="s">
        <v>333</v>
      </c>
      <c r="C18" s="10"/>
      <c r="D18" s="10"/>
      <c r="E18" s="10"/>
      <c r="F18" s="10"/>
      <c r="G18" s="19" t="s">
        <v>159</v>
      </c>
      <c r="H18" s="86"/>
      <c r="I18" s="87" t="n">
        <f aca="false">'C. F. P. Vigia Noturno'!I188:J188</f>
        <v>2412.21979023382</v>
      </c>
      <c r="J18" s="41" t="n">
        <f aca="false">PRODUCT(H18,I18)</f>
        <v>2412.21979023382</v>
      </c>
      <c r="L18" s="88"/>
    </row>
    <row r="19" customFormat="false" ht="12.75" hidden="false" customHeight="false" outlineLevel="0" collapsed="false">
      <c r="A19" s="46"/>
      <c r="B19" s="89"/>
      <c r="C19" s="89"/>
      <c r="D19" s="89"/>
      <c r="E19" s="89"/>
      <c r="F19" s="89"/>
      <c r="G19" s="46"/>
      <c r="H19" s="46"/>
      <c r="J19" s="47"/>
    </row>
    <row r="20" customFormat="false" ht="12.75" hidden="false" customHeight="false" outlineLevel="0" collapsed="false">
      <c r="A20" s="16" t="s">
        <v>117</v>
      </c>
      <c r="B20" s="22" t="s">
        <v>334</v>
      </c>
      <c r="C20" s="22"/>
      <c r="D20" s="22"/>
      <c r="E20" s="22"/>
      <c r="F20" s="22"/>
      <c r="G20" s="22"/>
      <c r="H20" s="22"/>
      <c r="I20" s="22"/>
      <c r="J20" s="56" t="n">
        <f aca="false">SUM(J21:J26)</f>
        <v>0</v>
      </c>
      <c r="K20" s="14"/>
    </row>
    <row r="21" customFormat="false" ht="12.75" hidden="false" customHeight="true" outlineLevel="0" collapsed="false">
      <c r="A21" s="19" t="s">
        <v>120</v>
      </c>
      <c r="B21" s="11" t="s">
        <v>328</v>
      </c>
      <c r="C21" s="11"/>
      <c r="D21" s="11"/>
      <c r="E21" s="11"/>
      <c r="F21" s="11"/>
      <c r="G21" s="19" t="s">
        <v>159</v>
      </c>
      <c r="H21" s="19" t="n">
        <f aca="false">$H$13</f>
        <v>0</v>
      </c>
      <c r="I21" s="87" t="n">
        <f aca="false">'C. F. P. Caixa-Operador'!I187:J187</f>
        <v>2255.82859191766</v>
      </c>
      <c r="J21" s="41" t="n">
        <f aca="false">PRODUCT(H21,I21)</f>
        <v>0</v>
      </c>
    </row>
    <row r="22" customFormat="false" ht="12.75" hidden="false" customHeight="false" outlineLevel="0" collapsed="false">
      <c r="A22" s="19" t="s">
        <v>123</v>
      </c>
      <c r="B22" s="10" t="s">
        <v>329</v>
      </c>
      <c r="C22" s="10"/>
      <c r="D22" s="10"/>
      <c r="E22" s="10"/>
      <c r="F22" s="10"/>
      <c r="G22" s="19" t="s">
        <v>159</v>
      </c>
      <c r="H22" s="19" t="n">
        <f aca="false">$H$14</f>
        <v>0</v>
      </c>
      <c r="I22" s="87" t="n">
        <f aca="false">'C. F. P. Orient de Tráf'!I191:J191</f>
        <v>2154.04251435693</v>
      </c>
      <c r="J22" s="41" t="n">
        <f aca="false">PRODUCT(H22,I22)</f>
        <v>0</v>
      </c>
    </row>
    <row r="23" customFormat="false" ht="12.75" hidden="false" customHeight="false" outlineLevel="0" collapsed="false">
      <c r="A23" s="19" t="s">
        <v>126</v>
      </c>
      <c r="B23" s="10" t="s">
        <v>330</v>
      </c>
      <c r="C23" s="10"/>
      <c r="D23" s="10"/>
      <c r="E23" s="10"/>
      <c r="F23" s="10"/>
      <c r="G23" s="19" t="s">
        <v>159</v>
      </c>
      <c r="H23" s="19" t="n">
        <f aca="false">$H$15</f>
        <v>0</v>
      </c>
      <c r="I23" s="87" t="n">
        <f aca="false">'C. F. P. Supervisor'!I174:J174</f>
        <v>3216.48776389872</v>
      </c>
      <c r="J23" s="41" t="n">
        <f aca="false">PRODUCT(H23,I23)</f>
        <v>0</v>
      </c>
    </row>
    <row r="24" customFormat="false" ht="12.75" hidden="false" customHeight="false" outlineLevel="0" collapsed="false">
      <c r="A24" s="19" t="s">
        <v>160</v>
      </c>
      <c r="B24" s="10" t="s">
        <v>331</v>
      </c>
      <c r="C24" s="10"/>
      <c r="D24" s="10"/>
      <c r="E24" s="10"/>
      <c r="F24" s="10"/>
      <c r="G24" s="19" t="s">
        <v>159</v>
      </c>
      <c r="H24" s="19" t="n">
        <f aca="false">$H$16</f>
        <v>0</v>
      </c>
      <c r="I24" s="87" t="n">
        <f aca="false">'C. F. P. Encarregado'!I174:J174</f>
        <v>2510.52085466371</v>
      </c>
      <c r="J24" s="41" t="n">
        <f aca="false">PRODUCT(H24,I24)</f>
        <v>0</v>
      </c>
    </row>
    <row r="25" customFormat="false" ht="12.75" hidden="false" customHeight="false" outlineLevel="0" collapsed="false">
      <c r="A25" s="19" t="s">
        <v>161</v>
      </c>
      <c r="B25" s="10" t="s">
        <v>332</v>
      </c>
      <c r="C25" s="10"/>
      <c r="D25" s="10"/>
      <c r="E25" s="10"/>
      <c r="F25" s="10"/>
      <c r="G25" s="19" t="s">
        <v>159</v>
      </c>
      <c r="H25" s="19" t="n">
        <f aca="false">$H$17</f>
        <v>0</v>
      </c>
      <c r="I25" s="87" t="n">
        <f aca="false">'C. F. P. Vigia Diurno'!I200:J200</f>
        <v>2154.04251435693</v>
      </c>
      <c r="J25" s="41" t="n">
        <f aca="false">PRODUCT(H25,I25)</f>
        <v>0</v>
      </c>
    </row>
    <row r="26" customFormat="false" ht="12.75" hidden="false" customHeight="false" outlineLevel="0" collapsed="false">
      <c r="A26" s="19" t="s">
        <v>161</v>
      </c>
      <c r="B26" s="10" t="s">
        <v>333</v>
      </c>
      <c r="C26" s="10"/>
      <c r="D26" s="10"/>
      <c r="E26" s="10"/>
      <c r="F26" s="10"/>
      <c r="G26" s="19" t="s">
        <v>159</v>
      </c>
      <c r="H26" s="19" t="n">
        <f aca="false">$H$18</f>
        <v>0</v>
      </c>
      <c r="I26" s="87" t="n">
        <f aca="false">'C. F. P. Vigia Noturno'!I202:J202</f>
        <v>2925.58098226729</v>
      </c>
      <c r="J26" s="41" t="n">
        <f aca="false">PRODUCT(H26,I26)</f>
        <v>0</v>
      </c>
    </row>
    <row r="27" customFormat="false" ht="12.75" hidden="false" customHeight="false" outlineLevel="0" collapsed="false">
      <c r="A27" s="46"/>
      <c r="B27" s="89"/>
      <c r="C27" s="89"/>
      <c r="D27" s="89"/>
      <c r="E27" s="89"/>
      <c r="F27" s="89"/>
      <c r="G27" s="46"/>
      <c r="H27" s="46"/>
      <c r="J27" s="47"/>
    </row>
    <row r="28" customFormat="false" ht="12.75" hidden="false" customHeight="false" outlineLevel="0" collapsed="false">
      <c r="A28" s="16" t="s">
        <v>117</v>
      </c>
      <c r="B28" s="22" t="s">
        <v>335</v>
      </c>
      <c r="C28" s="22"/>
      <c r="D28" s="22"/>
      <c r="E28" s="22"/>
      <c r="F28" s="22"/>
      <c r="G28" s="22"/>
      <c r="H28" s="22"/>
      <c r="I28" s="22"/>
      <c r="J28" s="56" t="n">
        <f aca="false">SUM(J29:J34)</f>
        <v>0</v>
      </c>
    </row>
    <row r="29" customFormat="false" ht="12.75" hidden="false" customHeight="true" outlineLevel="0" collapsed="false">
      <c r="A29" s="19" t="s">
        <v>120</v>
      </c>
      <c r="B29" s="11" t="s">
        <v>328</v>
      </c>
      <c r="C29" s="11"/>
      <c r="D29" s="11"/>
      <c r="E29" s="11"/>
      <c r="F29" s="11"/>
      <c r="G29" s="19" t="s">
        <v>159</v>
      </c>
      <c r="H29" s="19" t="n">
        <f aca="false">$H$13</f>
        <v>0</v>
      </c>
      <c r="I29" s="87" t="n">
        <f aca="false">'C. F. P. Caixa-Operador'!I199:J199</f>
        <v>2434.68635683806</v>
      </c>
      <c r="J29" s="54" t="n">
        <f aca="false">H29*I29</f>
        <v>0</v>
      </c>
    </row>
    <row r="30" customFormat="false" ht="12.75" hidden="false" customHeight="false" outlineLevel="0" collapsed="false">
      <c r="A30" s="19" t="s">
        <v>123</v>
      </c>
      <c r="B30" s="10" t="s">
        <v>329</v>
      </c>
      <c r="C30" s="10"/>
      <c r="D30" s="10"/>
      <c r="E30" s="10"/>
      <c r="F30" s="10"/>
      <c r="G30" s="19" t="s">
        <v>159</v>
      </c>
      <c r="H30" s="19" t="n">
        <f aca="false">$H$14</f>
        <v>0</v>
      </c>
      <c r="I30" s="87" t="n">
        <f aca="false">'C. F. P. Orient de Tráf'!I203:J203</f>
        <v>2277.22675024706</v>
      </c>
      <c r="J30" s="54" t="n">
        <f aca="false">H30*I30</f>
        <v>0</v>
      </c>
    </row>
    <row r="31" customFormat="false" ht="12.75" hidden="false" customHeight="false" outlineLevel="0" collapsed="false">
      <c r="A31" s="19" t="s">
        <v>126</v>
      </c>
      <c r="B31" s="10" t="s">
        <v>330</v>
      </c>
      <c r="C31" s="10"/>
      <c r="D31" s="10"/>
      <c r="E31" s="10"/>
      <c r="F31" s="10"/>
      <c r="G31" s="19" t="s">
        <v>159</v>
      </c>
      <c r="H31" s="19" t="n">
        <f aca="false">$H$15</f>
        <v>0</v>
      </c>
      <c r="I31" s="87" t="n">
        <f aca="false">'C. F. P. Supervisor'!I186:J186</f>
        <v>3405.54360526044</v>
      </c>
      <c r="J31" s="54" t="n">
        <f aca="false">H31*I31</f>
        <v>0</v>
      </c>
    </row>
    <row r="32" customFormat="false" ht="12.75" hidden="false" customHeight="false" outlineLevel="0" collapsed="false">
      <c r="A32" s="19" t="s">
        <v>160</v>
      </c>
      <c r="B32" s="10" t="s">
        <v>331</v>
      </c>
      <c r="C32" s="10"/>
      <c r="D32" s="10"/>
      <c r="E32" s="10"/>
      <c r="F32" s="10"/>
      <c r="G32" s="19" t="s">
        <v>159</v>
      </c>
      <c r="H32" s="19" t="n">
        <f aca="false">$H$16</f>
        <v>0</v>
      </c>
      <c r="I32" s="87" t="n">
        <f aca="false">'C. F. P. Encarregado'!I186:J186</f>
        <v>2655.80674765287</v>
      </c>
      <c r="J32" s="54" t="n">
        <f aca="false">H32*I32</f>
        <v>0</v>
      </c>
    </row>
    <row r="33" customFormat="false" ht="12.75" hidden="false" customHeight="false" outlineLevel="0" collapsed="false">
      <c r="A33" s="19" t="s">
        <v>161</v>
      </c>
      <c r="B33" s="10" t="s">
        <v>332</v>
      </c>
      <c r="C33" s="10"/>
      <c r="D33" s="10"/>
      <c r="E33" s="10"/>
      <c r="F33" s="10"/>
      <c r="G33" s="19" t="s">
        <v>159</v>
      </c>
      <c r="H33" s="19" t="n">
        <f aca="false">$H$17</f>
        <v>0</v>
      </c>
      <c r="I33" s="87" t="n">
        <f aca="false">'C. F. P. Vigia Diurno'!I212:J212</f>
        <v>2277.22675024706</v>
      </c>
      <c r="J33" s="41" t="n">
        <f aca="false">H33*I33</f>
        <v>0</v>
      </c>
    </row>
    <row r="34" customFormat="false" ht="12.75" hidden="false" customHeight="false" outlineLevel="0" collapsed="false">
      <c r="A34" s="19" t="s">
        <v>161</v>
      </c>
      <c r="B34" s="10" t="s">
        <v>333</v>
      </c>
      <c r="C34" s="10"/>
      <c r="D34" s="10"/>
      <c r="E34" s="10"/>
      <c r="F34" s="10"/>
      <c r="G34" s="19" t="s">
        <v>159</v>
      </c>
      <c r="H34" s="19" t="n">
        <f aca="false">$H$18</f>
        <v>0</v>
      </c>
      <c r="I34" s="87" t="n">
        <f aca="false">'C. F. P. Vigia Noturno'!I214:J214</f>
        <v>3470.77056820683</v>
      </c>
      <c r="J34" s="54" t="n">
        <f aca="false">H34*I34</f>
        <v>0</v>
      </c>
    </row>
    <row r="35" customFormat="false" ht="12.75" hidden="false" customHeight="false" outlineLevel="0" collapsed="false">
      <c r="A35" s="46"/>
      <c r="B35" s="89"/>
      <c r="C35" s="89"/>
      <c r="D35" s="89"/>
      <c r="E35" s="89"/>
      <c r="F35" s="89"/>
      <c r="G35" s="46"/>
      <c r="H35" s="46"/>
      <c r="J35" s="47"/>
    </row>
    <row r="36" customFormat="false" ht="12.75" hidden="false" customHeight="false" outlineLevel="0" collapsed="false">
      <c r="A36" s="16" t="s">
        <v>117</v>
      </c>
      <c r="B36" s="22" t="s">
        <v>336</v>
      </c>
      <c r="C36" s="22"/>
      <c r="D36" s="22"/>
      <c r="E36" s="22"/>
      <c r="F36" s="22"/>
      <c r="G36" s="22"/>
      <c r="H36" s="22"/>
      <c r="I36" s="22"/>
      <c r="J36" s="56" t="n">
        <f aca="false">SUM(J37:J42)</f>
        <v>0</v>
      </c>
    </row>
    <row r="37" customFormat="false" ht="12.75" hidden="false" customHeight="true" outlineLevel="0" collapsed="false">
      <c r="A37" s="19" t="s">
        <v>120</v>
      </c>
      <c r="B37" s="11" t="s">
        <v>328</v>
      </c>
      <c r="C37" s="11"/>
      <c r="D37" s="11"/>
      <c r="E37" s="11"/>
      <c r="F37" s="11"/>
      <c r="G37" s="19" t="s">
        <v>159</v>
      </c>
      <c r="H37" s="19" t="n">
        <f aca="false">$H$13</f>
        <v>0</v>
      </c>
      <c r="I37" s="87" t="n">
        <f aca="false">'C. F. P. Caixa-Operador'!I211:J211</f>
        <v>2624.63330318352</v>
      </c>
      <c r="J37" s="54" t="n">
        <f aca="false">H37*I37</f>
        <v>0</v>
      </c>
    </row>
    <row r="38" customFormat="false" ht="12.75" hidden="false" customHeight="false" outlineLevel="0" collapsed="false">
      <c r="A38" s="19" t="s">
        <v>123</v>
      </c>
      <c r="B38" s="10" t="s">
        <v>329</v>
      </c>
      <c r="C38" s="10"/>
      <c r="D38" s="10"/>
      <c r="E38" s="10"/>
      <c r="F38" s="10"/>
      <c r="G38" s="19" t="s">
        <v>159</v>
      </c>
      <c r="H38" s="19" t="n">
        <f aca="false">$H$14</f>
        <v>0</v>
      </c>
      <c r="I38" s="87" t="n">
        <f aca="false">'C. F. P. Orient de Tráf'!I215:J215</f>
        <v>2408.04840876238</v>
      </c>
      <c r="J38" s="54" t="n">
        <f aca="false">H38*I38</f>
        <v>0</v>
      </c>
    </row>
    <row r="39" customFormat="false" ht="12.75" hidden="false" customHeight="false" outlineLevel="0" collapsed="false">
      <c r="A39" s="19" t="s">
        <v>126</v>
      </c>
      <c r="B39" s="10" t="s">
        <v>330</v>
      </c>
      <c r="C39" s="10"/>
      <c r="D39" s="10"/>
      <c r="E39" s="10"/>
      <c r="F39" s="10"/>
      <c r="G39" s="19" t="s">
        <v>159</v>
      </c>
      <c r="H39" s="19" t="n">
        <f aca="false">$H$15</f>
        <v>0</v>
      </c>
      <c r="I39" s="87" t="n">
        <f aca="false">'C. F. P. Supervisor'!I198:J198</f>
        <v>3606.32090878659</v>
      </c>
      <c r="J39" s="54" t="n">
        <f aca="false">H39*I39</f>
        <v>0</v>
      </c>
    </row>
    <row r="40" customFormat="false" ht="12.75" hidden="false" customHeight="false" outlineLevel="0" collapsed="false">
      <c r="A40" s="19" t="s">
        <v>160</v>
      </c>
      <c r="B40" s="10" t="s">
        <v>331</v>
      </c>
      <c r="C40" s="10"/>
      <c r="D40" s="10"/>
      <c r="E40" s="10"/>
      <c r="F40" s="10"/>
      <c r="G40" s="19" t="s">
        <v>159</v>
      </c>
      <c r="H40" s="19" t="n">
        <f aca="false">$H$16</f>
        <v>0</v>
      </c>
      <c r="I40" s="87" t="n">
        <f aca="false">'C. F. P. Encarregado'!I198:J198</f>
        <v>2810.10036600734</v>
      </c>
      <c r="J40" s="54" t="n">
        <f aca="false">H40*I40</f>
        <v>0</v>
      </c>
    </row>
    <row r="41" customFormat="false" ht="12.75" hidden="false" customHeight="false" outlineLevel="0" collapsed="false">
      <c r="A41" s="19" t="s">
        <v>161</v>
      </c>
      <c r="B41" s="10" t="s">
        <v>332</v>
      </c>
      <c r="C41" s="10"/>
      <c r="D41" s="10"/>
      <c r="E41" s="10"/>
      <c r="F41" s="10"/>
      <c r="G41" s="19" t="s">
        <v>159</v>
      </c>
      <c r="H41" s="19" t="n">
        <f aca="false">$H$17</f>
        <v>0</v>
      </c>
      <c r="I41" s="87" t="n">
        <f aca="false">'C. F. P. Vigia Diurno'!I224:J224</f>
        <v>2408.04840876238</v>
      </c>
      <c r="J41" s="41" t="n">
        <f aca="false">H41*I41</f>
        <v>0</v>
      </c>
    </row>
    <row r="42" customFormat="false" ht="12.75" hidden="false" customHeight="false" outlineLevel="0" collapsed="false">
      <c r="A42" s="19" t="s">
        <v>161</v>
      </c>
      <c r="B42" s="10" t="s">
        <v>333</v>
      </c>
      <c r="C42" s="10"/>
      <c r="D42" s="10"/>
      <c r="E42" s="10"/>
      <c r="F42" s="10"/>
      <c r="G42" s="19" t="s">
        <v>159</v>
      </c>
      <c r="H42" s="19" t="n">
        <f aca="false">$H$18</f>
        <v>0</v>
      </c>
      <c r="I42" s="87" t="n">
        <f aca="false">'C. F. P. Vigia Noturno'!I226:J226</f>
        <v>4049.76190847462</v>
      </c>
      <c r="J42" s="54" t="n">
        <f aca="false">H42*I42</f>
        <v>0</v>
      </c>
    </row>
    <row r="43" customFormat="false" ht="12.75" hidden="false" customHeight="false" outlineLevel="0" collapsed="false">
      <c r="A43" s="46"/>
      <c r="B43" s="89"/>
      <c r="C43" s="89"/>
      <c r="D43" s="89"/>
      <c r="E43" s="89"/>
      <c r="F43" s="89"/>
      <c r="G43" s="46"/>
      <c r="H43" s="46"/>
      <c r="J43" s="47"/>
    </row>
    <row r="44" customFormat="false" ht="12.75" hidden="false" customHeight="false" outlineLevel="0" collapsed="false">
      <c r="A44" s="16" t="s">
        <v>117</v>
      </c>
      <c r="B44" s="22" t="s">
        <v>337</v>
      </c>
      <c r="C44" s="22"/>
      <c r="D44" s="22"/>
      <c r="E44" s="22"/>
      <c r="F44" s="22"/>
      <c r="G44" s="22"/>
      <c r="H44" s="22"/>
      <c r="I44" s="22"/>
      <c r="J44" s="56" t="n">
        <f aca="false">SUM(J45:J50)</f>
        <v>0</v>
      </c>
    </row>
    <row r="45" customFormat="false" ht="12.75" hidden="false" customHeight="true" outlineLevel="0" collapsed="false">
      <c r="A45" s="19" t="s">
        <v>120</v>
      </c>
      <c r="B45" s="11" t="s">
        <v>328</v>
      </c>
      <c r="C45" s="11"/>
      <c r="D45" s="11"/>
      <c r="E45" s="11"/>
      <c r="F45" s="11"/>
      <c r="G45" s="19" t="s">
        <v>159</v>
      </c>
      <c r="H45" s="19" t="n">
        <f aca="false">$H$13</f>
        <v>0</v>
      </c>
      <c r="I45" s="87" t="n">
        <f aca="false">'C. F. P. Caixa-Operador'!I223:J223</f>
        <v>2826.3569602024</v>
      </c>
      <c r="J45" s="54" t="n">
        <f aca="false">H45*I45</f>
        <v>0</v>
      </c>
    </row>
    <row r="46" customFormat="false" ht="12.75" hidden="false" customHeight="false" outlineLevel="0" collapsed="false">
      <c r="A46" s="19" t="s">
        <v>123</v>
      </c>
      <c r="B46" s="10" t="s">
        <v>329</v>
      </c>
      <c r="C46" s="10"/>
      <c r="D46" s="10"/>
      <c r="E46" s="10"/>
      <c r="F46" s="10"/>
      <c r="G46" s="19" t="s">
        <v>159</v>
      </c>
      <c r="H46" s="19" t="n">
        <f aca="false">$H$14</f>
        <v>0</v>
      </c>
      <c r="I46" s="87" t="n">
        <f aca="false">'C. F. P. Orient de Tráf'!I227:J227</f>
        <v>2546.98101010565</v>
      </c>
      <c r="J46" s="54" t="n">
        <f aca="false">H46*I46</f>
        <v>0</v>
      </c>
    </row>
    <row r="47" customFormat="false" ht="12.75" hidden="false" customHeight="false" outlineLevel="0" collapsed="false">
      <c r="A47" s="19" t="s">
        <v>126</v>
      </c>
      <c r="B47" s="10" t="s">
        <v>330</v>
      </c>
      <c r="C47" s="10"/>
      <c r="D47" s="10"/>
      <c r="E47" s="10"/>
      <c r="F47" s="10"/>
      <c r="G47" s="19" t="s">
        <v>159</v>
      </c>
      <c r="H47" s="19" t="n">
        <f aca="false">$H$15</f>
        <v>0</v>
      </c>
      <c r="I47" s="87" t="n">
        <f aca="false">'C. F. P. Supervisor'!I210:J210</f>
        <v>3819.54640513136</v>
      </c>
      <c r="J47" s="54" t="n">
        <f aca="false">H47*I47</f>
        <v>0</v>
      </c>
    </row>
    <row r="48" customFormat="false" ht="12.75" hidden="false" customHeight="false" outlineLevel="0" collapsed="false">
      <c r="A48" s="19" t="s">
        <v>160</v>
      </c>
      <c r="B48" s="10" t="s">
        <v>331</v>
      </c>
      <c r="C48" s="10"/>
      <c r="D48" s="10"/>
      <c r="E48" s="10"/>
      <c r="F48" s="10"/>
      <c r="G48" s="19" t="s">
        <v>159</v>
      </c>
      <c r="H48" s="19" t="n">
        <f aca="false">$H$16</f>
        <v>0</v>
      </c>
      <c r="I48" s="87" t="n">
        <f aca="false">'C. F. P. Encarregado'!I210:J210</f>
        <v>2973.9601886998</v>
      </c>
      <c r="J48" s="54" t="n">
        <f aca="false">H48*I48</f>
        <v>0</v>
      </c>
    </row>
    <row r="49" customFormat="false" ht="12.75" hidden="false" customHeight="false" outlineLevel="0" collapsed="false">
      <c r="A49" s="19" t="s">
        <v>161</v>
      </c>
      <c r="B49" s="10" t="s">
        <v>332</v>
      </c>
      <c r="C49" s="10"/>
      <c r="D49" s="10"/>
      <c r="E49" s="10"/>
      <c r="F49" s="10"/>
      <c r="G49" s="19" t="s">
        <v>159</v>
      </c>
      <c r="H49" s="19" t="n">
        <f aca="false">$H$17</f>
        <v>0</v>
      </c>
      <c r="I49" s="87" t="n">
        <f aca="false">'C. F. P. Vigia Diurno'!I236:J236</f>
        <v>2546.98101010565</v>
      </c>
      <c r="J49" s="41" t="n">
        <f aca="false">H49*I49</f>
        <v>0</v>
      </c>
    </row>
    <row r="50" customFormat="false" ht="12.75" hidden="false" customHeight="false" outlineLevel="0" collapsed="false">
      <c r="A50" s="19" t="s">
        <v>161</v>
      </c>
      <c r="B50" s="10" t="s">
        <v>333</v>
      </c>
      <c r="C50" s="10"/>
      <c r="D50" s="10"/>
      <c r="E50" s="10"/>
      <c r="F50" s="10"/>
      <c r="G50" s="19" t="s">
        <v>159</v>
      </c>
      <c r="H50" s="19" t="n">
        <f aca="false">$H$18</f>
        <v>0</v>
      </c>
      <c r="I50" s="87" t="n">
        <f aca="false">'C. F. P. Vigia Noturno'!I238:J238</f>
        <v>4664.65071183902</v>
      </c>
      <c r="J50" s="54" t="n">
        <f aca="false">H50*I50</f>
        <v>0</v>
      </c>
    </row>
    <row r="51" customFormat="false" ht="12.75" hidden="false" customHeight="false" outlineLevel="0" collapsed="false">
      <c r="A51" s="46"/>
      <c r="B51" s="89"/>
      <c r="C51" s="89"/>
      <c r="D51" s="89"/>
      <c r="E51" s="89"/>
      <c r="F51" s="89"/>
      <c r="G51" s="46"/>
      <c r="H51" s="46"/>
      <c r="J51" s="47"/>
    </row>
    <row r="52" customFormat="false" ht="12.75" hidden="false" customHeight="false" outlineLevel="0" collapsed="false">
      <c r="A52" s="16" t="s">
        <v>117</v>
      </c>
      <c r="B52" s="22" t="s">
        <v>338</v>
      </c>
      <c r="C52" s="22"/>
      <c r="D52" s="22"/>
      <c r="E52" s="22"/>
      <c r="F52" s="22"/>
      <c r="G52" s="22"/>
      <c r="H52" s="22"/>
      <c r="I52" s="22"/>
      <c r="J52" s="56" t="n">
        <f aca="false">SUM(J53:J58)</f>
        <v>0</v>
      </c>
    </row>
    <row r="53" customFormat="false" ht="12.75" hidden="false" customHeight="true" outlineLevel="0" collapsed="false">
      <c r="A53" s="19" t="s">
        <v>120</v>
      </c>
      <c r="B53" s="11" t="s">
        <v>328</v>
      </c>
      <c r="C53" s="11"/>
      <c r="D53" s="11"/>
      <c r="E53" s="11"/>
      <c r="F53" s="11"/>
      <c r="G53" s="19" t="s">
        <v>159</v>
      </c>
      <c r="H53" s="19" t="n">
        <f aca="false">$H$13</f>
        <v>0</v>
      </c>
      <c r="I53" s="87" t="n">
        <f aca="false">'C. F. P. Caixa-Operador'!I235:J235</f>
        <v>3040.58748395645</v>
      </c>
      <c r="J53" s="54" t="n">
        <f aca="false">H53*I53</f>
        <v>0</v>
      </c>
    </row>
    <row r="54" customFormat="false" ht="12.75" hidden="false" customHeight="false" outlineLevel="0" collapsed="false">
      <c r="A54" s="19" t="s">
        <v>123</v>
      </c>
      <c r="B54" s="10" t="s">
        <v>329</v>
      </c>
      <c r="C54" s="10"/>
      <c r="D54" s="10"/>
      <c r="E54" s="10"/>
      <c r="F54" s="10"/>
      <c r="G54" s="19" t="s">
        <v>159</v>
      </c>
      <c r="H54" s="19" t="n">
        <f aca="false">$H$14</f>
        <v>0</v>
      </c>
      <c r="I54" s="87" t="n">
        <f aca="false">'C. F. P. Orient de Tráf'!I239:J239</f>
        <v>2694.5274327322</v>
      </c>
      <c r="J54" s="54" t="n">
        <f aca="false">H54*I54</f>
        <v>0</v>
      </c>
    </row>
    <row r="55" customFormat="false" ht="12.75" hidden="false" customHeight="false" outlineLevel="0" collapsed="false">
      <c r="A55" s="19" t="s">
        <v>126</v>
      </c>
      <c r="B55" s="10" t="s">
        <v>330</v>
      </c>
      <c r="C55" s="10"/>
      <c r="D55" s="10"/>
      <c r="E55" s="10"/>
      <c r="F55" s="10"/>
      <c r="G55" s="19" t="s">
        <v>159</v>
      </c>
      <c r="H55" s="19" t="n">
        <f aca="false">$H$15</f>
        <v>0</v>
      </c>
      <c r="I55" s="87" t="n">
        <f aca="false">'C. F. P. Supervisor'!I222:J222</f>
        <v>4045.9918822495</v>
      </c>
      <c r="J55" s="54" t="n">
        <f aca="false">H55*I55</f>
        <v>0</v>
      </c>
    </row>
    <row r="56" customFormat="false" ht="12.75" hidden="false" customHeight="false" outlineLevel="0" collapsed="false">
      <c r="A56" s="19" t="s">
        <v>160</v>
      </c>
      <c r="B56" s="10" t="s">
        <v>331</v>
      </c>
      <c r="C56" s="10"/>
      <c r="D56" s="10"/>
      <c r="E56" s="10"/>
      <c r="F56" s="10"/>
      <c r="G56" s="19" t="s">
        <v>159</v>
      </c>
      <c r="H56" s="19" t="n">
        <f aca="false">$H$16</f>
        <v>0</v>
      </c>
      <c r="I56" s="87" t="n">
        <f aca="false">'C. F. P. Encarregado'!I222:J222</f>
        <v>3148.32604033154</v>
      </c>
      <c r="J56" s="54" t="n">
        <f aca="false">H56*I56</f>
        <v>0</v>
      </c>
    </row>
    <row r="57" customFormat="false" ht="12.75" hidden="false" customHeight="false" outlineLevel="0" collapsed="false">
      <c r="A57" s="19" t="s">
        <v>161</v>
      </c>
      <c r="B57" s="10" t="s">
        <v>332</v>
      </c>
      <c r="C57" s="10"/>
      <c r="D57" s="10"/>
      <c r="E57" s="10"/>
      <c r="F57" s="10"/>
      <c r="G57" s="19" t="s">
        <v>159</v>
      </c>
      <c r="H57" s="19" t="n">
        <f aca="false">$H$17</f>
        <v>0</v>
      </c>
      <c r="I57" s="87" t="n">
        <f aca="false">'C. F. P. Vigia Diurno'!I248:J248</f>
        <v>2694.5274327322</v>
      </c>
      <c r="J57" s="41" t="n">
        <f aca="false">H57*I57</f>
        <v>0</v>
      </c>
    </row>
    <row r="58" customFormat="false" ht="12.75" hidden="false" customHeight="false" outlineLevel="0" collapsed="false">
      <c r="A58" s="19" t="s">
        <v>161</v>
      </c>
      <c r="B58" s="10" t="s">
        <v>333</v>
      </c>
      <c r="C58" s="10"/>
      <c r="D58" s="10"/>
      <c r="E58" s="10"/>
      <c r="F58" s="10"/>
      <c r="G58" s="19" t="s">
        <v>159</v>
      </c>
      <c r="H58" s="19" t="n">
        <f aca="false">$H$18</f>
        <v>0</v>
      </c>
      <c r="I58" s="87" t="n">
        <f aca="false">'C. F. P. Vigia Noturno'!I250:J250</f>
        <v>5338.27275695857</v>
      </c>
      <c r="J58" s="54" t="n">
        <f aca="false">H58*I58</f>
        <v>0</v>
      </c>
    </row>
    <row r="59" customFormat="false" ht="12.75" hidden="false" customHeight="false" outlineLevel="0" collapsed="false">
      <c r="A59" s="46"/>
      <c r="B59" s="89"/>
      <c r="C59" s="89"/>
      <c r="D59" s="89"/>
      <c r="E59" s="89"/>
      <c r="F59" s="46"/>
      <c r="G59" s="46"/>
      <c r="J59" s="47"/>
    </row>
    <row r="60" customFormat="false" ht="12.75" hidden="false" customHeight="false" outlineLevel="0" collapsed="false">
      <c r="A60" s="16" t="s">
        <v>129</v>
      </c>
      <c r="B60" s="22" t="s">
        <v>339</v>
      </c>
      <c r="C60" s="22"/>
      <c r="D60" s="22"/>
      <c r="E60" s="22"/>
      <c r="F60" s="22"/>
      <c r="G60" s="22"/>
      <c r="H60" s="22"/>
      <c r="I60" s="22"/>
      <c r="J60" s="56" t="n">
        <f aca="false">SUM(J61:J65)</f>
        <v>0</v>
      </c>
    </row>
    <row r="61" customFormat="false" ht="12.75" hidden="false" customHeight="true" outlineLevel="0" collapsed="false">
      <c r="A61" s="19" t="s">
        <v>132</v>
      </c>
      <c r="B61" s="11" t="s">
        <v>340</v>
      </c>
      <c r="C61" s="11"/>
      <c r="D61" s="11"/>
      <c r="E61" s="11"/>
      <c r="F61" s="11"/>
      <c r="G61" s="19" t="s">
        <v>341</v>
      </c>
      <c r="H61" s="19" t="n">
        <v>2</v>
      </c>
      <c r="I61" s="90"/>
      <c r="J61" s="54" t="n">
        <f aca="false">H61*I61</f>
        <v>0</v>
      </c>
    </row>
    <row r="62" customFormat="false" ht="12.75" hidden="false" customHeight="false" outlineLevel="0" collapsed="false">
      <c r="A62" s="19" t="s">
        <v>135</v>
      </c>
      <c r="B62" s="10" t="s">
        <v>342</v>
      </c>
      <c r="C62" s="10"/>
      <c r="D62" s="10"/>
      <c r="E62" s="10"/>
      <c r="F62" s="10"/>
      <c r="G62" s="19" t="s">
        <v>159</v>
      </c>
      <c r="H62" s="19" t="n">
        <v>1</v>
      </c>
      <c r="I62" s="87" t="n">
        <f aca="false">'Custo Mensal do Veículo'!$I$54:$J$54</f>
        <v>0</v>
      </c>
      <c r="J62" s="54" t="n">
        <f aca="false">H62*I62</f>
        <v>0</v>
      </c>
    </row>
    <row r="63" customFormat="false" ht="12.75" hidden="false" customHeight="false" outlineLevel="0" collapsed="false">
      <c r="A63" s="19" t="s">
        <v>138</v>
      </c>
      <c r="B63" s="10" t="s">
        <v>343</v>
      </c>
      <c r="C63" s="10"/>
      <c r="D63" s="10"/>
      <c r="E63" s="10"/>
      <c r="F63" s="10"/>
      <c r="G63" s="19" t="s">
        <v>159</v>
      </c>
      <c r="H63" s="19" t="n">
        <v>2</v>
      </c>
      <c r="I63" s="87" t="n">
        <f aca="false">'Custo Mensal da Moto'!I53:J53</f>
        <v>0</v>
      </c>
      <c r="J63" s="54" t="n">
        <f aca="false">H63*I63</f>
        <v>0</v>
      </c>
    </row>
    <row r="64" customFormat="false" ht="12.75" hidden="false" customHeight="false" outlineLevel="0" collapsed="false">
      <c r="A64" s="19" t="s">
        <v>190</v>
      </c>
      <c r="B64" s="10" t="s">
        <v>344</v>
      </c>
      <c r="C64" s="10"/>
      <c r="D64" s="10"/>
      <c r="E64" s="10"/>
      <c r="F64" s="10"/>
      <c r="G64" s="19" t="s">
        <v>159</v>
      </c>
      <c r="H64" s="19" t="n">
        <v>1</v>
      </c>
      <c r="I64" s="90"/>
      <c r="J64" s="54" t="n">
        <f aca="false">H64*I64</f>
        <v>0</v>
      </c>
    </row>
    <row r="65" customFormat="false" ht="12.75" hidden="false" customHeight="false" outlineLevel="0" collapsed="false">
      <c r="A65" s="19" t="s">
        <v>345</v>
      </c>
      <c r="B65" s="10" t="s">
        <v>346</v>
      </c>
      <c r="C65" s="10"/>
      <c r="D65" s="10"/>
      <c r="E65" s="10"/>
      <c r="F65" s="10"/>
      <c r="G65" s="19" t="s">
        <v>341</v>
      </c>
      <c r="H65" s="19" t="n">
        <v>1</v>
      </c>
      <c r="I65" s="90"/>
      <c r="J65" s="54" t="n">
        <f aca="false">H65*I65</f>
        <v>0</v>
      </c>
    </row>
    <row r="66" customFormat="false" ht="12.75" hidden="false" customHeight="false" outlineLevel="0" collapsed="false">
      <c r="A66" s="46"/>
      <c r="B66" s="89"/>
      <c r="C66" s="89"/>
      <c r="D66" s="89"/>
      <c r="E66" s="89"/>
      <c r="F66" s="89"/>
      <c r="G66" s="46"/>
      <c r="H66" s="46"/>
      <c r="J66" s="47"/>
    </row>
    <row r="67" customFormat="false" ht="12.75" hidden="false" customHeight="false" outlineLevel="0" collapsed="false">
      <c r="A67" s="16" t="s">
        <v>141</v>
      </c>
      <c r="B67" s="22" t="s">
        <v>347</v>
      </c>
      <c r="C67" s="22"/>
      <c r="D67" s="22"/>
      <c r="E67" s="22"/>
      <c r="F67" s="22"/>
      <c r="G67" s="22"/>
      <c r="H67" s="22"/>
      <c r="I67" s="22"/>
      <c r="J67" s="56" t="n">
        <f aca="false">J68</f>
        <v>27.8666666666667</v>
      </c>
    </row>
    <row r="68" customFormat="false" ht="12.75" hidden="false" customHeight="true" outlineLevel="0" collapsed="false">
      <c r="A68" s="19" t="s">
        <v>348</v>
      </c>
      <c r="B68" s="11" t="s">
        <v>349</v>
      </c>
      <c r="C68" s="11"/>
      <c r="D68" s="11"/>
      <c r="E68" s="11"/>
      <c r="F68" s="11"/>
      <c r="G68" s="19" t="s">
        <v>350</v>
      </c>
      <c r="H68" s="19" t="n">
        <v>1</v>
      </c>
      <c r="I68" s="90" t="n">
        <f aca="false">41800*0.008/12</f>
        <v>27.8666666666667</v>
      </c>
      <c r="J68" s="54" t="n">
        <f aca="false">H68*I68</f>
        <v>27.8666666666667</v>
      </c>
    </row>
    <row r="69" customFormat="false" ht="12.75" hidden="false" customHeight="false" outlineLevel="0" collapsed="false">
      <c r="A69" s="46"/>
      <c r="B69" s="89"/>
      <c r="C69" s="89"/>
      <c r="D69" s="89"/>
      <c r="E69" s="89"/>
      <c r="F69" s="89"/>
      <c r="G69" s="46"/>
      <c r="H69" s="46"/>
      <c r="J69" s="47"/>
    </row>
    <row r="70" customFormat="false" ht="12.75" hidden="false" customHeight="false" outlineLevel="0" collapsed="false">
      <c r="A70" s="91" t="s">
        <v>351</v>
      </c>
      <c r="B70" s="92"/>
      <c r="C70" s="92"/>
      <c r="D70" s="92"/>
      <c r="E70" s="92"/>
      <c r="F70" s="92"/>
      <c r="G70" s="92"/>
      <c r="H70" s="92"/>
      <c r="I70" s="93" t="n">
        <v>1</v>
      </c>
      <c r="J70" s="56" t="n">
        <f aca="false">J12+$J$60+$J$67</f>
        <v>11977.7347926967</v>
      </c>
    </row>
    <row r="71" customFormat="false" ht="12.75" hidden="false" customHeight="false" outlineLevel="0" collapsed="false">
      <c r="A71" s="91" t="s">
        <v>352</v>
      </c>
      <c r="B71" s="92"/>
      <c r="C71" s="92"/>
      <c r="D71" s="92"/>
      <c r="E71" s="92"/>
      <c r="F71" s="92"/>
      <c r="G71" s="92"/>
      <c r="H71" s="92"/>
      <c r="I71" s="93" t="n">
        <v>2</v>
      </c>
      <c r="J71" s="56" t="n">
        <f aca="false">J20+$J$60+$J$67</f>
        <v>27.8666666666667</v>
      </c>
    </row>
    <row r="72" customFormat="false" ht="12.75" hidden="false" customHeight="false" outlineLevel="0" collapsed="false">
      <c r="A72" s="91" t="s">
        <v>353</v>
      </c>
      <c r="B72" s="92"/>
      <c r="C72" s="92"/>
      <c r="D72" s="92"/>
      <c r="E72" s="92"/>
      <c r="F72" s="92"/>
      <c r="G72" s="92"/>
      <c r="H72" s="92"/>
      <c r="I72" s="93" t="n">
        <v>3</v>
      </c>
      <c r="J72" s="56" t="n">
        <f aca="false">J28+$J$60+$J$67</f>
        <v>27.8666666666667</v>
      </c>
    </row>
    <row r="73" customFormat="false" ht="12.75" hidden="false" customHeight="false" outlineLevel="0" collapsed="false">
      <c r="A73" s="91" t="s">
        <v>354</v>
      </c>
      <c r="B73" s="92"/>
      <c r="C73" s="92"/>
      <c r="D73" s="92"/>
      <c r="E73" s="92"/>
      <c r="F73" s="92"/>
      <c r="G73" s="92"/>
      <c r="H73" s="92"/>
      <c r="I73" s="93" t="n">
        <v>4</v>
      </c>
      <c r="J73" s="56" t="n">
        <f aca="false">J36+$J$60+$J$67</f>
        <v>27.8666666666667</v>
      </c>
    </row>
    <row r="74" customFormat="false" ht="12.75" hidden="false" customHeight="false" outlineLevel="0" collapsed="false">
      <c r="A74" s="91" t="s">
        <v>355</v>
      </c>
      <c r="B74" s="92"/>
      <c r="C74" s="92"/>
      <c r="D74" s="92"/>
      <c r="E74" s="92"/>
      <c r="F74" s="92"/>
      <c r="G74" s="92"/>
      <c r="H74" s="92"/>
      <c r="I74" s="93" t="n">
        <v>5</v>
      </c>
      <c r="J74" s="56" t="n">
        <f aca="false">J44+$J$60+$J$67</f>
        <v>27.8666666666667</v>
      </c>
    </row>
    <row r="75" customFormat="false" ht="12.75" hidden="false" customHeight="false" outlineLevel="0" collapsed="false">
      <c r="A75" s="91" t="s">
        <v>356</v>
      </c>
      <c r="B75" s="92"/>
      <c r="C75" s="92"/>
      <c r="D75" s="92"/>
      <c r="E75" s="92"/>
      <c r="F75" s="92"/>
      <c r="G75" s="92"/>
      <c r="H75" s="92"/>
      <c r="I75" s="93" t="n">
        <v>6</v>
      </c>
      <c r="J75" s="56" t="n">
        <f aca="false">J52+$J$60+$J$67</f>
        <v>27.8666666666667</v>
      </c>
    </row>
    <row r="76" customFormat="false" ht="12.75" hidden="false" customHeight="false" outlineLevel="0" collapsed="false">
      <c r="F76" s="46"/>
      <c r="G76" s="46"/>
      <c r="J76" s="47"/>
    </row>
    <row r="77" customFormat="false" ht="15" hidden="false" customHeight="false" outlineLevel="0" collapsed="false">
      <c r="A77" s="20" t="s">
        <v>69</v>
      </c>
      <c r="B77" s="20"/>
      <c r="C77" s="20"/>
      <c r="D77" s="20"/>
      <c r="E77" s="20"/>
      <c r="F77" s="20"/>
      <c r="G77" s="20"/>
      <c r="H77" s="20"/>
      <c r="I77" s="20"/>
      <c r="J77" s="20"/>
    </row>
    <row r="78" customFormat="false" ht="12.75" hidden="false" customHeight="false" outlineLevel="0" collapsed="false">
      <c r="A78" s="50" t="s">
        <v>357</v>
      </c>
      <c r="B78" s="51"/>
      <c r="C78" s="51"/>
      <c r="D78" s="51"/>
      <c r="E78" s="51"/>
      <c r="F78" s="51"/>
      <c r="G78" s="51"/>
      <c r="H78" s="51"/>
      <c r="I78" s="51"/>
      <c r="J78" s="52"/>
    </row>
    <row r="79" customFormat="false" ht="12.75" hidden="false" customHeight="true" outlineLevel="0" collapsed="false">
      <c r="A79" s="23" t="s">
        <v>358</v>
      </c>
      <c r="B79" s="94" t="s">
        <v>359</v>
      </c>
      <c r="C79" s="94"/>
      <c r="D79" s="94"/>
      <c r="E79" s="94"/>
      <c r="F79" s="94"/>
      <c r="G79" s="94"/>
      <c r="H79" s="94"/>
      <c r="I79" s="94"/>
      <c r="J79" s="94"/>
    </row>
    <row r="80" customFormat="false" ht="24.75" hidden="false" customHeight="true" outlineLevel="0" collapsed="false">
      <c r="A80" s="23" t="s">
        <v>360</v>
      </c>
      <c r="B80" s="95" t="s">
        <v>361</v>
      </c>
      <c r="C80" s="95"/>
      <c r="D80" s="95"/>
      <c r="E80" s="95"/>
      <c r="F80" s="95"/>
      <c r="G80" s="95"/>
      <c r="H80" s="95"/>
      <c r="I80" s="95"/>
      <c r="J80" s="95"/>
    </row>
    <row r="81" customFormat="false" ht="49.5" hidden="false" customHeight="true" outlineLevel="0" collapsed="false">
      <c r="A81" s="23" t="s">
        <v>362</v>
      </c>
      <c r="B81" s="95" t="s">
        <v>363</v>
      </c>
      <c r="C81" s="95"/>
      <c r="D81" s="95"/>
      <c r="E81" s="95"/>
      <c r="F81" s="95"/>
      <c r="G81" s="95"/>
      <c r="H81" s="95"/>
      <c r="I81" s="95"/>
      <c r="J81" s="95"/>
    </row>
    <row r="82" customFormat="false" ht="12.75" hidden="false" customHeight="true" outlineLevel="0" collapsed="false">
      <c r="A82" s="23" t="s">
        <v>364</v>
      </c>
      <c r="B82" s="94" t="s">
        <v>365</v>
      </c>
      <c r="C82" s="94"/>
      <c r="D82" s="94"/>
      <c r="E82" s="94"/>
      <c r="F82" s="94"/>
      <c r="G82" s="94"/>
      <c r="H82" s="94"/>
      <c r="I82" s="94"/>
      <c r="J82" s="94"/>
    </row>
    <row r="85" customFormat="false" ht="15" hidden="true" customHeight="false" outlineLevel="0" collapsed="false">
      <c r="A85" s="8" t="s">
        <v>366</v>
      </c>
      <c r="B85" s="8"/>
      <c r="C85" s="8"/>
      <c r="D85" s="8"/>
      <c r="E85" s="8"/>
      <c r="F85" s="8"/>
      <c r="G85" s="8"/>
      <c r="H85" s="8"/>
      <c r="I85" s="8"/>
      <c r="J85" s="8"/>
    </row>
    <row r="86" customFormat="false" ht="15" hidden="true" customHeight="false" outlineLevel="0" collapsed="false">
      <c r="A86" s="6"/>
      <c r="B86" s="48"/>
      <c r="C86" s="48"/>
      <c r="D86" s="48"/>
      <c r="E86" s="48"/>
      <c r="F86" s="48"/>
      <c r="G86" s="48"/>
      <c r="H86" s="48"/>
      <c r="I86" s="48"/>
      <c r="J86" s="48"/>
    </row>
    <row r="87" customFormat="false" ht="12.75" hidden="true" customHeight="false" outlineLevel="0" collapsed="false">
      <c r="A87" s="96" t="s">
        <v>367</v>
      </c>
      <c r="B87" s="97"/>
      <c r="C87" s="16" t="s">
        <v>368</v>
      </c>
      <c r="D87" s="16" t="s">
        <v>369</v>
      </c>
      <c r="E87" s="16" t="s">
        <v>370</v>
      </c>
      <c r="F87" s="16" t="s">
        <v>371</v>
      </c>
      <c r="G87" s="16" t="s">
        <v>207</v>
      </c>
    </row>
    <row r="88" customFormat="false" ht="12.75" hidden="true" customHeight="false" outlineLevel="0" collapsed="false">
      <c r="A88" s="98" t="s">
        <v>372</v>
      </c>
      <c r="B88" s="97"/>
      <c r="C88" s="54" t="n">
        <v>69.15</v>
      </c>
      <c r="D88" s="54" t="n">
        <v>59.99</v>
      </c>
      <c r="E88" s="54" t="n">
        <v>79.9</v>
      </c>
      <c r="F88" s="54" t="n">
        <v>117.99</v>
      </c>
      <c r="G88" s="41" t="n">
        <f aca="false">AVERAGE(C88:F88)</f>
        <v>81.7575</v>
      </c>
    </row>
  </sheetData>
  <sheetProtection sheet="true" password="e536" objects="true" scenarios="true" formatColumns="false" formatRows="false"/>
  <mergeCells count="59">
    <mergeCell ref="A7:J7"/>
    <mergeCell ref="A9:J9"/>
    <mergeCell ref="B11:F11"/>
    <mergeCell ref="B12:I12"/>
    <mergeCell ref="B13:F13"/>
    <mergeCell ref="B14:F14"/>
    <mergeCell ref="B15:F15"/>
    <mergeCell ref="B16:F16"/>
    <mergeCell ref="B17:F17"/>
    <mergeCell ref="B18:F18"/>
    <mergeCell ref="B20:I20"/>
    <mergeCell ref="B21:F21"/>
    <mergeCell ref="B22:F22"/>
    <mergeCell ref="B23:F23"/>
    <mergeCell ref="B24:F24"/>
    <mergeCell ref="B25:F25"/>
    <mergeCell ref="B26:F26"/>
    <mergeCell ref="B28:I28"/>
    <mergeCell ref="B29:F29"/>
    <mergeCell ref="B30:F30"/>
    <mergeCell ref="B31:F31"/>
    <mergeCell ref="B32:F32"/>
    <mergeCell ref="B33:F33"/>
    <mergeCell ref="B34:F34"/>
    <mergeCell ref="B36:I36"/>
    <mergeCell ref="B37:F37"/>
    <mergeCell ref="B38:F38"/>
    <mergeCell ref="B39:F39"/>
    <mergeCell ref="B40:F40"/>
    <mergeCell ref="B41:F41"/>
    <mergeCell ref="B42:F42"/>
    <mergeCell ref="B44:I44"/>
    <mergeCell ref="B45:F45"/>
    <mergeCell ref="B46:F46"/>
    <mergeCell ref="B47:F47"/>
    <mergeCell ref="B48:F48"/>
    <mergeCell ref="B49:F49"/>
    <mergeCell ref="B50:F50"/>
    <mergeCell ref="B52:I52"/>
    <mergeCell ref="B53:F53"/>
    <mergeCell ref="B54:F54"/>
    <mergeCell ref="B55:F55"/>
    <mergeCell ref="B56:F56"/>
    <mergeCell ref="B57:F57"/>
    <mergeCell ref="B58:F58"/>
    <mergeCell ref="B60:I60"/>
    <mergeCell ref="B61:F61"/>
    <mergeCell ref="B62:F62"/>
    <mergeCell ref="B63:F63"/>
    <mergeCell ref="B64:F64"/>
    <mergeCell ref="B65:F65"/>
    <mergeCell ref="B67:I67"/>
    <mergeCell ref="B68:F68"/>
    <mergeCell ref="A77:J77"/>
    <mergeCell ref="B79:J79"/>
    <mergeCell ref="B80:J80"/>
    <mergeCell ref="B81:J81"/>
    <mergeCell ref="B82:J82"/>
    <mergeCell ref="A85:J85"/>
  </mergeCells>
  <conditionalFormatting sqref="H13:H18">
    <cfRule type="expression" priority="2" aboveAverage="0" equalAverage="0" bottom="0" percent="0" rank="0" text="" dxfId="0">
      <formula>H13=""</formula>
    </cfRule>
  </conditionalFormatting>
  <dataValidations count="6">
    <dataValidation allowBlank="true" error="A quantidade mínima deve ser 4, conforme previsto em TR." operator="greaterThanOrEqual" prompt="Insira a quantidade de Caixa/Operador. Mín: 4" showDropDown="false" showErrorMessage="true" showInputMessage="true" sqref="H13" type="whole">
      <formula1>4</formula1>
      <formula2>0</formula2>
    </dataValidation>
    <dataValidation allowBlank="true" error="A quantidade mínima deve ser 20, conforme previsto em TR." operator="greaterThanOrEqual" prompt="Insira a quantidade de orientador de tráfego. Mín. 20." showDropDown="false" showErrorMessage="true" showInputMessage="true" sqref="H14" type="whole">
      <formula1>20</formula1>
      <formula2>0</formula2>
    </dataValidation>
    <dataValidation allowBlank="true" error="A quantidade mínima deve ser 1, conforme previsto em TR." operator="greaterThanOrEqual" prompt="Insira a quantidade de supervisor. Mín: 1." showDropDown="false" showErrorMessage="true" showInputMessage="true" sqref="H15" type="whole">
      <formula1>1</formula1>
      <formula2>0</formula2>
    </dataValidation>
    <dataValidation allowBlank="true" error="A quantidade mínima deve ser 2, conforme previsto em TR." operator="greaterThanOrEqual" prompt="Insira a quantidade de encarregado. Mín: 2." showDropDown="false" showErrorMessage="true" showInputMessage="true" sqref="H16" type="whole">
      <formula1>2</formula1>
      <formula2>0</formula2>
    </dataValidation>
    <dataValidation allowBlank="true" operator="between" prompt="Insira a quantidade de vigia diurno. Mín: 0" showDropDown="false" showErrorMessage="true" showInputMessage="true" sqref="H17" type="none">
      <formula1>0</formula1>
      <formula2>0</formula2>
    </dataValidation>
    <dataValidation allowBlank="true" error="A quantidade mínima deve ser 4, conforme previsto em TR." operator="greaterThanOrEqual" prompt="Insira a quantidade de vigia noturno. Mín: 4." showDropDown="false" showErrorMessage="true" showInputMessage="true" sqref="H18" type="whole">
      <formula1>4</formula1>
      <formula2>0</formula2>
    </dataValidation>
  </dataValidations>
  <hyperlinks>
    <hyperlink ref="K7" location="Início!A7" display="Início"/>
    <hyperlink ref="L7" location="Financeiro.!A7" display="Voltar"/>
    <hyperlink ref="M7" location="'C. F. P. Caixa-Operador'!A7" display="Avançar"/>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Roman,Normal"&amp;10CUSTO FIXO MENSAL&amp;C&amp;"Times New Roman,Normal"&amp;10&lt;Inserir nome da empresa&gt;
&lt;Inserir endereço da empresa&gt;
&lt;Inserir telefone da empresa&gt;
&lt;Inserir correio eletrônico da empresa&gt;&amp;R&amp;"Times New Roman,Normal"&amp;10&amp;P/&amp;N</oddFooter>
  </headerFooter>
  <legacyDrawing r:id="rId2"/>
</worksheet>
</file>

<file path=xl/worksheets/sheet8.xml><?xml version="1.0" encoding="utf-8"?>
<worksheet xmlns="http://schemas.openxmlformats.org/spreadsheetml/2006/main" xmlns:r="http://schemas.openxmlformats.org/officeDocument/2006/relationships">
  <sheetPr filterMode="false">
    <pageSetUpPr fitToPage="false"/>
  </sheetPr>
  <dimension ref="A1:Q235"/>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7" activeCellId="0" sqref="A7"/>
    </sheetView>
  </sheetViews>
  <sheetFormatPr defaultRowHeight="12.75"/>
  <cols>
    <col collapsed="false" hidden="false" max="1" min="1" style="1" width="8.77551020408163"/>
    <col collapsed="false" hidden="false" max="7" min="2" style="1" width="9.04591836734694"/>
    <col collapsed="false" hidden="false" max="8" min="8" style="1" width="9.44897959183673"/>
    <col collapsed="false" hidden="false" max="9" min="9" style="1" width="10.1224489795918"/>
    <col collapsed="false" hidden="false" max="1025" min="10"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373</v>
      </c>
      <c r="B7" s="3"/>
      <c r="C7" s="3"/>
      <c r="D7" s="3"/>
      <c r="E7" s="3"/>
      <c r="F7" s="3"/>
      <c r="G7" s="3"/>
      <c r="H7" s="3"/>
      <c r="I7" s="3"/>
      <c r="J7" s="3"/>
      <c r="K7" s="26" t="s">
        <v>12</v>
      </c>
      <c r="L7" s="13" t="s">
        <v>45</v>
      </c>
      <c r="M7" s="5" t="s">
        <v>6</v>
      </c>
    </row>
    <row r="9" customFormat="false" ht="12.75" hidden="false" customHeight="false" outlineLevel="0" collapsed="false">
      <c r="A9" s="12" t="s">
        <v>374</v>
      </c>
    </row>
    <row r="10" customFormat="false" ht="12.75" hidden="false" customHeight="false" outlineLevel="0" collapsed="false">
      <c r="A10" s="1" t="s">
        <v>375</v>
      </c>
    </row>
    <row r="11" customFormat="false" ht="30" hidden="false" customHeight="true" outlineLevel="0" collapsed="false">
      <c r="A11" s="99" t="s">
        <v>376</v>
      </c>
      <c r="B11" s="99"/>
      <c r="C11" s="99"/>
      <c r="D11" s="99"/>
      <c r="E11" s="99"/>
      <c r="F11" s="99"/>
      <c r="G11" s="99"/>
      <c r="H11" s="99"/>
      <c r="I11" s="99"/>
      <c r="J11" s="99"/>
    </row>
    <row r="12" customFormat="false" ht="12.75" hidden="false" customHeight="false" outlineLevel="0" collapsed="false">
      <c r="B12" s="1" t="s">
        <v>377</v>
      </c>
    </row>
    <row r="13" customFormat="false" ht="12.75" hidden="false" customHeight="false" outlineLevel="0" collapsed="false">
      <c r="B13" s="1" t="s">
        <v>378</v>
      </c>
    </row>
    <row r="14" customFormat="false" ht="12.75" hidden="false" customHeight="false" outlineLevel="0" collapsed="false">
      <c r="B14" s="1" t="s">
        <v>379</v>
      </c>
    </row>
    <row r="15" customFormat="false" ht="12.75" hidden="false" customHeight="false" outlineLevel="0" collapsed="false">
      <c r="B15" s="1" t="s">
        <v>380</v>
      </c>
    </row>
    <row r="16" customFormat="false" ht="12.75" hidden="false" customHeight="false" outlineLevel="0" collapsed="false">
      <c r="B16" s="1" t="s">
        <v>381</v>
      </c>
    </row>
    <row r="18" customFormat="false" ht="12.75" hidden="false" customHeight="false" outlineLevel="0" collapsed="false">
      <c r="A18" s="27" t="s">
        <v>104</v>
      </c>
      <c r="B18" s="27"/>
      <c r="C18" s="27"/>
      <c r="D18" s="27"/>
      <c r="E18" s="27"/>
      <c r="F18" s="27"/>
      <c r="G18" s="27"/>
      <c r="H18" s="27"/>
      <c r="I18" s="27"/>
      <c r="J18" s="27"/>
    </row>
    <row r="20" customFormat="false" ht="12.75" hidden="false" customHeight="false" outlineLevel="0" collapsed="false">
      <c r="A20" s="28" t="s">
        <v>382</v>
      </c>
      <c r="B20" s="28"/>
      <c r="C20" s="28"/>
      <c r="D20" s="28"/>
      <c r="E20" s="28"/>
      <c r="F20" s="28"/>
      <c r="G20" s="28"/>
      <c r="H20" s="28"/>
      <c r="I20" s="28"/>
      <c r="J20" s="28"/>
    </row>
    <row r="21" customFormat="false" ht="25.5" hidden="false" customHeight="true" outlineLevel="0" collapsed="false">
      <c r="A21" s="19" t="n">
        <v>1</v>
      </c>
      <c r="B21" s="21" t="s">
        <v>383</v>
      </c>
      <c r="C21" s="21"/>
      <c r="D21" s="21"/>
      <c r="E21" s="21"/>
      <c r="F21" s="21"/>
      <c r="G21" s="21"/>
      <c r="H21" s="100" t="s">
        <v>384</v>
      </c>
      <c r="I21" s="100"/>
      <c r="J21" s="100"/>
    </row>
    <row r="22" customFormat="false" ht="12.75" hidden="false" customHeight="true" outlineLevel="0" collapsed="false">
      <c r="A22" s="19" t="n">
        <v>2</v>
      </c>
      <c r="B22" s="21" t="s">
        <v>385</v>
      </c>
      <c r="C22" s="21"/>
      <c r="D22" s="21"/>
      <c r="E22" s="21"/>
      <c r="F22" s="21"/>
      <c r="G22" s="21"/>
      <c r="H22" s="101" t="n">
        <v>1137</v>
      </c>
      <c r="I22" s="101"/>
      <c r="J22" s="101"/>
    </row>
    <row r="23" customFormat="false" ht="12.75" hidden="false" customHeight="true" outlineLevel="0" collapsed="false">
      <c r="A23" s="30" t="s">
        <v>108</v>
      </c>
      <c r="B23" s="31" t="s">
        <v>386</v>
      </c>
      <c r="C23" s="31"/>
      <c r="D23" s="31"/>
      <c r="E23" s="31"/>
      <c r="F23" s="31"/>
      <c r="G23" s="31"/>
      <c r="H23" s="31"/>
      <c r="I23" s="31"/>
      <c r="J23" s="31"/>
    </row>
    <row r="24" customFormat="false" ht="12.75" hidden="false" customHeight="true" outlineLevel="0" collapsed="false">
      <c r="A24" s="19" t="n">
        <v>3</v>
      </c>
      <c r="B24" s="21" t="s">
        <v>387</v>
      </c>
      <c r="C24" s="21"/>
      <c r="D24" s="21"/>
      <c r="E24" s="21"/>
      <c r="F24" s="21"/>
      <c r="G24" s="21"/>
      <c r="H24" s="102" t="s">
        <v>388</v>
      </c>
      <c r="I24" s="102"/>
      <c r="J24" s="102"/>
    </row>
    <row r="25" customFormat="false" ht="12.75" hidden="false" customHeight="true" outlineLevel="0" collapsed="false">
      <c r="A25" s="30" t="s">
        <v>108</v>
      </c>
      <c r="B25" s="31" t="s">
        <v>389</v>
      </c>
      <c r="C25" s="31"/>
      <c r="D25" s="31"/>
      <c r="E25" s="31"/>
      <c r="F25" s="31"/>
      <c r="G25" s="31"/>
      <c r="H25" s="31"/>
      <c r="I25" s="31"/>
      <c r="J25" s="31"/>
    </row>
    <row r="26" customFormat="false" ht="12.75" hidden="false" customHeight="true" outlineLevel="0" collapsed="false">
      <c r="A26" s="19" t="n">
        <v>4</v>
      </c>
      <c r="B26" s="21" t="s">
        <v>390</v>
      </c>
      <c r="C26" s="21"/>
      <c r="D26" s="21"/>
      <c r="E26" s="21"/>
      <c r="F26" s="21"/>
      <c r="G26" s="21"/>
      <c r="H26" s="102" t="s">
        <v>391</v>
      </c>
      <c r="I26" s="102"/>
      <c r="J26" s="102"/>
    </row>
    <row r="27" customFormat="false" ht="24.75" hidden="false" customHeight="true" outlineLevel="0" collapsed="false">
      <c r="A27" s="30" t="s">
        <v>108</v>
      </c>
      <c r="B27" s="31" t="s">
        <v>392</v>
      </c>
      <c r="C27" s="31"/>
      <c r="D27" s="31"/>
      <c r="E27" s="31"/>
      <c r="F27" s="31"/>
      <c r="G27" s="31"/>
      <c r="H27" s="31"/>
      <c r="I27" s="31"/>
      <c r="J27" s="31"/>
    </row>
    <row r="28" customFormat="false" ht="12.75" hidden="false" customHeight="true" outlineLevel="0" collapsed="false">
      <c r="A28" s="19" t="n">
        <v>5</v>
      </c>
      <c r="B28" s="21" t="s">
        <v>393</v>
      </c>
      <c r="C28" s="21"/>
      <c r="D28" s="21"/>
      <c r="E28" s="21"/>
      <c r="F28" s="21"/>
      <c r="G28" s="21"/>
      <c r="H28" s="102" t="s">
        <v>394</v>
      </c>
      <c r="I28" s="102"/>
      <c r="J28" s="102"/>
    </row>
    <row r="29" customFormat="false" ht="24.75" hidden="false" customHeight="true" outlineLevel="0" collapsed="false">
      <c r="A29" s="30" t="s">
        <v>108</v>
      </c>
      <c r="B29" s="31" t="s">
        <v>395</v>
      </c>
      <c r="C29" s="31"/>
      <c r="D29" s="31"/>
      <c r="E29" s="31"/>
      <c r="F29" s="31"/>
      <c r="G29" s="31"/>
      <c r="H29" s="31"/>
      <c r="I29" s="31"/>
      <c r="J29" s="31"/>
    </row>
    <row r="31" customFormat="false" ht="13.5" hidden="false" customHeight="true" outlineLevel="0" collapsed="false">
      <c r="A31" s="103" t="s">
        <v>396</v>
      </c>
      <c r="B31" s="104" t="s">
        <v>397</v>
      </c>
      <c r="C31" s="104"/>
      <c r="D31" s="104"/>
      <c r="E31" s="104"/>
      <c r="F31" s="104"/>
      <c r="G31" s="104"/>
      <c r="H31" s="104"/>
      <c r="I31" s="104"/>
      <c r="J31" s="104"/>
    </row>
    <row r="32" customFormat="false" ht="12.75" hidden="false" customHeight="true" outlineLevel="0" collapsed="false">
      <c r="A32" s="16" t="n">
        <v>1</v>
      </c>
      <c r="B32" s="105" t="s">
        <v>398</v>
      </c>
      <c r="C32" s="105"/>
      <c r="D32" s="105"/>
      <c r="E32" s="105"/>
      <c r="F32" s="105"/>
      <c r="G32" s="105"/>
      <c r="H32" s="106" t="s">
        <v>399</v>
      </c>
      <c r="I32" s="106"/>
      <c r="J32" s="106"/>
    </row>
    <row r="33" customFormat="false" ht="12.75" hidden="false" customHeight="true" outlineLevel="0" collapsed="false">
      <c r="A33" s="19" t="s">
        <v>400</v>
      </c>
      <c r="B33" s="21" t="s">
        <v>401</v>
      </c>
      <c r="C33" s="21"/>
      <c r="D33" s="21"/>
      <c r="E33" s="21"/>
      <c r="F33" s="21"/>
      <c r="G33" s="21"/>
      <c r="H33" s="107" t="n">
        <v>1137</v>
      </c>
      <c r="I33" s="107"/>
      <c r="J33" s="107"/>
    </row>
    <row r="34" customFormat="false" ht="12.75" hidden="false" customHeight="true" outlineLevel="0" collapsed="false">
      <c r="A34" s="108" t="s">
        <v>108</v>
      </c>
      <c r="B34" s="109" t="s">
        <v>402</v>
      </c>
      <c r="C34" s="109"/>
      <c r="D34" s="109"/>
      <c r="E34" s="109"/>
      <c r="F34" s="109"/>
      <c r="G34" s="109"/>
      <c r="H34" s="109"/>
      <c r="I34" s="109"/>
      <c r="J34" s="109"/>
    </row>
    <row r="35" customFormat="false" ht="12.75" hidden="false" customHeight="true" outlineLevel="0" collapsed="false">
      <c r="A35" s="19" t="s">
        <v>403</v>
      </c>
      <c r="B35" s="21" t="s">
        <v>404</v>
      </c>
      <c r="C35" s="21"/>
      <c r="D35" s="21"/>
      <c r="E35" s="21"/>
      <c r="F35" s="21"/>
      <c r="G35" s="21"/>
      <c r="H35" s="110" t="n">
        <v>30</v>
      </c>
      <c r="I35" s="110"/>
      <c r="J35" s="110"/>
    </row>
    <row r="36" customFormat="false" ht="12.75" hidden="false" customHeight="true" outlineLevel="0" collapsed="false">
      <c r="A36" s="30" t="s">
        <v>108</v>
      </c>
      <c r="B36" s="31" t="s">
        <v>405</v>
      </c>
      <c r="C36" s="31"/>
      <c r="D36" s="31"/>
      <c r="E36" s="31"/>
      <c r="F36" s="31"/>
      <c r="G36" s="31"/>
      <c r="H36" s="31"/>
      <c r="I36" s="31"/>
      <c r="J36" s="31"/>
    </row>
    <row r="37" customFormat="false" ht="12.75" hidden="false" customHeight="true" outlineLevel="0" collapsed="false">
      <c r="A37" s="19" t="s">
        <v>406</v>
      </c>
      <c r="B37" s="111" t="s">
        <v>407</v>
      </c>
      <c r="C37" s="111"/>
      <c r="D37" s="111"/>
      <c r="E37" s="111"/>
      <c r="F37" s="111"/>
      <c r="G37" s="111"/>
      <c r="H37" s="107" t="n">
        <v>0</v>
      </c>
      <c r="I37" s="107"/>
      <c r="J37" s="107"/>
    </row>
    <row r="38" customFormat="false" ht="12.75" hidden="false" customHeight="true" outlineLevel="0" collapsed="false">
      <c r="A38" s="108" t="s">
        <v>108</v>
      </c>
      <c r="B38" s="109" t="s">
        <v>408</v>
      </c>
      <c r="C38" s="109"/>
      <c r="D38" s="109"/>
      <c r="E38" s="109"/>
      <c r="F38" s="109"/>
      <c r="G38" s="109"/>
      <c r="H38" s="109"/>
      <c r="I38" s="109"/>
      <c r="J38" s="109"/>
    </row>
    <row r="39" customFormat="false" ht="12.75" hidden="false" customHeight="false" outlineLevel="0" collapsed="false">
      <c r="A39" s="16" t="str">
        <f aca="false">"Total do "&amp;A31</f>
        <v>Total do Módulo1</v>
      </c>
      <c r="B39" s="16"/>
      <c r="C39" s="16"/>
      <c r="D39" s="16"/>
      <c r="E39" s="16"/>
      <c r="F39" s="16"/>
      <c r="G39" s="16"/>
      <c r="H39" s="112" t="n">
        <f aca="false">SUM(H33,H35,H37)</f>
        <v>1167</v>
      </c>
      <c r="I39" s="112"/>
      <c r="J39" s="112"/>
    </row>
    <row r="41" customFormat="false" ht="13.5" hidden="false" customHeight="true" outlineLevel="0" collapsed="false">
      <c r="A41" s="103" t="s">
        <v>409</v>
      </c>
      <c r="B41" s="104" t="s">
        <v>410</v>
      </c>
      <c r="C41" s="104"/>
      <c r="D41" s="104"/>
      <c r="E41" s="104"/>
      <c r="F41" s="104"/>
      <c r="G41" s="104"/>
      <c r="H41" s="104"/>
      <c r="I41" s="104"/>
      <c r="J41" s="104"/>
    </row>
    <row r="42" customFormat="false" ht="12.75" hidden="false" customHeight="true" outlineLevel="0" collapsed="false">
      <c r="A42" s="16" t="n">
        <v>2</v>
      </c>
      <c r="B42" s="105" t="s">
        <v>410</v>
      </c>
      <c r="C42" s="105"/>
      <c r="D42" s="105"/>
      <c r="E42" s="105"/>
      <c r="F42" s="105"/>
      <c r="G42" s="105"/>
      <c r="H42" s="106" t="s">
        <v>399</v>
      </c>
      <c r="I42" s="106"/>
      <c r="J42" s="106"/>
    </row>
    <row r="43" customFormat="false" ht="12.75" hidden="false" customHeight="true" outlineLevel="0" collapsed="false">
      <c r="A43" s="19" t="s">
        <v>400</v>
      </c>
      <c r="B43" s="21" t="s">
        <v>411</v>
      </c>
      <c r="C43" s="21"/>
      <c r="D43" s="21"/>
      <c r="E43" s="21"/>
      <c r="F43" s="21"/>
      <c r="G43" s="21"/>
      <c r="H43" s="107" t="n">
        <f aca="false">IF((3.8*2*22-0.06*$H$39)&gt;0,3.8*2*22-0.06*$H$39,0)</f>
        <v>97.18</v>
      </c>
      <c r="I43" s="107"/>
      <c r="J43" s="107"/>
    </row>
    <row r="44" customFormat="false" ht="12.75" hidden="false" customHeight="true" outlineLevel="0" collapsed="false">
      <c r="A44" s="108" t="s">
        <v>412</v>
      </c>
      <c r="B44" s="109" t="s">
        <v>413</v>
      </c>
      <c r="C44" s="109"/>
      <c r="D44" s="109"/>
      <c r="E44" s="109"/>
      <c r="F44" s="109"/>
      <c r="G44" s="109"/>
      <c r="H44" s="109"/>
      <c r="I44" s="109"/>
      <c r="J44" s="109"/>
    </row>
    <row r="45" customFormat="false" ht="32.25" hidden="false" customHeight="true" outlineLevel="0" collapsed="false">
      <c r="A45" s="108" t="s">
        <v>414</v>
      </c>
      <c r="B45" s="109" t="s">
        <v>415</v>
      </c>
      <c r="C45" s="109"/>
      <c r="D45" s="109"/>
      <c r="E45" s="109"/>
      <c r="F45" s="109"/>
      <c r="G45" s="109"/>
      <c r="H45" s="109"/>
      <c r="I45" s="109"/>
      <c r="J45" s="109"/>
    </row>
    <row r="46" customFormat="false" ht="12.75" hidden="false" customHeight="true" outlineLevel="0" collapsed="false">
      <c r="A46" s="108" t="s">
        <v>364</v>
      </c>
      <c r="B46" s="109" t="s">
        <v>416</v>
      </c>
      <c r="C46" s="109"/>
      <c r="D46" s="109"/>
      <c r="E46" s="109"/>
      <c r="F46" s="109"/>
      <c r="G46" s="109"/>
      <c r="H46" s="109"/>
      <c r="I46" s="109"/>
      <c r="J46" s="109"/>
      <c r="L46" s="113"/>
    </row>
    <row r="47" customFormat="false" ht="12.75" hidden="false" customHeight="true" outlineLevel="0" collapsed="false">
      <c r="A47" s="19" t="s">
        <v>417</v>
      </c>
      <c r="B47" s="21" t="s">
        <v>418</v>
      </c>
      <c r="C47" s="21"/>
      <c r="D47" s="21"/>
      <c r="E47" s="21"/>
      <c r="F47" s="21"/>
      <c r="G47" s="21"/>
      <c r="H47" s="110" t="n">
        <f aca="false">IF('DI, Tri e Pag'!$H$12:$J$12='DI, Tri e Pag'!$L$12,-('DI, Tri e Pag'!$H$23+'DI, Tri e Pag'!$H$24)*'C. F. P. Caixa-Operador'!H43,0)</f>
        <v>0</v>
      </c>
      <c r="I47" s="110"/>
      <c r="J47" s="110"/>
    </row>
    <row r="48" customFormat="false" ht="44.25" hidden="false" customHeight="true" outlineLevel="0" collapsed="false">
      <c r="A48" s="30" t="s">
        <v>419</v>
      </c>
      <c r="B48" s="31" t="s">
        <v>420</v>
      </c>
      <c r="C48" s="31"/>
      <c r="D48" s="31"/>
      <c r="E48" s="31"/>
      <c r="F48" s="31"/>
      <c r="G48" s="31"/>
      <c r="H48" s="31"/>
      <c r="I48" s="31"/>
      <c r="J48" s="31"/>
    </row>
    <row r="49" customFormat="false" ht="12.75" hidden="false" customHeight="true" outlineLevel="0" collapsed="false">
      <c r="A49" s="19" t="s">
        <v>403</v>
      </c>
      <c r="B49" s="111" t="s">
        <v>407</v>
      </c>
      <c r="C49" s="111"/>
      <c r="D49" s="111"/>
      <c r="E49" s="111"/>
      <c r="F49" s="111"/>
      <c r="G49" s="111"/>
      <c r="H49" s="107"/>
      <c r="I49" s="107"/>
      <c r="J49" s="107"/>
    </row>
    <row r="50" customFormat="false" ht="12.75" hidden="false" customHeight="true" outlineLevel="0" collapsed="false">
      <c r="A50" s="108" t="s">
        <v>419</v>
      </c>
      <c r="B50" s="109" t="s">
        <v>408</v>
      </c>
      <c r="C50" s="109"/>
      <c r="D50" s="109"/>
      <c r="E50" s="109"/>
      <c r="F50" s="109"/>
      <c r="G50" s="109"/>
      <c r="H50" s="109"/>
      <c r="I50" s="109"/>
      <c r="J50" s="109"/>
    </row>
    <row r="51" customFormat="false" ht="12.75" hidden="false" customHeight="false" outlineLevel="0" collapsed="false">
      <c r="A51" s="16" t="str">
        <f aca="false">"Total do "&amp;A41</f>
        <v>Total do Módulo2 </v>
      </c>
      <c r="B51" s="16"/>
      <c r="C51" s="16"/>
      <c r="D51" s="16"/>
      <c r="E51" s="16"/>
      <c r="F51" s="16"/>
      <c r="G51" s="16"/>
      <c r="H51" s="112" t="n">
        <f aca="false">SUM(H43,H47,H49)</f>
        <v>97.18</v>
      </c>
      <c r="I51" s="112"/>
      <c r="J51" s="112"/>
    </row>
    <row r="53" customFormat="false" ht="15" hidden="false" customHeight="true" outlineLevel="0" collapsed="false">
      <c r="A53" s="103" t="s">
        <v>421</v>
      </c>
      <c r="B53" s="104" t="s">
        <v>422</v>
      </c>
      <c r="C53" s="104"/>
      <c r="D53" s="104"/>
      <c r="E53" s="104"/>
      <c r="F53" s="104"/>
      <c r="G53" s="104"/>
      <c r="H53" s="104"/>
      <c r="I53" s="104"/>
      <c r="J53" s="104"/>
    </row>
    <row r="54" customFormat="false" ht="12.75" hidden="false" customHeight="true" outlineLevel="0" collapsed="false">
      <c r="A54" s="16" t="s">
        <v>348</v>
      </c>
      <c r="B54" s="105" t="s">
        <v>423</v>
      </c>
      <c r="C54" s="105"/>
      <c r="D54" s="105"/>
      <c r="E54" s="105"/>
      <c r="F54" s="105"/>
      <c r="G54" s="105"/>
      <c r="H54" s="114" t="s">
        <v>424</v>
      </c>
      <c r="I54" s="114" t="s">
        <v>425</v>
      </c>
      <c r="J54" s="114" t="s">
        <v>426</v>
      </c>
    </row>
    <row r="55" customFormat="false" ht="12.75" hidden="false" customHeight="true" outlineLevel="0" collapsed="false">
      <c r="A55" s="19" t="s">
        <v>400</v>
      </c>
      <c r="B55" s="21" t="s">
        <v>427</v>
      </c>
      <c r="C55" s="21"/>
      <c r="D55" s="21"/>
      <c r="E55" s="21"/>
      <c r="F55" s="21"/>
      <c r="G55" s="21"/>
      <c r="H55" s="115" t="n">
        <v>2</v>
      </c>
      <c r="I55" s="116"/>
      <c r="J55" s="117" t="n">
        <f aca="false">H55*I55/12</f>
        <v>0</v>
      </c>
    </row>
    <row r="56" customFormat="false" ht="12.75" hidden="false" customHeight="true" outlineLevel="0" collapsed="false">
      <c r="A56" s="19" t="s">
        <v>403</v>
      </c>
      <c r="B56" s="21" t="s">
        <v>428</v>
      </c>
      <c r="C56" s="21"/>
      <c r="D56" s="21"/>
      <c r="E56" s="21"/>
      <c r="F56" s="21"/>
      <c r="G56" s="21"/>
      <c r="H56" s="115" t="n">
        <v>2</v>
      </c>
      <c r="I56" s="116"/>
      <c r="J56" s="117" t="n">
        <f aca="false">H56*I56/12</f>
        <v>0</v>
      </c>
    </row>
    <row r="57" customFormat="false" ht="12.75" hidden="false" customHeight="true" outlineLevel="0" collapsed="false">
      <c r="A57" s="19" t="s">
        <v>406</v>
      </c>
      <c r="B57" s="21" t="s">
        <v>429</v>
      </c>
      <c r="C57" s="21"/>
      <c r="D57" s="21"/>
      <c r="E57" s="21"/>
      <c r="F57" s="21"/>
      <c r="G57" s="21"/>
      <c r="H57" s="115" t="n">
        <v>2</v>
      </c>
      <c r="I57" s="116"/>
      <c r="J57" s="117" t="n">
        <f aca="false">H57*I57/12</f>
        <v>0</v>
      </c>
    </row>
    <row r="58" customFormat="false" ht="12.75" hidden="false" customHeight="true" outlineLevel="0" collapsed="false">
      <c r="A58" s="19" t="s">
        <v>430</v>
      </c>
      <c r="B58" s="21" t="s">
        <v>431</v>
      </c>
      <c r="C58" s="21"/>
      <c r="D58" s="21"/>
      <c r="E58" s="21"/>
      <c r="F58" s="21"/>
      <c r="G58" s="21"/>
      <c r="H58" s="115" t="n">
        <v>2</v>
      </c>
      <c r="I58" s="116"/>
      <c r="J58" s="117" t="n">
        <f aca="false">H58*I58/12</f>
        <v>0</v>
      </c>
    </row>
    <row r="59" customFormat="false" ht="68.25" hidden="false" customHeight="true" outlineLevel="0" collapsed="false">
      <c r="A59" s="19" t="s">
        <v>432</v>
      </c>
      <c r="B59" s="21" t="s">
        <v>433</v>
      </c>
      <c r="C59" s="21"/>
      <c r="D59" s="21"/>
      <c r="E59" s="21"/>
      <c r="F59" s="21"/>
      <c r="G59" s="21"/>
      <c r="H59" s="115" t="n">
        <v>2</v>
      </c>
      <c r="I59" s="116"/>
      <c r="J59" s="117" t="n">
        <f aca="false">H59*I59/12</f>
        <v>0</v>
      </c>
    </row>
    <row r="60" customFormat="false" ht="12.75" hidden="false" customHeight="true" outlineLevel="0" collapsed="false">
      <c r="A60" s="19" t="s">
        <v>434</v>
      </c>
      <c r="B60" s="111" t="s">
        <v>407</v>
      </c>
      <c r="C60" s="111"/>
      <c r="D60" s="111"/>
      <c r="E60" s="111"/>
      <c r="F60" s="111"/>
      <c r="G60" s="111"/>
      <c r="H60" s="115" t="n">
        <v>2</v>
      </c>
      <c r="I60" s="116"/>
      <c r="J60" s="117" t="n">
        <f aca="false">H60*I60/12</f>
        <v>0</v>
      </c>
    </row>
    <row r="61" customFormat="false" ht="12.75" hidden="false" customHeight="true" outlineLevel="0" collapsed="false">
      <c r="A61" s="30" t="s">
        <v>412</v>
      </c>
      <c r="B61" s="31" t="s">
        <v>435</v>
      </c>
      <c r="C61" s="31"/>
      <c r="D61" s="31"/>
      <c r="E61" s="31"/>
      <c r="F61" s="31"/>
      <c r="G61" s="31"/>
      <c r="H61" s="31"/>
      <c r="I61" s="31"/>
      <c r="J61" s="31"/>
    </row>
    <row r="62" customFormat="false" ht="12.75" hidden="true" customHeight="true" outlineLevel="0" collapsed="false">
      <c r="A62" s="30" t="s">
        <v>414</v>
      </c>
      <c r="B62" s="31" t="s">
        <v>436</v>
      </c>
      <c r="C62" s="31"/>
      <c r="D62" s="31"/>
      <c r="E62" s="31"/>
      <c r="F62" s="31"/>
      <c r="G62" s="31"/>
      <c r="H62" s="31"/>
      <c r="I62" s="31"/>
      <c r="J62" s="31"/>
    </row>
    <row r="63" customFormat="false" ht="12.75" hidden="false" customHeight="true" outlineLevel="0" collapsed="false">
      <c r="A63" s="30" t="s">
        <v>364</v>
      </c>
      <c r="B63" s="31" t="s">
        <v>437</v>
      </c>
      <c r="C63" s="31"/>
      <c r="D63" s="31"/>
      <c r="E63" s="31"/>
      <c r="F63" s="31"/>
      <c r="G63" s="31"/>
      <c r="H63" s="31"/>
      <c r="I63" s="31"/>
      <c r="J63" s="31"/>
    </row>
    <row r="64" customFormat="false" ht="12.75" hidden="false" customHeight="true" outlineLevel="0" collapsed="false">
      <c r="A64" s="19" t="s">
        <v>438</v>
      </c>
      <c r="B64" s="21" t="s">
        <v>418</v>
      </c>
      <c r="C64" s="21"/>
      <c r="D64" s="21"/>
      <c r="E64" s="21"/>
      <c r="F64" s="21"/>
      <c r="G64" s="21"/>
      <c r="H64" s="110" t="n">
        <f aca="false">IF('DI, Tri e Pag'!$H$12:$J$12='DI, Tri e Pag'!$L$12,-('DI, Tri e Pag'!$H$23+'DI, Tri e Pag'!$H$24)*SUM(J55:J60),0)</f>
        <v>0</v>
      </c>
      <c r="I64" s="110"/>
      <c r="J64" s="110"/>
    </row>
    <row r="65" customFormat="false" ht="41.25" hidden="false" customHeight="true" outlineLevel="0" collapsed="false">
      <c r="A65" s="30" t="s">
        <v>419</v>
      </c>
      <c r="B65" s="31" t="str">
        <f aca="false">B48</f>
        <v>Calculado apenas quando o regime de incidência da contribuição para o PIS/COFINS for não cumulativo. Neste regime é permitido o desconto de créditos apurados com base em custos, despesas e encargos sociais. Fundamentação: Lei 10637/2002 e Lei 10.833/2003</v>
      </c>
      <c r="C65" s="31"/>
      <c r="D65" s="31"/>
      <c r="E65" s="31"/>
      <c r="F65" s="31"/>
      <c r="G65" s="31"/>
      <c r="H65" s="31"/>
      <c r="I65" s="31"/>
      <c r="J65" s="31"/>
    </row>
    <row r="66" customFormat="false" ht="12.75" hidden="false" customHeight="false" outlineLevel="0" collapsed="false">
      <c r="A66" s="16" t="str">
        <f aca="false">"Total do Submódulo "&amp;A54</f>
        <v>Total do Submódulo 3.1</v>
      </c>
      <c r="B66" s="16"/>
      <c r="C66" s="16"/>
      <c r="D66" s="16"/>
      <c r="E66" s="16"/>
      <c r="F66" s="16"/>
      <c r="G66" s="16"/>
      <c r="H66" s="112" t="n">
        <f aca="false">SUM(J55:J60,H64)</f>
        <v>0</v>
      </c>
      <c r="I66" s="112"/>
      <c r="J66" s="112"/>
    </row>
    <row r="68" customFormat="false" ht="12.75" hidden="false" customHeight="true" outlineLevel="0" collapsed="false">
      <c r="A68" s="16" t="s">
        <v>439</v>
      </c>
      <c r="B68" s="83" t="s">
        <v>440</v>
      </c>
      <c r="C68" s="83"/>
      <c r="D68" s="83"/>
      <c r="E68" s="83"/>
      <c r="F68" s="18" t="s">
        <v>441</v>
      </c>
      <c r="G68" s="18" t="s">
        <v>442</v>
      </c>
      <c r="H68" s="18"/>
      <c r="I68" s="114" t="s">
        <v>425</v>
      </c>
      <c r="J68" s="114" t="s">
        <v>426</v>
      </c>
    </row>
    <row r="69" customFormat="false" ht="16.5" hidden="false" customHeight="true" outlineLevel="0" collapsed="false">
      <c r="A69" s="19" t="s">
        <v>400</v>
      </c>
      <c r="B69" s="11" t="s">
        <v>443</v>
      </c>
      <c r="C69" s="11"/>
      <c r="D69" s="11"/>
      <c r="E69" s="11"/>
      <c r="F69" s="118" t="n">
        <v>0.5</v>
      </c>
      <c r="G69" s="33" t="n">
        <v>60</v>
      </c>
      <c r="H69" s="33"/>
      <c r="I69" s="116"/>
      <c r="J69" s="117" t="n">
        <f aca="false">IFERROR(F69*I69/G69," ")</f>
        <v>0</v>
      </c>
      <c r="M69" s="119"/>
    </row>
    <row r="70" customFormat="false" ht="12.75" hidden="false" customHeight="true" outlineLevel="0" collapsed="false">
      <c r="A70" s="19" t="s">
        <v>403</v>
      </c>
      <c r="B70" s="95" t="s">
        <v>444</v>
      </c>
      <c r="C70" s="95"/>
      <c r="D70" s="95"/>
      <c r="E70" s="95"/>
      <c r="F70" s="120"/>
      <c r="G70" s="121"/>
      <c r="H70" s="121"/>
      <c r="I70" s="116"/>
      <c r="J70" s="117" t="str">
        <f aca="false">IFERROR(F70*I70/G70," ")</f>
        <v> </v>
      </c>
    </row>
    <row r="71" customFormat="false" ht="12.75" hidden="false" customHeight="true" outlineLevel="0" collapsed="false">
      <c r="A71" s="30" t="s">
        <v>412</v>
      </c>
      <c r="B71" s="31" t="s">
        <v>435</v>
      </c>
      <c r="C71" s="31"/>
      <c r="D71" s="31"/>
      <c r="E71" s="31"/>
      <c r="F71" s="31"/>
      <c r="G71" s="31"/>
      <c r="H71" s="31"/>
      <c r="I71" s="31"/>
      <c r="J71" s="31"/>
    </row>
    <row r="72" customFormat="false" ht="12.75" hidden="true" customHeight="true" outlineLevel="0" collapsed="false">
      <c r="A72" s="30" t="s">
        <v>414</v>
      </c>
      <c r="B72" s="31" t="s">
        <v>436</v>
      </c>
      <c r="C72" s="31"/>
      <c r="D72" s="31"/>
      <c r="E72" s="31"/>
      <c r="F72" s="31"/>
      <c r="G72" s="31"/>
      <c r="H72" s="31"/>
      <c r="I72" s="31"/>
      <c r="J72" s="31"/>
    </row>
    <row r="73" customFormat="false" ht="42" hidden="false" customHeight="true" outlineLevel="0" collapsed="false">
      <c r="A73" s="30" t="s">
        <v>445</v>
      </c>
      <c r="B73" s="31" t="str">
        <f aca="false">"Para os equipamentos dos item "&amp;A69&amp;" estimou a quantidade de 1 por posto. Visto que foi dimensionado 2 operadores de caixa por posto, foi considerado uma taxa de utilização de 50%"</f>
        <v>Para os equipamentos dos item A estimou a quantidade de 1 por posto. Visto que foi dimensionado 2 operadores de caixa por posto, foi considerado uma taxa de utilização de 50%</v>
      </c>
      <c r="C73" s="31"/>
      <c r="D73" s="31"/>
      <c r="E73" s="31"/>
      <c r="F73" s="31"/>
      <c r="G73" s="31"/>
      <c r="H73" s="31"/>
      <c r="I73" s="31"/>
      <c r="J73" s="31"/>
    </row>
    <row r="74" customFormat="false" ht="12.75" hidden="false" customHeight="true" outlineLevel="0" collapsed="false">
      <c r="A74" s="30" t="s">
        <v>364</v>
      </c>
      <c r="B74" s="31" t="s">
        <v>446</v>
      </c>
      <c r="C74" s="31"/>
      <c r="D74" s="31"/>
      <c r="E74" s="31"/>
      <c r="F74" s="31"/>
      <c r="G74" s="31"/>
      <c r="H74" s="31"/>
      <c r="I74" s="31"/>
      <c r="J74" s="31"/>
    </row>
    <row r="75" customFormat="false" ht="12.75" hidden="false" customHeight="true" outlineLevel="0" collapsed="false">
      <c r="A75" s="19" t="s">
        <v>438</v>
      </c>
      <c r="B75" s="21" t="s">
        <v>418</v>
      </c>
      <c r="C75" s="21"/>
      <c r="D75" s="21"/>
      <c r="E75" s="21"/>
      <c r="F75" s="21"/>
      <c r="G75" s="21"/>
      <c r="H75" s="110" t="n">
        <f aca="false">IF('DI, Tri e Pag'!$H$12:$J$12='DI, Tri e Pag'!$L$12,-('DI, Tri e Pag'!$H$23+'DI, Tri e Pag'!$H$24)*SUM(J69:J70),0)</f>
        <v>0</v>
      </c>
      <c r="I75" s="110"/>
      <c r="J75" s="110"/>
    </row>
    <row r="76" customFormat="false" ht="41.25" hidden="false" customHeight="true" outlineLevel="0" collapsed="false">
      <c r="A76" s="30" t="s">
        <v>419</v>
      </c>
      <c r="B76" s="31" t="str">
        <f aca="false">B65</f>
        <v>Calculado apenas quando o regime de incidência da contribuição para o PIS/COFINS for não cumulativo. Neste regime é permitido o desconto de créditos apurados com base em custos, despesas e encargos sociais. Fundamentação: Lei 10637/2002 e Lei 10.833/2003</v>
      </c>
      <c r="C76" s="31"/>
      <c r="D76" s="31"/>
      <c r="E76" s="31"/>
      <c r="F76" s="31"/>
      <c r="G76" s="31"/>
      <c r="H76" s="31"/>
      <c r="I76" s="31"/>
      <c r="J76" s="31"/>
    </row>
    <row r="77" customFormat="false" ht="12.75" hidden="false" customHeight="false" outlineLevel="0" collapsed="false">
      <c r="A77" s="16" t="str">
        <f aca="false">"Total do Submódulo "&amp;A68</f>
        <v>Total do Submódulo 3.2</v>
      </c>
      <c r="B77" s="16"/>
      <c r="C77" s="16"/>
      <c r="D77" s="16"/>
      <c r="E77" s="16"/>
      <c r="F77" s="16"/>
      <c r="G77" s="16"/>
      <c r="H77" s="112" t="n">
        <f aca="false">SUM(J69:J69,H75)</f>
        <v>0</v>
      </c>
      <c r="I77" s="112"/>
      <c r="J77" s="112"/>
    </row>
    <row r="79" customFormat="false" ht="15" hidden="false" customHeight="true" outlineLevel="0" collapsed="false">
      <c r="A79" s="103" t="s">
        <v>447</v>
      </c>
      <c r="B79" s="104" t="s">
        <v>448</v>
      </c>
      <c r="C79" s="104"/>
      <c r="D79" s="104"/>
      <c r="E79" s="104"/>
      <c r="F79" s="104"/>
      <c r="G79" s="104"/>
      <c r="H79" s="104"/>
      <c r="I79" s="104"/>
      <c r="J79" s="104"/>
    </row>
    <row r="80" customFormat="false" ht="12.75" hidden="false" customHeight="true" outlineLevel="0" collapsed="false">
      <c r="A80" s="16" t="s">
        <v>449</v>
      </c>
      <c r="B80" s="105" t="s">
        <v>450</v>
      </c>
      <c r="C80" s="105"/>
      <c r="D80" s="105"/>
      <c r="E80" s="105"/>
      <c r="F80" s="105"/>
      <c r="G80" s="105"/>
      <c r="H80" s="122" t="s">
        <v>75</v>
      </c>
      <c r="I80" s="106" t="s">
        <v>399</v>
      </c>
      <c r="J80" s="106"/>
    </row>
    <row r="81" customFormat="false" ht="12.75" hidden="false" customHeight="true" outlineLevel="0" collapsed="false">
      <c r="A81" s="19" t="s">
        <v>400</v>
      </c>
      <c r="B81" s="21" t="s">
        <v>451</v>
      </c>
      <c r="C81" s="21"/>
      <c r="D81" s="21"/>
      <c r="E81" s="21"/>
      <c r="F81" s="21"/>
      <c r="G81" s="21"/>
      <c r="H81" s="123" t="n">
        <v>0.2</v>
      </c>
      <c r="I81" s="124" t="n">
        <f aca="false">H81*$H$39</f>
        <v>233.4</v>
      </c>
      <c r="J81" s="124"/>
    </row>
    <row r="82" customFormat="false" ht="12.75" hidden="false" customHeight="true" outlineLevel="0" collapsed="false">
      <c r="A82" s="30" t="s">
        <v>108</v>
      </c>
      <c r="B82" s="31" t="s">
        <v>452</v>
      </c>
      <c r="C82" s="31"/>
      <c r="D82" s="31"/>
      <c r="E82" s="31"/>
      <c r="F82" s="31"/>
      <c r="G82" s="31"/>
      <c r="H82" s="31"/>
      <c r="I82" s="31"/>
      <c r="J82" s="31"/>
    </row>
    <row r="83" customFormat="false" ht="12.75" hidden="false" customHeight="true" outlineLevel="0" collapsed="false">
      <c r="A83" s="19" t="s">
        <v>403</v>
      </c>
      <c r="B83" s="21" t="s">
        <v>453</v>
      </c>
      <c r="C83" s="21"/>
      <c r="D83" s="21"/>
      <c r="E83" s="21"/>
      <c r="F83" s="21"/>
      <c r="G83" s="21"/>
      <c r="H83" s="123" t="n">
        <f aca="false">IF('DI, Tri e Pag'!$H$14:$J$14='DI, Tri e Pag'!$L$14,0.015,0)</f>
        <v>0.015</v>
      </c>
      <c r="I83" s="124" t="n">
        <f aca="false">H83*$H$39</f>
        <v>17.505</v>
      </c>
      <c r="J83" s="124"/>
    </row>
    <row r="84" customFormat="false" ht="12.75" hidden="false" customHeight="true" outlineLevel="0" collapsed="false">
      <c r="A84" s="30" t="s">
        <v>412</v>
      </c>
      <c r="B84" s="31" t="s">
        <v>454</v>
      </c>
      <c r="C84" s="31"/>
      <c r="D84" s="31"/>
      <c r="E84" s="31"/>
      <c r="F84" s="31"/>
      <c r="G84" s="31"/>
      <c r="H84" s="31"/>
      <c r="I84" s="31"/>
      <c r="J84" s="31"/>
    </row>
    <row r="85" customFormat="false" ht="12.75" hidden="false" customHeight="true" outlineLevel="0" collapsed="false">
      <c r="A85" s="30" t="s">
        <v>414</v>
      </c>
      <c r="B85" s="125" t="s">
        <v>455</v>
      </c>
      <c r="C85" s="125"/>
      <c r="D85" s="125"/>
      <c r="E85" s="125"/>
      <c r="F85" s="125"/>
      <c r="G85" s="125"/>
      <c r="H85" s="125"/>
      <c r="I85" s="125"/>
      <c r="J85" s="125"/>
    </row>
    <row r="86" customFormat="false" ht="12.75" hidden="false" customHeight="true" outlineLevel="0" collapsed="false">
      <c r="A86" s="19" t="s">
        <v>406</v>
      </c>
      <c r="B86" s="21" t="s">
        <v>456</v>
      </c>
      <c r="C86" s="21"/>
      <c r="D86" s="21"/>
      <c r="E86" s="21"/>
      <c r="F86" s="21"/>
      <c r="G86" s="21"/>
      <c r="H86" s="123" t="n">
        <f aca="false">IF('DI, Tri e Pag'!$H$14:$J$14='DI, Tri e Pag'!$L$14,0.01,0)</f>
        <v>0.01</v>
      </c>
      <c r="I86" s="124" t="n">
        <f aca="false">H86*$H$39</f>
        <v>11.67</v>
      </c>
      <c r="J86" s="124"/>
    </row>
    <row r="87" customFormat="false" ht="12.75" hidden="false" customHeight="true" outlineLevel="0" collapsed="false">
      <c r="A87" s="30" t="s">
        <v>412</v>
      </c>
      <c r="B87" s="31" t="s">
        <v>457</v>
      </c>
      <c r="C87" s="31"/>
      <c r="D87" s="31"/>
      <c r="E87" s="31"/>
      <c r="F87" s="31"/>
      <c r="G87" s="31"/>
      <c r="H87" s="31"/>
      <c r="I87" s="31"/>
      <c r="J87" s="31"/>
    </row>
    <row r="88" customFormat="false" ht="12.75" hidden="false" customHeight="true" outlineLevel="0" collapsed="false">
      <c r="A88" s="30" t="s">
        <v>414</v>
      </c>
      <c r="B88" s="125" t="s">
        <v>455</v>
      </c>
      <c r="C88" s="125"/>
      <c r="D88" s="125"/>
      <c r="E88" s="125"/>
      <c r="F88" s="125"/>
      <c r="G88" s="125"/>
      <c r="H88" s="125"/>
      <c r="I88" s="125"/>
      <c r="J88" s="125"/>
    </row>
    <row r="89" customFormat="false" ht="12.75" hidden="false" customHeight="true" outlineLevel="0" collapsed="false">
      <c r="A89" s="19" t="s">
        <v>430</v>
      </c>
      <c r="B89" s="21" t="s">
        <v>458</v>
      </c>
      <c r="C89" s="21"/>
      <c r="D89" s="21"/>
      <c r="E89" s="21"/>
      <c r="F89" s="21"/>
      <c r="G89" s="21"/>
      <c r="H89" s="123" t="n">
        <f aca="false">IF('DI, Tri e Pag'!$H$14:$J$14='DI, Tri e Pag'!$L$14,0.002,0)</f>
        <v>0.002</v>
      </c>
      <c r="I89" s="124" t="n">
        <f aca="false">H89*$H$39</f>
        <v>2.334</v>
      </c>
      <c r="J89" s="124"/>
    </row>
    <row r="90" customFormat="false" ht="12.75" hidden="false" customHeight="true" outlineLevel="0" collapsed="false">
      <c r="A90" s="30" t="s">
        <v>412</v>
      </c>
      <c r="B90" s="31" t="s">
        <v>459</v>
      </c>
      <c r="C90" s="31"/>
      <c r="D90" s="31"/>
      <c r="E90" s="31"/>
      <c r="F90" s="31"/>
      <c r="G90" s="31"/>
      <c r="H90" s="31"/>
      <c r="I90" s="31"/>
      <c r="J90" s="31"/>
    </row>
    <row r="91" customFormat="false" ht="12.75" hidden="false" customHeight="true" outlineLevel="0" collapsed="false">
      <c r="A91" s="30" t="s">
        <v>414</v>
      </c>
      <c r="B91" s="125" t="s">
        <v>455</v>
      </c>
      <c r="C91" s="125"/>
      <c r="D91" s="125"/>
      <c r="E91" s="125"/>
      <c r="F91" s="125"/>
      <c r="G91" s="125"/>
      <c r="H91" s="125"/>
      <c r="I91" s="125"/>
      <c r="J91" s="125"/>
    </row>
    <row r="92" customFormat="false" ht="12.75" hidden="false" customHeight="true" outlineLevel="0" collapsed="false">
      <c r="A92" s="19" t="s">
        <v>432</v>
      </c>
      <c r="B92" s="21" t="s">
        <v>460</v>
      </c>
      <c r="C92" s="21"/>
      <c r="D92" s="21"/>
      <c r="E92" s="21"/>
      <c r="F92" s="21"/>
      <c r="G92" s="21"/>
      <c r="H92" s="123" t="n">
        <f aca="false">IF('DI, Tri e Pag'!$H$14:$J$14='DI, Tri e Pag'!$L$14,0.025,0)</f>
        <v>0.025</v>
      </c>
      <c r="I92" s="124" t="n">
        <f aca="false">H92*$H$39</f>
        <v>29.175</v>
      </c>
      <c r="J92" s="124"/>
    </row>
    <row r="93" customFormat="false" ht="31.5" hidden="false" customHeight="true" outlineLevel="0" collapsed="false">
      <c r="A93" s="30" t="s">
        <v>412</v>
      </c>
      <c r="B93" s="31" t="s">
        <v>461</v>
      </c>
      <c r="C93" s="31"/>
      <c r="D93" s="31"/>
      <c r="E93" s="31"/>
      <c r="F93" s="31"/>
      <c r="G93" s="31"/>
      <c r="H93" s="31"/>
      <c r="I93" s="31"/>
      <c r="J93" s="31"/>
    </row>
    <row r="94" customFormat="false" ht="12.75" hidden="false" customHeight="true" outlineLevel="0" collapsed="false">
      <c r="A94" s="30" t="s">
        <v>414</v>
      </c>
      <c r="B94" s="125" t="s">
        <v>455</v>
      </c>
      <c r="C94" s="125"/>
      <c r="D94" s="125"/>
      <c r="E94" s="125"/>
      <c r="F94" s="125"/>
      <c r="G94" s="125"/>
      <c r="H94" s="125"/>
      <c r="I94" s="125"/>
      <c r="J94" s="125"/>
    </row>
    <row r="95" customFormat="false" ht="12.75" hidden="false" customHeight="true" outlineLevel="0" collapsed="false">
      <c r="A95" s="19" t="s">
        <v>434</v>
      </c>
      <c r="B95" s="21" t="s">
        <v>462</v>
      </c>
      <c r="C95" s="21"/>
      <c r="D95" s="21"/>
      <c r="E95" s="21"/>
      <c r="F95" s="21"/>
      <c r="G95" s="21"/>
      <c r="H95" s="123" t="n">
        <v>0.08</v>
      </c>
      <c r="I95" s="124" t="n">
        <f aca="false">H95*$H$39</f>
        <v>93.36</v>
      </c>
      <c r="J95" s="124"/>
    </row>
    <row r="96" customFormat="false" ht="55.5" hidden="false" customHeight="true" outlineLevel="0" collapsed="false">
      <c r="A96" s="30" t="s">
        <v>108</v>
      </c>
      <c r="B96" s="31" t="s">
        <v>463</v>
      </c>
      <c r="C96" s="31"/>
      <c r="D96" s="31"/>
      <c r="E96" s="31"/>
      <c r="F96" s="31"/>
      <c r="G96" s="31"/>
      <c r="H96" s="31"/>
      <c r="I96" s="31"/>
      <c r="J96" s="31"/>
    </row>
    <row r="97" customFormat="false" ht="12.75" hidden="false" customHeight="true" outlineLevel="0" collapsed="false">
      <c r="A97" s="19" t="s">
        <v>438</v>
      </c>
      <c r="B97" s="21" t="s">
        <v>464</v>
      </c>
      <c r="C97" s="21"/>
      <c r="D97" s="21"/>
      <c r="E97" s="21"/>
      <c r="F97" s="21"/>
      <c r="G97" s="21"/>
      <c r="H97" s="126" t="n">
        <v>0.03</v>
      </c>
      <c r="I97" s="124" t="n">
        <f aca="false">H97*$H$39</f>
        <v>35.01</v>
      </c>
      <c r="J97" s="124"/>
    </row>
    <row r="98" customFormat="false" ht="33" hidden="false" customHeight="true" outlineLevel="0" collapsed="false">
      <c r="A98" s="108" t="s">
        <v>108</v>
      </c>
      <c r="B98" s="109" t="s">
        <v>465</v>
      </c>
      <c r="C98" s="109"/>
      <c r="D98" s="109"/>
      <c r="E98" s="109"/>
      <c r="F98" s="109"/>
      <c r="G98" s="109"/>
      <c r="H98" s="109"/>
      <c r="I98" s="109"/>
      <c r="J98" s="109"/>
    </row>
    <row r="99" customFormat="false" ht="12.75" hidden="false" customHeight="true" outlineLevel="0" collapsed="false">
      <c r="A99" s="108" t="s">
        <v>364</v>
      </c>
      <c r="B99" s="109" t="s">
        <v>466</v>
      </c>
      <c r="C99" s="109"/>
      <c r="D99" s="109"/>
      <c r="E99" s="109"/>
      <c r="F99" s="109"/>
      <c r="G99" s="109"/>
      <c r="H99" s="109"/>
      <c r="I99" s="109"/>
      <c r="J99" s="109"/>
    </row>
    <row r="100" customFormat="false" ht="12.75" hidden="false" customHeight="true" outlineLevel="0" collapsed="false">
      <c r="A100" s="19" t="s">
        <v>467</v>
      </c>
      <c r="B100" s="21" t="s">
        <v>468</v>
      </c>
      <c r="C100" s="21"/>
      <c r="D100" s="21"/>
      <c r="E100" s="21"/>
      <c r="F100" s="21"/>
      <c r="G100" s="21"/>
      <c r="H100" s="123" t="n">
        <f aca="false">IF('DI, Tri e Pag'!$H$14:$J$14='DI, Tri e Pag'!$L$14,0.006,0)</f>
        <v>0.006</v>
      </c>
      <c r="I100" s="124" t="n">
        <f aca="false">H100*$H$39</f>
        <v>7.002</v>
      </c>
      <c r="J100" s="124"/>
    </row>
    <row r="101" customFormat="false" ht="12.75" hidden="false" customHeight="true" outlineLevel="0" collapsed="false">
      <c r="A101" s="30" t="s">
        <v>108</v>
      </c>
      <c r="B101" s="31" t="s">
        <v>469</v>
      </c>
      <c r="C101" s="31"/>
      <c r="D101" s="31"/>
      <c r="E101" s="31"/>
      <c r="F101" s="31"/>
      <c r="G101" s="31"/>
      <c r="H101" s="31"/>
      <c r="I101" s="31"/>
      <c r="J101" s="31"/>
    </row>
    <row r="102" customFormat="false" ht="12.75" hidden="false" customHeight="true" outlineLevel="0" collapsed="false">
      <c r="A102" s="30" t="s">
        <v>414</v>
      </c>
      <c r="B102" s="125" t="s">
        <v>455</v>
      </c>
      <c r="C102" s="125"/>
      <c r="D102" s="125"/>
      <c r="E102" s="125"/>
      <c r="F102" s="125"/>
      <c r="G102" s="125"/>
      <c r="H102" s="125"/>
      <c r="I102" s="125"/>
      <c r="J102" s="125"/>
    </row>
    <row r="103" customFormat="false" ht="12.75" hidden="false" customHeight="false" outlineLevel="0" collapsed="false">
      <c r="A103" s="16" t="str">
        <f aca="false">"Total do Sobmódulo "&amp;A80</f>
        <v>Total do Sobmódulo 4.1</v>
      </c>
      <c r="B103" s="16"/>
      <c r="C103" s="16"/>
      <c r="D103" s="16"/>
      <c r="E103" s="16"/>
      <c r="F103" s="16"/>
      <c r="G103" s="16"/>
      <c r="H103" s="127" t="n">
        <f aca="false">SUM(H81,H83,H86,H89,H92,H95,H97,H100)</f>
        <v>0.368</v>
      </c>
      <c r="I103" s="128" t="n">
        <f aca="false">SUM(I81,I83,I86,I89,I92,I95,I97,I100)</f>
        <v>429.456</v>
      </c>
      <c r="J103" s="128"/>
      <c r="K103" s="129"/>
    </row>
    <row r="105" customFormat="false" ht="12.75" hidden="false" customHeight="true" outlineLevel="0" collapsed="false">
      <c r="A105" s="16" t="s">
        <v>470</v>
      </c>
      <c r="B105" s="105" t="s">
        <v>471</v>
      </c>
      <c r="C105" s="105"/>
      <c r="D105" s="105"/>
      <c r="E105" s="105"/>
      <c r="F105" s="105"/>
      <c r="G105" s="105"/>
      <c r="H105" s="122" t="s">
        <v>75</v>
      </c>
      <c r="I105" s="106" t="s">
        <v>399</v>
      </c>
      <c r="J105" s="106"/>
    </row>
    <row r="106" customFormat="false" ht="12.75" hidden="false" customHeight="true" outlineLevel="0" collapsed="false">
      <c r="A106" s="19" t="s">
        <v>400</v>
      </c>
      <c r="B106" s="21" t="s">
        <v>471</v>
      </c>
      <c r="C106" s="21"/>
      <c r="D106" s="21"/>
      <c r="E106" s="21"/>
      <c r="F106" s="21"/>
      <c r="G106" s="21"/>
      <c r="H106" s="123" t="n">
        <f aca="false">1/12</f>
        <v>0.0833333333333333</v>
      </c>
      <c r="I106" s="130" t="n">
        <f aca="false">$H$39*H106</f>
        <v>97.25</v>
      </c>
      <c r="J106" s="130"/>
    </row>
    <row r="107" customFormat="false" ht="27" hidden="false" customHeight="true" outlineLevel="0" collapsed="false">
      <c r="A107" s="30" t="s">
        <v>108</v>
      </c>
      <c r="B107" s="31" t="s">
        <v>472</v>
      </c>
      <c r="C107" s="31"/>
      <c r="D107" s="31"/>
      <c r="E107" s="31"/>
      <c r="F107" s="31"/>
      <c r="G107" s="31"/>
      <c r="H107" s="31"/>
      <c r="I107" s="31"/>
      <c r="J107" s="31"/>
    </row>
    <row r="108" customFormat="false" ht="12.75" hidden="false" customHeight="true" outlineLevel="0" collapsed="false">
      <c r="A108" s="30" t="s">
        <v>364</v>
      </c>
      <c r="B108" s="31" t="s">
        <v>473</v>
      </c>
      <c r="C108" s="31"/>
      <c r="D108" s="31"/>
      <c r="E108" s="31"/>
      <c r="F108" s="31"/>
      <c r="G108" s="31"/>
      <c r="H108" s="31"/>
      <c r="I108" s="31"/>
      <c r="J108" s="31"/>
    </row>
    <row r="109" customFormat="false" ht="12.75" hidden="false" customHeight="false" outlineLevel="0" collapsed="false">
      <c r="A109" s="19" t="s">
        <v>403</v>
      </c>
      <c r="B109" s="21" t="str">
        <f aca="false">"Incidência do Submódulo "&amp;$A$80&amp;" sobre "&amp;B105</f>
        <v>Incidência do Submódulo 4.1 sobre 13º Salário</v>
      </c>
      <c r="C109" s="21"/>
      <c r="D109" s="21"/>
      <c r="E109" s="21"/>
      <c r="F109" s="21"/>
      <c r="G109" s="21"/>
      <c r="H109" s="123" t="n">
        <f aca="false">$H$103</f>
        <v>0.368</v>
      </c>
      <c r="I109" s="130" t="n">
        <f aca="false">I106*H109</f>
        <v>35.788</v>
      </c>
      <c r="J109" s="130"/>
      <c r="L109" s="131"/>
    </row>
    <row r="110" customFormat="false" ht="12.75" hidden="false" customHeight="false" outlineLevel="0" collapsed="false">
      <c r="A110" s="30" t="s">
        <v>108</v>
      </c>
      <c r="B110" s="31" t="str">
        <f aca="false">"Aplicar percentual do submódulo "&amp;$A$80&amp;" sobre o "&amp;B105</f>
        <v>Aplicar percentual do submódulo 4.1 sobre o 13º Salário</v>
      </c>
      <c r="C110" s="31"/>
      <c r="D110" s="31"/>
      <c r="E110" s="31"/>
      <c r="F110" s="31"/>
      <c r="G110" s="31"/>
      <c r="H110" s="31"/>
      <c r="I110" s="31"/>
      <c r="J110" s="31"/>
    </row>
    <row r="111" customFormat="false" ht="12.75" hidden="false" customHeight="false" outlineLevel="0" collapsed="false">
      <c r="A111" s="16" t="str">
        <f aca="false">"Total do Sobmódulo "&amp;A105</f>
        <v>Total do Sobmódulo 4.2</v>
      </c>
      <c r="B111" s="16"/>
      <c r="C111" s="16"/>
      <c r="D111" s="16"/>
      <c r="E111" s="16"/>
      <c r="F111" s="16"/>
      <c r="G111" s="16"/>
      <c r="H111" s="127" t="n">
        <f aca="false">H106+H106*H109</f>
        <v>0.114</v>
      </c>
      <c r="I111" s="128" t="n">
        <f aca="false">SUM(I106+I109)</f>
        <v>133.038</v>
      </c>
      <c r="J111" s="128"/>
      <c r="K111" s="129"/>
    </row>
    <row r="113" customFormat="false" ht="12.75" hidden="false" customHeight="true" outlineLevel="0" collapsed="false">
      <c r="A113" s="16" t="s">
        <v>474</v>
      </c>
      <c r="B113" s="105" t="s">
        <v>475</v>
      </c>
      <c r="C113" s="105"/>
      <c r="D113" s="105"/>
      <c r="E113" s="105"/>
      <c r="F113" s="105"/>
      <c r="G113" s="105"/>
      <c r="H113" s="122" t="s">
        <v>75</v>
      </c>
      <c r="I113" s="106" t="s">
        <v>399</v>
      </c>
      <c r="J113" s="106"/>
    </row>
    <row r="114" customFormat="false" ht="12.75" hidden="false" customHeight="false" outlineLevel="0" collapsed="false">
      <c r="A114" s="19" t="s">
        <v>400</v>
      </c>
      <c r="B114" s="21" t="str">
        <f aca="false">B113</f>
        <v>Afastamento Maternidade</v>
      </c>
      <c r="C114" s="21"/>
      <c r="D114" s="21"/>
      <c r="E114" s="21"/>
      <c r="F114" s="21"/>
      <c r="G114" s="21"/>
      <c r="H114" s="126" t="n">
        <f aca="false">(1+(1/3))*(4/12)*0.4445*0.0731/12</f>
        <v>0.00120344259259259</v>
      </c>
      <c r="I114" s="130" t="n">
        <f aca="false">$H$39*H114</f>
        <v>1.40441750555556</v>
      </c>
      <c r="J114" s="130"/>
    </row>
    <row r="115" customFormat="false" ht="91.5" hidden="false" customHeight="true" outlineLevel="0" collapsed="false">
      <c r="A115" s="108" t="s">
        <v>476</v>
      </c>
      <c r="B115" s="109" t="s">
        <v>477</v>
      </c>
      <c r="C115" s="109"/>
      <c r="D115" s="109"/>
      <c r="E115" s="109"/>
      <c r="F115" s="109"/>
      <c r="G115" s="109"/>
      <c r="H115" s="109"/>
      <c r="I115" s="109"/>
      <c r="J115" s="109"/>
    </row>
    <row r="116" customFormat="false" ht="76.5" hidden="false" customHeight="true" outlineLevel="0" collapsed="false">
      <c r="A116" s="108" t="s">
        <v>478</v>
      </c>
      <c r="B116" s="109" t="s">
        <v>479</v>
      </c>
      <c r="C116" s="109"/>
      <c r="D116" s="109"/>
      <c r="E116" s="109"/>
      <c r="F116" s="109"/>
      <c r="G116" s="109"/>
      <c r="H116" s="109"/>
      <c r="I116" s="109"/>
      <c r="J116" s="109"/>
    </row>
    <row r="117" customFormat="false" ht="33.75" hidden="false" customHeight="true" outlineLevel="0" collapsed="false">
      <c r="A117" s="108" t="s">
        <v>364</v>
      </c>
      <c r="B117" s="109" t="s">
        <v>480</v>
      </c>
      <c r="C117" s="109"/>
      <c r="D117" s="109"/>
      <c r="E117" s="109"/>
      <c r="F117" s="109"/>
      <c r="G117" s="109"/>
      <c r="H117" s="109"/>
      <c r="I117" s="109"/>
      <c r="J117" s="109"/>
    </row>
    <row r="118" customFormat="false" ht="12.75" hidden="false" customHeight="false" outlineLevel="0" collapsed="false">
      <c r="A118" s="19" t="s">
        <v>403</v>
      </c>
      <c r="B118" s="21" t="str">
        <f aca="false">"Incidência do Submódulo "&amp;$A$80&amp;" sobre "&amp;B113</f>
        <v>Incidência do Submódulo 4.1 sobre Afastamento Maternidade</v>
      </c>
      <c r="C118" s="21"/>
      <c r="D118" s="21"/>
      <c r="E118" s="21"/>
      <c r="F118" s="21"/>
      <c r="G118" s="21"/>
      <c r="H118" s="123" t="n">
        <f aca="false">$H$103</f>
        <v>0.368</v>
      </c>
      <c r="I118" s="130" t="n">
        <f aca="false">I114*H118</f>
        <v>0.516825642044445</v>
      </c>
      <c r="J118" s="130"/>
      <c r="L118" s="131"/>
    </row>
    <row r="119" customFormat="false" ht="12.75" hidden="false" customHeight="false" outlineLevel="0" collapsed="false">
      <c r="A119" s="30" t="s">
        <v>108</v>
      </c>
      <c r="B119" s="31" t="str">
        <f aca="false">"Aplicar percentual do submódulo "&amp;$A$80&amp;" sobre o "&amp;B113</f>
        <v>Aplicar percentual do submódulo 4.1 sobre o Afastamento Maternidade</v>
      </c>
      <c r="C119" s="31"/>
      <c r="D119" s="31"/>
      <c r="E119" s="31"/>
      <c r="F119" s="31"/>
      <c r="G119" s="31"/>
      <c r="H119" s="31"/>
      <c r="I119" s="31"/>
      <c r="J119" s="31"/>
    </row>
    <row r="120" customFormat="false" ht="12.75" hidden="false" customHeight="false" outlineLevel="0" collapsed="false">
      <c r="A120" s="16" t="str">
        <f aca="false">"Total do Sobmódulo "&amp;A113</f>
        <v>Total do Sobmódulo 4.3</v>
      </c>
      <c r="B120" s="16"/>
      <c r="C120" s="16"/>
      <c r="D120" s="16"/>
      <c r="E120" s="16"/>
      <c r="F120" s="16"/>
      <c r="G120" s="16"/>
      <c r="H120" s="127" t="n">
        <f aca="false">H114+H114*H118</f>
        <v>0.00164630946666667</v>
      </c>
      <c r="I120" s="128" t="n">
        <f aca="false">SUM(I114+I118)</f>
        <v>1.9212431476</v>
      </c>
      <c r="J120" s="128"/>
      <c r="K120" s="129"/>
    </row>
    <row r="122" customFormat="false" ht="12.75" hidden="false" customHeight="true" outlineLevel="0" collapsed="false">
      <c r="A122" s="16" t="s">
        <v>481</v>
      </c>
      <c r="B122" s="105" t="s">
        <v>482</v>
      </c>
      <c r="C122" s="105"/>
      <c r="D122" s="105"/>
      <c r="E122" s="105"/>
      <c r="F122" s="105"/>
      <c r="G122" s="105"/>
      <c r="H122" s="122" t="s">
        <v>75</v>
      </c>
      <c r="I122" s="106" t="s">
        <v>399</v>
      </c>
      <c r="J122" s="106"/>
    </row>
    <row r="123" customFormat="false" ht="12.75" hidden="false" customHeight="true" outlineLevel="0" collapsed="false">
      <c r="A123" s="19" t="s">
        <v>400</v>
      </c>
      <c r="B123" s="21" t="s">
        <v>483</v>
      </c>
      <c r="C123" s="21"/>
      <c r="D123" s="21"/>
      <c r="E123" s="21"/>
      <c r="F123" s="21"/>
      <c r="G123" s="21"/>
      <c r="H123" s="126" t="n">
        <f aca="false">(1/12)*0.55*0.9</f>
        <v>0.04125</v>
      </c>
      <c r="I123" s="130" t="n">
        <f aca="false">$H$39*H123</f>
        <v>48.13875</v>
      </c>
      <c r="J123" s="130"/>
      <c r="K123" s="113"/>
    </row>
    <row r="124" customFormat="false" ht="39.75" hidden="false" customHeight="true" outlineLevel="0" collapsed="false">
      <c r="A124" s="108" t="s">
        <v>412</v>
      </c>
      <c r="B124" s="109" t="s">
        <v>484</v>
      </c>
      <c r="C124" s="109"/>
      <c r="D124" s="109"/>
      <c r="E124" s="109"/>
      <c r="F124" s="109"/>
      <c r="G124" s="109"/>
      <c r="H124" s="109"/>
      <c r="I124" s="109"/>
      <c r="J124" s="109"/>
    </row>
    <row r="125" customFormat="false" ht="40.5" hidden="false" customHeight="true" outlineLevel="0" collapsed="false">
      <c r="A125" s="108" t="s">
        <v>414</v>
      </c>
      <c r="B125" s="109" t="s">
        <v>485</v>
      </c>
      <c r="C125" s="109"/>
      <c r="D125" s="109"/>
      <c r="E125" s="109"/>
      <c r="F125" s="109"/>
      <c r="G125" s="109"/>
      <c r="H125" s="109"/>
      <c r="I125" s="109"/>
      <c r="J125" s="109"/>
    </row>
    <row r="126" customFormat="false" ht="12.75" hidden="false" customHeight="true" outlineLevel="0" collapsed="false">
      <c r="A126" s="108" t="s">
        <v>486</v>
      </c>
      <c r="B126" s="109" t="s">
        <v>487</v>
      </c>
      <c r="C126" s="109"/>
      <c r="D126" s="109"/>
      <c r="E126" s="109"/>
      <c r="F126" s="109"/>
      <c r="G126" s="109"/>
      <c r="H126" s="109"/>
      <c r="I126" s="109"/>
      <c r="J126" s="109"/>
    </row>
    <row r="127" customFormat="false" ht="32.25" hidden="false" customHeight="true" outlineLevel="0" collapsed="false">
      <c r="A127" s="108" t="s">
        <v>364</v>
      </c>
      <c r="B127" s="109" t="s">
        <v>488</v>
      </c>
      <c r="C127" s="109"/>
      <c r="D127" s="109"/>
      <c r="E127" s="109"/>
      <c r="F127" s="109"/>
      <c r="G127" s="109"/>
      <c r="H127" s="109"/>
      <c r="I127" s="109"/>
      <c r="J127" s="109"/>
    </row>
    <row r="128" customFormat="false" ht="12.75" hidden="false" customHeight="false" outlineLevel="0" collapsed="false">
      <c r="A128" s="19" t="s">
        <v>403</v>
      </c>
      <c r="B128" s="21" t="str">
        <f aca="false">"Incidência do FGTS sobre o "&amp;B123</f>
        <v>Incidência do FGTS sobre o Aviso prévio indenizado</v>
      </c>
      <c r="C128" s="21"/>
      <c r="D128" s="21"/>
      <c r="E128" s="21"/>
      <c r="F128" s="21"/>
      <c r="G128" s="21"/>
      <c r="H128" s="123" t="n">
        <f aca="false">H95</f>
        <v>0.08</v>
      </c>
      <c r="I128" s="130" t="n">
        <f aca="false">I123*H128</f>
        <v>3.8511</v>
      </c>
      <c r="J128" s="130"/>
      <c r="K128" s="113"/>
    </row>
    <row r="129" customFormat="false" ht="12.75" hidden="false" customHeight="false" outlineLevel="0" collapsed="false">
      <c r="A129" s="30" t="s">
        <v>108</v>
      </c>
      <c r="B129" s="31" t="str">
        <f aca="false">"Aplicar percentual do FGTS sobre o "&amp;B123</f>
        <v>Aplicar percentual do FGTS sobre o Aviso prévio indenizado</v>
      </c>
      <c r="C129" s="31"/>
      <c r="D129" s="31"/>
      <c r="E129" s="31"/>
      <c r="F129" s="31"/>
      <c r="G129" s="31"/>
      <c r="H129" s="31"/>
      <c r="I129" s="31"/>
      <c r="J129" s="31"/>
    </row>
    <row r="130" customFormat="false" ht="12.75" hidden="false" customHeight="true" outlineLevel="0" collapsed="false">
      <c r="A130" s="19" t="s">
        <v>406</v>
      </c>
      <c r="B130" s="21" t="s">
        <v>489</v>
      </c>
      <c r="C130" s="21"/>
      <c r="D130" s="21"/>
      <c r="E130" s="21"/>
      <c r="F130" s="21"/>
      <c r="G130" s="21"/>
      <c r="H130" s="126" t="n">
        <f aca="false">0.4*$H$95*0.55*0.9+0.1*$H$95*0.55*0.9</f>
        <v>0.0198</v>
      </c>
      <c r="I130" s="130" t="n">
        <f aca="false">H130*$H$39</f>
        <v>23.1066</v>
      </c>
      <c r="J130" s="130"/>
      <c r="K130" s="113"/>
    </row>
    <row r="131" customFormat="false" ht="28.5" hidden="false" customHeight="true" outlineLevel="0" collapsed="false">
      <c r="A131" s="108" t="s">
        <v>108</v>
      </c>
      <c r="B131" s="109" t="s">
        <v>490</v>
      </c>
      <c r="C131" s="109"/>
      <c r="D131" s="109"/>
      <c r="E131" s="109"/>
      <c r="F131" s="109"/>
      <c r="G131" s="109"/>
      <c r="H131" s="109"/>
      <c r="I131" s="109"/>
      <c r="J131" s="109"/>
      <c r="K131" s="113"/>
    </row>
    <row r="132" customFormat="false" ht="63" hidden="false" customHeight="true" outlineLevel="0" collapsed="false">
      <c r="A132" s="108" t="s">
        <v>364</v>
      </c>
      <c r="B132" s="109" t="s">
        <v>491</v>
      </c>
      <c r="C132" s="109"/>
      <c r="D132" s="109"/>
      <c r="E132" s="109"/>
      <c r="F132" s="109"/>
      <c r="G132" s="109"/>
      <c r="H132" s="109"/>
      <c r="I132" s="109"/>
      <c r="J132" s="109"/>
    </row>
    <row r="133" customFormat="false" ht="12.75" hidden="false" customHeight="true" outlineLevel="0" collapsed="false">
      <c r="A133" s="19" t="s">
        <v>430</v>
      </c>
      <c r="B133" s="21" t="s">
        <v>492</v>
      </c>
      <c r="C133" s="21"/>
      <c r="D133" s="21"/>
      <c r="E133" s="21"/>
      <c r="F133" s="21"/>
      <c r="G133" s="21"/>
      <c r="H133" s="126" t="n">
        <f aca="false">7*0.55*0.1/360</f>
        <v>0.00106944444444444</v>
      </c>
      <c r="I133" s="130" t="n">
        <f aca="false">H133*$H$39</f>
        <v>1.24804166666667</v>
      </c>
      <c r="J133" s="130"/>
      <c r="K133" s="113"/>
    </row>
    <row r="134" customFormat="false" ht="63" hidden="false" customHeight="true" outlineLevel="0" collapsed="false">
      <c r="A134" s="108" t="s">
        <v>108</v>
      </c>
      <c r="B134" s="109" t="s">
        <v>493</v>
      </c>
      <c r="C134" s="109"/>
      <c r="D134" s="109"/>
      <c r="E134" s="109"/>
      <c r="F134" s="109"/>
      <c r="G134" s="109"/>
      <c r="H134" s="109"/>
      <c r="I134" s="109"/>
      <c r="J134" s="109"/>
    </row>
    <row r="135" customFormat="false" ht="32.25" hidden="false" customHeight="true" outlineLevel="0" collapsed="false">
      <c r="A135" s="108" t="s">
        <v>364</v>
      </c>
      <c r="B135" s="109" t="s">
        <v>494</v>
      </c>
      <c r="C135" s="109"/>
      <c r="D135" s="109"/>
      <c r="E135" s="109"/>
      <c r="F135" s="109"/>
      <c r="G135" s="109"/>
      <c r="H135" s="109"/>
      <c r="I135" s="109"/>
      <c r="J135" s="109"/>
    </row>
    <row r="136" customFormat="false" ht="12.75" hidden="false" customHeight="true" outlineLevel="0" collapsed="false">
      <c r="A136" s="19" t="s">
        <v>432</v>
      </c>
      <c r="B136" s="21" t="s">
        <v>495</v>
      </c>
      <c r="C136" s="21"/>
      <c r="D136" s="21"/>
      <c r="E136" s="21"/>
      <c r="F136" s="21"/>
      <c r="G136" s="21"/>
      <c r="H136" s="126" t="n">
        <f aca="false">0.4*$H$95*0.55*0.1+0.1*$H$95*0.55*0.1</f>
        <v>0.0022</v>
      </c>
      <c r="I136" s="130" t="n">
        <f aca="false">H136*$H$39</f>
        <v>2.5674</v>
      </c>
      <c r="J136" s="130"/>
      <c r="K136" s="113"/>
    </row>
    <row r="137" customFormat="false" ht="69.75" hidden="false" customHeight="true" outlineLevel="0" collapsed="false">
      <c r="A137" s="108" t="s">
        <v>364</v>
      </c>
      <c r="B137" s="109" t="s">
        <v>496</v>
      </c>
      <c r="C137" s="109"/>
      <c r="D137" s="109"/>
      <c r="E137" s="109"/>
      <c r="F137" s="109"/>
      <c r="G137" s="109"/>
      <c r="H137" s="109"/>
      <c r="I137" s="109"/>
      <c r="J137" s="109"/>
    </row>
    <row r="138" customFormat="false" ht="12.75" hidden="false" customHeight="false" outlineLevel="0" collapsed="false">
      <c r="A138" s="19" t="s">
        <v>434</v>
      </c>
      <c r="B138" s="21" t="str">
        <f aca="false">"Incidência do Submódulo "&amp;$A$80&amp;" sobre "&amp;B123</f>
        <v>Incidência do Submódulo 4.1 sobre Aviso prévio indenizado</v>
      </c>
      <c r="C138" s="21"/>
      <c r="D138" s="21"/>
      <c r="E138" s="21"/>
      <c r="F138" s="21"/>
      <c r="G138" s="21"/>
      <c r="H138" s="123" t="n">
        <f aca="false">$H$103</f>
        <v>0.368</v>
      </c>
      <c r="I138" s="130" t="n">
        <f aca="false">H138*I123</f>
        <v>17.71506</v>
      </c>
      <c r="J138" s="130"/>
      <c r="L138" s="131"/>
    </row>
    <row r="139" customFormat="false" ht="12.75" hidden="false" customHeight="false" outlineLevel="0" collapsed="false">
      <c r="A139" s="30" t="s">
        <v>108</v>
      </c>
      <c r="B139" s="31" t="str">
        <f aca="false">"Aplicar percentual do submódulo "&amp;$A$80&amp;" sobre o "&amp;B123</f>
        <v>Aplicar percentual do submódulo 4.1 sobre o Aviso prévio indenizado</v>
      </c>
      <c r="C139" s="31"/>
      <c r="D139" s="31"/>
      <c r="E139" s="31"/>
      <c r="F139" s="31"/>
      <c r="G139" s="31"/>
      <c r="H139" s="31"/>
      <c r="I139" s="31"/>
      <c r="J139" s="31"/>
    </row>
    <row r="140" customFormat="false" ht="12.75" hidden="false" customHeight="false" outlineLevel="0" collapsed="false">
      <c r="A140" s="16" t="str">
        <f aca="false">"Total do Sobmódulo "&amp;A122</f>
        <v>Total do Sobmódulo 4.4</v>
      </c>
      <c r="B140" s="16"/>
      <c r="C140" s="16"/>
      <c r="D140" s="16"/>
      <c r="E140" s="16"/>
      <c r="F140" s="16"/>
      <c r="G140" s="16"/>
      <c r="H140" s="127" t="n">
        <f aca="false">H123+H123*H128+H130+H133+H136+H138*H123</f>
        <v>0.0827994444444444</v>
      </c>
      <c r="I140" s="128" t="n">
        <f aca="false">SUM(I123,I128,I130,I133,I136,I138)</f>
        <v>96.6269516666667</v>
      </c>
      <c r="J140" s="128"/>
      <c r="K140" s="129"/>
    </row>
    <row r="142" customFormat="false" ht="12.75" hidden="false" customHeight="true" outlineLevel="0" collapsed="false">
      <c r="A142" s="16" t="s">
        <v>497</v>
      </c>
      <c r="B142" s="105" t="s">
        <v>498</v>
      </c>
      <c r="C142" s="105"/>
      <c r="D142" s="105"/>
      <c r="E142" s="105"/>
      <c r="F142" s="105"/>
      <c r="G142" s="105"/>
      <c r="H142" s="122" t="s">
        <v>75</v>
      </c>
      <c r="I142" s="106" t="s">
        <v>399</v>
      </c>
      <c r="J142" s="106"/>
    </row>
    <row r="143" customFormat="false" ht="12.75" hidden="false" customHeight="true" outlineLevel="0" collapsed="false">
      <c r="A143" s="19" t="s">
        <v>400</v>
      </c>
      <c r="B143" s="21" t="s">
        <v>499</v>
      </c>
      <c r="C143" s="21"/>
      <c r="D143" s="21"/>
      <c r="E143" s="21"/>
      <c r="F143" s="21"/>
      <c r="G143" s="21"/>
      <c r="H143" s="123" t="n">
        <f aca="false">1/12</f>
        <v>0.0833333333333333</v>
      </c>
      <c r="I143" s="130" t="n">
        <f aca="false">H143*$H$39</f>
        <v>97.25</v>
      </c>
      <c r="J143" s="130"/>
      <c r="K143" s="113"/>
    </row>
    <row r="144" customFormat="false" ht="42" hidden="false" customHeight="true" outlineLevel="0" collapsed="false">
      <c r="A144" s="30" t="s">
        <v>108</v>
      </c>
      <c r="B144" s="132" t="s">
        <v>500</v>
      </c>
      <c r="C144" s="132"/>
      <c r="D144" s="132"/>
      <c r="E144" s="132"/>
      <c r="F144" s="132"/>
      <c r="G144" s="132"/>
      <c r="H144" s="132"/>
      <c r="I144" s="132"/>
      <c r="J144" s="132"/>
      <c r="L144" s="131"/>
    </row>
    <row r="145" customFormat="false" ht="12.75" hidden="false" customHeight="true" outlineLevel="0" collapsed="false">
      <c r="A145" s="30" t="s">
        <v>364</v>
      </c>
      <c r="B145" s="31" t="s">
        <v>501</v>
      </c>
      <c r="C145" s="31"/>
      <c r="D145" s="31"/>
      <c r="E145" s="31"/>
      <c r="F145" s="31"/>
      <c r="G145" s="31"/>
      <c r="H145" s="31"/>
      <c r="I145" s="31"/>
      <c r="J145" s="31"/>
      <c r="L145" s="131"/>
      <c r="N145" s="113"/>
      <c r="O145" s="113"/>
      <c r="P145" s="113"/>
    </row>
    <row r="146" customFormat="false" ht="12.75" hidden="false" customHeight="true" outlineLevel="0" collapsed="false">
      <c r="A146" s="19" t="s">
        <v>403</v>
      </c>
      <c r="B146" s="21" t="s">
        <v>502</v>
      </c>
      <c r="C146" s="21"/>
      <c r="D146" s="21"/>
      <c r="E146" s="21"/>
      <c r="F146" s="21"/>
      <c r="G146" s="21"/>
      <c r="H146" s="123" t="n">
        <f aca="false">1/(12*3)</f>
        <v>0.0277777777777778</v>
      </c>
      <c r="I146" s="130" t="n">
        <f aca="false">H146*$H$39</f>
        <v>32.4166666666667</v>
      </c>
      <c r="J146" s="130"/>
      <c r="K146" s="113"/>
      <c r="L146" s="131"/>
      <c r="N146" s="113"/>
      <c r="O146" s="113"/>
      <c r="P146" s="113"/>
    </row>
    <row r="147" customFormat="false" ht="27.75" hidden="false" customHeight="true" outlineLevel="0" collapsed="false">
      <c r="A147" s="30" t="s">
        <v>108</v>
      </c>
      <c r="B147" s="132" t="s">
        <v>503</v>
      </c>
      <c r="C147" s="132"/>
      <c r="D147" s="132"/>
      <c r="E147" s="132"/>
      <c r="F147" s="132"/>
      <c r="G147" s="132"/>
      <c r="H147" s="132"/>
      <c r="I147" s="132"/>
      <c r="J147" s="132"/>
      <c r="L147" s="131"/>
      <c r="N147" s="113"/>
      <c r="O147" s="113"/>
      <c r="P147" s="113"/>
    </row>
    <row r="148" customFormat="false" ht="12.75" hidden="false" customHeight="true" outlineLevel="0" collapsed="false">
      <c r="A148" s="30" t="s">
        <v>364</v>
      </c>
      <c r="B148" s="31" t="s">
        <v>504</v>
      </c>
      <c r="C148" s="31"/>
      <c r="D148" s="31"/>
      <c r="E148" s="31"/>
      <c r="F148" s="31"/>
      <c r="G148" s="31"/>
      <c r="H148" s="31"/>
      <c r="I148" s="31"/>
      <c r="J148" s="31"/>
      <c r="L148" s="131"/>
      <c r="N148" s="113"/>
      <c r="O148" s="113"/>
      <c r="P148" s="113"/>
    </row>
    <row r="149" customFormat="false" ht="12.75" hidden="false" customHeight="true" outlineLevel="0" collapsed="false">
      <c r="A149" s="19" t="s">
        <v>406</v>
      </c>
      <c r="B149" s="21" t="s">
        <v>505</v>
      </c>
      <c r="C149" s="21"/>
      <c r="D149" s="21"/>
      <c r="E149" s="21"/>
      <c r="F149" s="21"/>
      <c r="G149" s="21"/>
      <c r="H149" s="126" t="n">
        <f aca="false">5.96/(30*12)</f>
        <v>0.0165555555555556</v>
      </c>
      <c r="I149" s="130" t="n">
        <f aca="false">H149*$H$39</f>
        <v>19.3203333333333</v>
      </c>
      <c r="J149" s="130"/>
      <c r="K149" s="113"/>
      <c r="L149" s="131"/>
      <c r="N149" s="113"/>
      <c r="O149" s="113"/>
      <c r="P149" s="113"/>
      <c r="Q149" s="113"/>
    </row>
    <row r="150" customFormat="false" ht="54" hidden="false" customHeight="true" outlineLevel="0" collapsed="false">
      <c r="A150" s="108" t="s">
        <v>108</v>
      </c>
      <c r="B150" s="133" t="s">
        <v>506</v>
      </c>
      <c r="C150" s="133"/>
      <c r="D150" s="133"/>
      <c r="E150" s="133"/>
      <c r="F150" s="133"/>
      <c r="G150" s="133"/>
      <c r="H150" s="133"/>
      <c r="I150" s="133"/>
      <c r="J150" s="133"/>
      <c r="L150" s="131"/>
      <c r="N150" s="113"/>
      <c r="O150" s="113"/>
      <c r="P150" s="113"/>
      <c r="Q150" s="113"/>
    </row>
    <row r="151" customFormat="false" ht="12.75" hidden="false" customHeight="true" outlineLevel="0" collapsed="false">
      <c r="A151" s="108" t="s">
        <v>364</v>
      </c>
      <c r="B151" s="109" t="s">
        <v>507</v>
      </c>
      <c r="C151" s="109"/>
      <c r="D151" s="109"/>
      <c r="E151" s="109"/>
      <c r="F151" s="109"/>
      <c r="G151" s="109"/>
      <c r="H151" s="109"/>
      <c r="I151" s="109"/>
      <c r="J151" s="109"/>
      <c r="L151" s="131"/>
      <c r="N151" s="113"/>
      <c r="O151" s="113"/>
      <c r="P151" s="113"/>
      <c r="Q151" s="113"/>
    </row>
    <row r="152" customFormat="false" ht="12.75" hidden="false" customHeight="true" outlineLevel="0" collapsed="false">
      <c r="A152" s="19" t="s">
        <v>430</v>
      </c>
      <c r="B152" s="21" t="s">
        <v>508</v>
      </c>
      <c r="C152" s="21"/>
      <c r="D152" s="21"/>
      <c r="E152" s="21"/>
      <c r="F152" s="21"/>
      <c r="G152" s="21"/>
      <c r="H152" s="126" t="n">
        <f aca="false">5*0.0731*0.5555/(30*12)</f>
        <v>0.000563986805555556</v>
      </c>
      <c r="I152" s="130" t="n">
        <f aca="false">H152*$H$39</f>
        <v>0.658172602083333</v>
      </c>
      <c r="J152" s="130"/>
      <c r="K152" s="113"/>
      <c r="N152" s="113"/>
      <c r="O152" s="113"/>
      <c r="P152" s="113"/>
    </row>
    <row r="153" customFormat="false" ht="94.5" hidden="false" customHeight="true" outlineLevel="0" collapsed="false">
      <c r="A153" s="108" t="s">
        <v>108</v>
      </c>
      <c r="B153" s="133" t="s">
        <v>509</v>
      </c>
      <c r="C153" s="133"/>
      <c r="D153" s="133"/>
      <c r="E153" s="133"/>
      <c r="F153" s="133"/>
      <c r="G153" s="133"/>
      <c r="H153" s="133"/>
      <c r="I153" s="133"/>
      <c r="J153" s="133"/>
      <c r="M153" s="113"/>
      <c r="N153" s="113"/>
      <c r="O153" s="113"/>
      <c r="P153" s="113"/>
      <c r="Q153" s="113"/>
    </row>
    <row r="154" customFormat="false" ht="12.75" hidden="false" customHeight="true" outlineLevel="0" collapsed="false">
      <c r="A154" s="108" t="s">
        <v>364</v>
      </c>
      <c r="B154" s="109" t="s">
        <v>510</v>
      </c>
      <c r="C154" s="109"/>
      <c r="D154" s="109"/>
      <c r="E154" s="109"/>
      <c r="F154" s="109"/>
      <c r="G154" s="109"/>
      <c r="H154" s="109"/>
      <c r="I154" s="109"/>
      <c r="J154" s="109"/>
      <c r="P154" s="113"/>
    </row>
    <row r="155" customFormat="false" ht="12.75" hidden="false" customHeight="true" outlineLevel="0" collapsed="false">
      <c r="A155" s="19" t="s">
        <v>432</v>
      </c>
      <c r="B155" s="21" t="s">
        <v>511</v>
      </c>
      <c r="C155" s="21"/>
      <c r="D155" s="21"/>
      <c r="E155" s="21"/>
      <c r="F155" s="21"/>
      <c r="G155" s="21"/>
      <c r="H155" s="126" t="n">
        <f aca="false">2.96/(30*12)</f>
        <v>0.00822222222222222</v>
      </c>
      <c r="I155" s="130" t="n">
        <f aca="false">H155*$H$39</f>
        <v>9.59533333333333</v>
      </c>
      <c r="J155" s="130"/>
      <c r="K155" s="113"/>
    </row>
    <row r="156" customFormat="false" ht="93" hidden="false" customHeight="true" outlineLevel="0" collapsed="false">
      <c r="A156" s="108" t="s">
        <v>108</v>
      </c>
      <c r="B156" s="133" t="s">
        <v>512</v>
      </c>
      <c r="C156" s="133"/>
      <c r="D156" s="133"/>
      <c r="E156" s="133"/>
      <c r="F156" s="133"/>
      <c r="G156" s="133"/>
      <c r="H156" s="133"/>
      <c r="I156" s="133"/>
      <c r="J156" s="133"/>
    </row>
    <row r="157" customFormat="false" ht="12.75" hidden="false" customHeight="true" outlineLevel="0" collapsed="false">
      <c r="A157" s="108" t="s">
        <v>364</v>
      </c>
      <c r="B157" s="109" t="s">
        <v>513</v>
      </c>
      <c r="C157" s="109"/>
      <c r="D157" s="109"/>
      <c r="E157" s="109"/>
      <c r="F157" s="109"/>
      <c r="G157" s="109"/>
      <c r="H157" s="109"/>
      <c r="I157" s="109"/>
      <c r="J157" s="109"/>
    </row>
    <row r="158" customFormat="false" ht="12.75" hidden="false" customHeight="true" outlineLevel="0" collapsed="false">
      <c r="A158" s="19" t="s">
        <v>434</v>
      </c>
      <c r="B158" s="21" t="s">
        <v>514</v>
      </c>
      <c r="C158" s="21"/>
      <c r="D158" s="21"/>
      <c r="E158" s="21"/>
      <c r="F158" s="21"/>
      <c r="G158" s="21"/>
      <c r="H158" s="126" t="n">
        <f aca="false">0.91/(30*12)</f>
        <v>0.00252777777777778</v>
      </c>
      <c r="I158" s="130" t="n">
        <f aca="false">H158*$H$39</f>
        <v>2.94991666666667</v>
      </c>
      <c r="J158" s="130"/>
      <c r="K158" s="113"/>
    </row>
    <row r="159" customFormat="false" ht="66" hidden="false" customHeight="true" outlineLevel="0" collapsed="false">
      <c r="A159" s="108" t="s">
        <v>108</v>
      </c>
      <c r="B159" s="133" t="s">
        <v>515</v>
      </c>
      <c r="C159" s="133"/>
      <c r="D159" s="133"/>
      <c r="E159" s="133"/>
      <c r="F159" s="133"/>
      <c r="G159" s="133"/>
      <c r="H159" s="133"/>
      <c r="I159" s="133"/>
      <c r="J159" s="133"/>
    </row>
    <row r="160" customFormat="false" ht="12.75" hidden="false" customHeight="true" outlineLevel="0" collapsed="false">
      <c r="A160" s="108" t="s">
        <v>364</v>
      </c>
      <c r="B160" s="109" t="s">
        <v>516</v>
      </c>
      <c r="C160" s="109"/>
      <c r="D160" s="109"/>
      <c r="E160" s="109"/>
      <c r="F160" s="109"/>
      <c r="G160" s="109"/>
      <c r="H160" s="109"/>
      <c r="I160" s="109"/>
      <c r="J160" s="109"/>
    </row>
    <row r="161" customFormat="false" ht="12.75" hidden="false" customHeight="true" outlineLevel="0" collapsed="false">
      <c r="A161" s="19" t="s">
        <v>438</v>
      </c>
      <c r="B161" s="111" t="s">
        <v>444</v>
      </c>
      <c r="C161" s="111"/>
      <c r="D161" s="111"/>
      <c r="E161" s="111"/>
      <c r="F161" s="111"/>
      <c r="G161" s="111"/>
      <c r="H161" s="126"/>
      <c r="I161" s="130" t="n">
        <f aca="false">H161*$H$39</f>
        <v>0</v>
      </c>
      <c r="J161" s="130"/>
      <c r="K161" s="113"/>
    </row>
    <row r="162" customFormat="false" ht="12.75" hidden="false" customHeight="true" outlineLevel="0" collapsed="false">
      <c r="A162" s="108" t="s">
        <v>108</v>
      </c>
      <c r="B162" s="109" t="s">
        <v>517</v>
      </c>
      <c r="C162" s="109"/>
      <c r="D162" s="109"/>
      <c r="E162" s="109"/>
      <c r="F162" s="109"/>
      <c r="G162" s="109"/>
      <c r="H162" s="109"/>
      <c r="I162" s="109"/>
      <c r="J162" s="109"/>
    </row>
    <row r="163" customFormat="false" ht="12.75" hidden="false" customHeight="true" outlineLevel="0" collapsed="false">
      <c r="A163" s="108" t="s">
        <v>364</v>
      </c>
      <c r="B163" s="109" t="s">
        <v>518</v>
      </c>
      <c r="C163" s="109"/>
      <c r="D163" s="109"/>
      <c r="E163" s="109"/>
      <c r="F163" s="109"/>
      <c r="G163" s="109"/>
      <c r="H163" s="109"/>
      <c r="I163" s="109"/>
      <c r="J163" s="109"/>
    </row>
    <row r="164" customFormat="false" ht="12.75" hidden="false" customHeight="false" outlineLevel="0" collapsed="false">
      <c r="A164" s="16" t="str">
        <f aca="false">"Total do Sobmódulo "&amp;A142</f>
        <v>Total do Sobmódulo 4.5</v>
      </c>
      <c r="B164" s="16"/>
      <c r="C164" s="16"/>
      <c r="D164" s="16"/>
      <c r="E164" s="16"/>
      <c r="F164" s="16"/>
      <c r="G164" s="16"/>
      <c r="H164" s="127" t="n">
        <f aca="false">SUM(H143,H146,H149,H152,H155,H158,H161)</f>
        <v>0.138980653472222</v>
      </c>
      <c r="I164" s="128" t="n">
        <f aca="false">SUM(I143,I146,I149,I152,I155,I158,I161)</f>
        <v>162.190422602083</v>
      </c>
      <c r="J164" s="128"/>
      <c r="K164" s="129"/>
    </row>
    <row r="165" customFormat="false" ht="12.75" hidden="false" customHeight="false" outlineLevel="0" collapsed="false">
      <c r="K165" s="113"/>
    </row>
    <row r="166" customFormat="false" ht="12.75" hidden="false" customHeight="false" outlineLevel="0" collapsed="false">
      <c r="A166" s="8" t="s">
        <v>519</v>
      </c>
      <c r="B166" s="8"/>
      <c r="C166" s="8"/>
      <c r="D166" s="8"/>
      <c r="E166" s="8"/>
      <c r="F166" s="8"/>
      <c r="G166" s="8"/>
      <c r="H166" s="8"/>
      <c r="I166" s="8"/>
      <c r="J166" s="8"/>
    </row>
    <row r="167" customFormat="false" ht="12.75" hidden="false" customHeight="true" outlineLevel="0" collapsed="false">
      <c r="A167" s="28" t="s">
        <v>520</v>
      </c>
      <c r="B167" s="104" t="s">
        <v>521</v>
      </c>
      <c r="C167" s="104"/>
      <c r="D167" s="104"/>
      <c r="E167" s="104"/>
      <c r="F167" s="104"/>
      <c r="G167" s="104"/>
      <c r="H167" s="134" t="s">
        <v>75</v>
      </c>
      <c r="I167" s="135" t="s">
        <v>522</v>
      </c>
      <c r="J167" s="135"/>
    </row>
    <row r="168" customFormat="false" ht="12.75" hidden="false" customHeight="false" outlineLevel="0" collapsed="false">
      <c r="A168" s="19" t="n">
        <v>1</v>
      </c>
      <c r="B168" s="10" t="str">
        <f aca="false">$B$31</f>
        <v> Remuneração</v>
      </c>
      <c r="C168" s="10"/>
      <c r="D168" s="10"/>
      <c r="E168" s="10"/>
      <c r="F168" s="10"/>
      <c r="G168" s="10"/>
      <c r="H168" s="24"/>
      <c r="I168" s="136" t="n">
        <f aca="false">H33+$H$35+$H$37</f>
        <v>1167</v>
      </c>
      <c r="J168" s="136"/>
      <c r="P168" s="137"/>
      <c r="Q168" s="137"/>
    </row>
    <row r="169" customFormat="false" ht="12.75" hidden="false" customHeight="false" outlineLevel="0" collapsed="false">
      <c r="A169" s="19" t="n">
        <v>2</v>
      </c>
      <c r="B169" s="10" t="str">
        <f aca="false">$B$41</f>
        <v>Benefícios mensais e diários</v>
      </c>
      <c r="C169" s="10"/>
      <c r="D169" s="10"/>
      <c r="E169" s="10"/>
      <c r="F169" s="10"/>
      <c r="G169" s="10"/>
      <c r="H169" s="19"/>
      <c r="I169" s="136" t="n">
        <f aca="false">H51</f>
        <v>97.18</v>
      </c>
      <c r="J169" s="136"/>
    </row>
    <row r="170" customFormat="false" ht="12.75" hidden="false" customHeight="false" outlineLevel="0" collapsed="false">
      <c r="A170" s="19" t="n">
        <v>3</v>
      </c>
      <c r="B170" s="10" t="str">
        <f aca="false">$B$53</f>
        <v> Uniformes E EPI's</v>
      </c>
      <c r="C170" s="10"/>
      <c r="D170" s="10"/>
      <c r="E170" s="10"/>
      <c r="F170" s="10"/>
      <c r="G170" s="10"/>
      <c r="H170" s="19"/>
      <c r="I170" s="136" t="n">
        <f aca="false">$H$66+$H$77</f>
        <v>0</v>
      </c>
      <c r="J170" s="136"/>
    </row>
    <row r="171" customFormat="false" ht="12.75" hidden="false" customHeight="false" outlineLevel="0" collapsed="false">
      <c r="A171" s="19" t="n">
        <v>4</v>
      </c>
      <c r="B171" s="10" t="str">
        <f aca="false">$B$79</f>
        <v>Encargos Sociais e Trabalhistas</v>
      </c>
      <c r="C171" s="10"/>
      <c r="D171" s="10"/>
      <c r="E171" s="10"/>
      <c r="F171" s="10"/>
      <c r="G171" s="10"/>
      <c r="H171" s="138" t="n">
        <f aca="false">SUM($H$103,$H$111,$H$120,$H$140,$H$164)</f>
        <v>0.705426407383333</v>
      </c>
      <c r="I171" s="136" t="n">
        <f aca="false">H171*I168</f>
        <v>823.23261741635</v>
      </c>
      <c r="J171" s="136"/>
      <c r="K171" s="129"/>
    </row>
    <row r="172" customFormat="false" ht="12.75" hidden="false" customHeight="false" outlineLevel="0" collapsed="false">
      <c r="A172" s="19" t="n">
        <v>5</v>
      </c>
      <c r="B172" s="10" t="s">
        <v>444</v>
      </c>
      <c r="C172" s="10"/>
      <c r="D172" s="10"/>
      <c r="E172" s="10"/>
      <c r="F172" s="10"/>
      <c r="G172" s="10"/>
      <c r="H172" s="138"/>
      <c r="I172" s="136"/>
      <c r="J172" s="136"/>
    </row>
    <row r="173" customFormat="false" ht="12.75" hidden="false" customHeight="false" outlineLevel="0" collapsed="false">
      <c r="A173" s="16" t="s">
        <v>68</v>
      </c>
      <c r="B173" s="16"/>
      <c r="C173" s="16"/>
      <c r="D173" s="16"/>
      <c r="E173" s="16"/>
      <c r="F173" s="16"/>
      <c r="G173" s="16"/>
      <c r="H173" s="16"/>
      <c r="I173" s="128" t="n">
        <f aca="false">SUM(I168:J172)</f>
        <v>2087.41261741635</v>
      </c>
      <c r="J173" s="128"/>
    </row>
    <row r="175" customFormat="false" ht="26.25" hidden="false" customHeight="true" outlineLevel="0" collapsed="false">
      <c r="A175" s="83" t="s">
        <v>523</v>
      </c>
      <c r="B175" s="83"/>
      <c r="C175" s="83"/>
      <c r="D175" s="83"/>
      <c r="E175" s="83"/>
      <c r="F175" s="83"/>
      <c r="G175" s="83"/>
      <c r="H175" s="83"/>
      <c r="I175" s="83"/>
      <c r="J175" s="83"/>
    </row>
    <row r="177" customFormat="false" ht="12.75" hidden="false" customHeight="false" outlineLevel="0" collapsed="false">
      <c r="A177" s="8" t="s">
        <v>524</v>
      </c>
      <c r="B177" s="8"/>
      <c r="C177" s="8"/>
      <c r="D177" s="8"/>
      <c r="E177" s="8"/>
      <c r="F177" s="8"/>
      <c r="G177" s="8"/>
      <c r="H177" s="8"/>
      <c r="I177" s="8"/>
      <c r="J177" s="8"/>
    </row>
    <row r="178" customFormat="false" ht="12.75" hidden="false" customHeight="true" outlineLevel="0" collapsed="false">
      <c r="A178" s="28" t="s">
        <v>520</v>
      </c>
      <c r="B178" s="104" t="s">
        <v>521</v>
      </c>
      <c r="C178" s="104"/>
      <c r="D178" s="104"/>
      <c r="E178" s="104"/>
      <c r="F178" s="104"/>
      <c r="G178" s="104"/>
      <c r="H178" s="134" t="s">
        <v>75</v>
      </c>
      <c r="I178" s="135" t="s">
        <v>522</v>
      </c>
      <c r="J178" s="135"/>
    </row>
    <row r="179" customFormat="false" ht="12.75" hidden="false" customHeight="false" outlineLevel="0" collapsed="false">
      <c r="A179" s="19" t="n">
        <v>1</v>
      </c>
      <c r="B179" s="10" t="str">
        <f aca="false">$B$31</f>
        <v> Remuneração</v>
      </c>
      <c r="C179" s="10"/>
      <c r="D179" s="10"/>
      <c r="E179" s="10"/>
      <c r="F179" s="10"/>
      <c r="G179" s="10"/>
      <c r="H179" s="24"/>
      <c r="I179" s="136" t="n">
        <f aca="false">I168*1.062+$H$35+$H$37</f>
        <v>1269.354</v>
      </c>
      <c r="J179" s="136"/>
    </row>
    <row r="180" customFormat="false" ht="12.75" hidden="false" customHeight="false" outlineLevel="0" collapsed="false">
      <c r="A180" s="19" t="n">
        <v>2</v>
      </c>
      <c r="B180" s="10" t="str">
        <f aca="false">$B$41</f>
        <v>Benefícios mensais e diários</v>
      </c>
      <c r="C180" s="10"/>
      <c r="D180" s="10"/>
      <c r="E180" s="10"/>
      <c r="F180" s="10"/>
      <c r="G180" s="10"/>
      <c r="H180" s="19"/>
      <c r="I180" s="136" t="n">
        <f aca="false">SUM(H181:J183)</f>
        <v>91.03876</v>
      </c>
      <c r="J180" s="136"/>
    </row>
    <row r="181" customFormat="false" ht="15" hidden="true" customHeight="true" outlineLevel="0" collapsed="false">
      <c r="A181" s="19" t="s">
        <v>400</v>
      </c>
      <c r="B181" s="21" t="s">
        <v>411</v>
      </c>
      <c r="C181" s="21"/>
      <c r="D181" s="21"/>
      <c r="E181" s="21"/>
      <c r="F181" s="21"/>
      <c r="G181" s="21"/>
      <c r="H181" s="124" t="n">
        <f aca="false">IF((3.8*2*22-0.06*I179)&gt;0,3.8*2*22-0.06*I179,0)</f>
        <v>91.03876</v>
      </c>
      <c r="I181" s="124"/>
      <c r="J181" s="124"/>
      <c r="K181" s="129"/>
    </row>
    <row r="182" customFormat="false" ht="12.75" hidden="true" customHeight="true" outlineLevel="0" collapsed="false">
      <c r="A182" s="19" t="s">
        <v>417</v>
      </c>
      <c r="B182" s="21" t="s">
        <v>418</v>
      </c>
      <c r="C182" s="21"/>
      <c r="D182" s="21"/>
      <c r="E182" s="21"/>
      <c r="F182" s="21"/>
      <c r="G182" s="21"/>
      <c r="H182" s="124" t="n">
        <f aca="false">IF('DI, Tri e Pag'!$H$12:$J$12='DI, Tri e Pag'!$L$12,-('DI, Tri e Pag'!$H$23+'DI, Tri e Pag'!$H$24)*'C. F. P. Caixa-Operador'!H181,0)</f>
        <v>0</v>
      </c>
      <c r="I182" s="124"/>
      <c r="J182" s="124"/>
      <c r="K182" s="139"/>
    </row>
    <row r="183" customFormat="false" ht="12.75" hidden="true" customHeight="true" outlineLevel="0" collapsed="false">
      <c r="A183" s="19" t="s">
        <v>403</v>
      </c>
      <c r="B183" s="21" t="s">
        <v>407</v>
      </c>
      <c r="C183" s="21"/>
      <c r="D183" s="21"/>
      <c r="E183" s="21"/>
      <c r="F183" s="21"/>
      <c r="G183" s="21"/>
      <c r="H183" s="124" t="n">
        <f aca="false">$H$49</f>
        <v>0</v>
      </c>
      <c r="I183" s="124"/>
      <c r="J183" s="124"/>
    </row>
    <row r="184" customFormat="false" ht="12.75" hidden="false" customHeight="false" outlineLevel="0" collapsed="false">
      <c r="A184" s="19" t="n">
        <v>3</v>
      </c>
      <c r="B184" s="10" t="str">
        <f aca="false">$B$53</f>
        <v> Uniformes E EPI's</v>
      </c>
      <c r="C184" s="10"/>
      <c r="D184" s="10"/>
      <c r="E184" s="10"/>
      <c r="F184" s="10"/>
      <c r="G184" s="10"/>
      <c r="H184" s="19"/>
      <c r="I184" s="136" t="n">
        <f aca="false">$H$66+$H$77</f>
        <v>0</v>
      </c>
      <c r="J184" s="136"/>
    </row>
    <row r="185" customFormat="false" ht="12.75" hidden="false" customHeight="false" outlineLevel="0" collapsed="false">
      <c r="A185" s="19" t="n">
        <v>4</v>
      </c>
      <c r="B185" s="10" t="str">
        <f aca="false">$B$79</f>
        <v>Encargos Sociais e Trabalhistas</v>
      </c>
      <c r="C185" s="10"/>
      <c r="D185" s="10"/>
      <c r="E185" s="10"/>
      <c r="F185" s="10"/>
      <c r="G185" s="10"/>
      <c r="H185" s="138" t="n">
        <f aca="false">SUM($H$103,$H$111,$H$120,$H$140,$H$164)</f>
        <v>0.705426407383333</v>
      </c>
      <c r="I185" s="136" t="n">
        <f aca="false">H185*I179</f>
        <v>895.435831917664</v>
      </c>
      <c r="J185" s="136"/>
    </row>
    <row r="186" customFormat="false" ht="12.75" hidden="false" customHeight="false" outlineLevel="0" collapsed="false">
      <c r="A186" s="19" t="n">
        <v>5</v>
      </c>
      <c r="B186" s="10" t="str">
        <f aca="false">B172</f>
        <v>Outro (Especificar)</v>
      </c>
      <c r="C186" s="10"/>
      <c r="D186" s="10"/>
      <c r="E186" s="10"/>
      <c r="F186" s="10"/>
      <c r="G186" s="10"/>
      <c r="H186" s="138"/>
      <c r="I186" s="136"/>
      <c r="J186" s="136"/>
    </row>
    <row r="187" customFormat="false" ht="12.75" hidden="false" customHeight="false" outlineLevel="0" collapsed="false">
      <c r="A187" s="16" t="s">
        <v>68</v>
      </c>
      <c r="B187" s="16"/>
      <c r="C187" s="16"/>
      <c r="D187" s="16"/>
      <c r="E187" s="16"/>
      <c r="F187" s="16"/>
      <c r="G187" s="16"/>
      <c r="H187" s="16"/>
      <c r="I187" s="128" t="n">
        <f aca="false">SUM(I179,I180,I184,I185,I186)</f>
        <v>2255.82859191766</v>
      </c>
      <c r="J187" s="128"/>
    </row>
    <row r="189" customFormat="false" ht="12.75" hidden="false" customHeight="false" outlineLevel="0" collapsed="false">
      <c r="A189" s="8" t="s">
        <v>525</v>
      </c>
      <c r="B189" s="8"/>
      <c r="C189" s="8"/>
      <c r="D189" s="8"/>
      <c r="E189" s="8"/>
      <c r="F189" s="8"/>
      <c r="G189" s="8"/>
      <c r="H189" s="8"/>
      <c r="I189" s="8"/>
      <c r="J189" s="8"/>
    </row>
    <row r="190" customFormat="false" ht="12.75" hidden="false" customHeight="true" outlineLevel="0" collapsed="false">
      <c r="A190" s="28" t="s">
        <v>520</v>
      </c>
      <c r="B190" s="104" t="s">
        <v>521</v>
      </c>
      <c r="C190" s="104"/>
      <c r="D190" s="104"/>
      <c r="E190" s="104"/>
      <c r="F190" s="104"/>
      <c r="G190" s="104"/>
      <c r="H190" s="134" t="s">
        <v>75</v>
      </c>
      <c r="I190" s="135" t="s">
        <v>522</v>
      </c>
      <c r="J190" s="135"/>
    </row>
    <row r="191" customFormat="false" ht="12.75" hidden="false" customHeight="false" outlineLevel="0" collapsed="false">
      <c r="A191" s="19" t="n">
        <v>1</v>
      </c>
      <c r="B191" s="10" t="str">
        <f aca="false">$B$31</f>
        <v> Remuneração</v>
      </c>
      <c r="C191" s="10"/>
      <c r="D191" s="10"/>
      <c r="E191" s="10"/>
      <c r="F191" s="10"/>
      <c r="G191" s="10"/>
      <c r="H191" s="24"/>
      <c r="I191" s="136" t="n">
        <f aca="false">I179*1.062+$H$35+$H$37</f>
        <v>1378.053948</v>
      </c>
      <c r="J191" s="136"/>
    </row>
    <row r="192" customFormat="false" ht="12.75" hidden="false" customHeight="false" outlineLevel="0" collapsed="false">
      <c r="A192" s="19" t="n">
        <v>2</v>
      </c>
      <c r="B192" s="10" t="str">
        <f aca="false">$B$41</f>
        <v>Benefícios mensais e diários</v>
      </c>
      <c r="C192" s="10"/>
      <c r="D192" s="10"/>
      <c r="E192" s="10"/>
      <c r="F192" s="10"/>
      <c r="G192" s="10"/>
      <c r="H192" s="19"/>
      <c r="I192" s="136" t="n">
        <f aca="false">SUM(H193:J195)</f>
        <v>84.51676312</v>
      </c>
      <c r="J192" s="136"/>
    </row>
    <row r="193" customFormat="false" ht="15" hidden="true" customHeight="true" outlineLevel="0" collapsed="false">
      <c r="A193" s="19" t="s">
        <v>400</v>
      </c>
      <c r="B193" s="21" t="s">
        <v>411</v>
      </c>
      <c r="C193" s="21"/>
      <c r="D193" s="21"/>
      <c r="E193" s="21"/>
      <c r="F193" s="21"/>
      <c r="G193" s="21"/>
      <c r="H193" s="124" t="n">
        <f aca="false">IF((3.8*2*22-0.06*I191)&gt;0,3.8*2*22-0.06*I191,0)</f>
        <v>84.51676312</v>
      </c>
      <c r="I193" s="124"/>
      <c r="J193" s="124"/>
      <c r="K193" s="129"/>
    </row>
    <row r="194" customFormat="false" ht="12.75" hidden="true" customHeight="true" outlineLevel="0" collapsed="false">
      <c r="A194" s="19" t="s">
        <v>417</v>
      </c>
      <c r="B194" s="21" t="s">
        <v>418</v>
      </c>
      <c r="C194" s="21"/>
      <c r="D194" s="21"/>
      <c r="E194" s="21"/>
      <c r="F194" s="21"/>
      <c r="G194" s="21"/>
      <c r="H194" s="124" t="n">
        <f aca="false">IF('DI, Tri e Pag'!$H$12:$J$12='DI, Tri e Pag'!$L$12,-('DI, Tri e Pag'!$H$23+'DI, Tri e Pag'!$H$24)*'C. F. P. Caixa-Operador'!H193,0)</f>
        <v>0</v>
      </c>
      <c r="I194" s="124"/>
      <c r="J194" s="124"/>
      <c r="K194" s="139"/>
    </row>
    <row r="195" customFormat="false" ht="15" hidden="true" customHeight="true" outlineLevel="0" collapsed="false">
      <c r="A195" s="19" t="s">
        <v>403</v>
      </c>
      <c r="B195" s="21" t="s">
        <v>407</v>
      </c>
      <c r="C195" s="21"/>
      <c r="D195" s="21"/>
      <c r="E195" s="21"/>
      <c r="F195" s="21"/>
      <c r="G195" s="21"/>
      <c r="H195" s="124" t="n">
        <f aca="false">$H$49</f>
        <v>0</v>
      </c>
      <c r="I195" s="124"/>
      <c r="J195" s="124"/>
    </row>
    <row r="196" customFormat="false" ht="12.75" hidden="false" customHeight="false" outlineLevel="0" collapsed="false">
      <c r="A196" s="19" t="n">
        <v>3</v>
      </c>
      <c r="B196" s="10" t="str">
        <f aca="false">$B$53</f>
        <v> Uniformes E EPI's</v>
      </c>
      <c r="C196" s="10"/>
      <c r="D196" s="10"/>
      <c r="E196" s="10"/>
      <c r="F196" s="10"/>
      <c r="G196" s="10"/>
      <c r="H196" s="19"/>
      <c r="I196" s="136" t="n">
        <f aca="false">$H$66+$H$77</f>
        <v>0</v>
      </c>
      <c r="J196" s="136"/>
    </row>
    <row r="197" customFormat="false" ht="12.75" hidden="false" customHeight="false" outlineLevel="0" collapsed="false">
      <c r="A197" s="19" t="n">
        <v>4</v>
      </c>
      <c r="B197" s="10" t="str">
        <f aca="false">$B$79</f>
        <v>Encargos Sociais e Trabalhistas</v>
      </c>
      <c r="C197" s="10"/>
      <c r="D197" s="10"/>
      <c r="E197" s="10"/>
      <c r="F197" s="10"/>
      <c r="G197" s="10"/>
      <c r="H197" s="138" t="n">
        <f aca="false">SUM($H$103,$H$111,$H$120,$H$140,$H$164)</f>
        <v>0.705426407383333</v>
      </c>
      <c r="I197" s="136" t="n">
        <f aca="false">H197*I191</f>
        <v>972.115645718059</v>
      </c>
      <c r="J197" s="136"/>
    </row>
    <row r="198" customFormat="false" ht="12.75" hidden="false" customHeight="false" outlineLevel="0" collapsed="false">
      <c r="A198" s="19" t="n">
        <v>5</v>
      </c>
      <c r="B198" s="10" t="str">
        <f aca="false">B186</f>
        <v>Outro (Especificar)</v>
      </c>
      <c r="C198" s="10"/>
      <c r="D198" s="10"/>
      <c r="E198" s="10"/>
      <c r="F198" s="10"/>
      <c r="G198" s="10"/>
      <c r="H198" s="138"/>
      <c r="I198" s="136"/>
      <c r="J198" s="136"/>
    </row>
    <row r="199" customFormat="false" ht="12.75" hidden="false" customHeight="false" outlineLevel="0" collapsed="false">
      <c r="A199" s="16" t="s">
        <v>68</v>
      </c>
      <c r="B199" s="16"/>
      <c r="C199" s="16"/>
      <c r="D199" s="16"/>
      <c r="E199" s="16"/>
      <c r="F199" s="16"/>
      <c r="G199" s="16"/>
      <c r="H199" s="16"/>
      <c r="I199" s="128" t="n">
        <f aca="false">SUM(I191,I192,I196,I197,I198)</f>
        <v>2434.68635683806</v>
      </c>
      <c r="J199" s="128"/>
    </row>
    <row r="201" customFormat="false" ht="12.75" hidden="false" customHeight="false" outlineLevel="0" collapsed="false">
      <c r="A201" s="8" t="s">
        <v>526</v>
      </c>
      <c r="B201" s="8"/>
      <c r="C201" s="8"/>
      <c r="D201" s="8"/>
      <c r="E201" s="8"/>
      <c r="F201" s="8"/>
      <c r="G201" s="8"/>
      <c r="H201" s="8"/>
      <c r="I201" s="8"/>
      <c r="J201" s="8"/>
    </row>
    <row r="202" customFormat="false" ht="12.75" hidden="false" customHeight="true" outlineLevel="0" collapsed="false">
      <c r="A202" s="28" t="s">
        <v>520</v>
      </c>
      <c r="B202" s="104" t="s">
        <v>521</v>
      </c>
      <c r="C202" s="104"/>
      <c r="D202" s="104"/>
      <c r="E202" s="104"/>
      <c r="F202" s="104"/>
      <c r="G202" s="104"/>
      <c r="H202" s="134" t="s">
        <v>75</v>
      </c>
      <c r="I202" s="135" t="s">
        <v>522</v>
      </c>
      <c r="J202" s="135"/>
    </row>
    <row r="203" customFormat="false" ht="12.75" hidden="false" customHeight="false" outlineLevel="0" collapsed="false">
      <c r="A203" s="19" t="n">
        <v>1</v>
      </c>
      <c r="B203" s="10" t="str">
        <f aca="false">$B$31</f>
        <v> Remuneração</v>
      </c>
      <c r="C203" s="10"/>
      <c r="D203" s="10"/>
      <c r="E203" s="10"/>
      <c r="F203" s="10"/>
      <c r="G203" s="10"/>
      <c r="H203" s="24"/>
      <c r="I203" s="136" t="n">
        <f aca="false">I191*1.062+$H$35+$H$37</f>
        <v>1493.493292776</v>
      </c>
      <c r="J203" s="136"/>
    </row>
    <row r="204" customFormat="false" ht="12.75" hidden="false" customHeight="false" outlineLevel="0" collapsed="false">
      <c r="A204" s="19" t="n">
        <v>2</v>
      </c>
      <c r="B204" s="10" t="str">
        <f aca="false">$B$41</f>
        <v>Benefícios mensais e diários</v>
      </c>
      <c r="C204" s="10"/>
      <c r="D204" s="10"/>
      <c r="E204" s="10"/>
      <c r="F204" s="10"/>
      <c r="G204" s="10"/>
      <c r="H204" s="19"/>
      <c r="I204" s="136" t="n">
        <f aca="false">SUM(H205:J207)</f>
        <v>77.59040243344</v>
      </c>
      <c r="J204" s="136"/>
    </row>
    <row r="205" customFormat="false" ht="15" hidden="true" customHeight="true" outlineLevel="0" collapsed="false">
      <c r="A205" s="19" t="s">
        <v>400</v>
      </c>
      <c r="B205" s="21" t="s">
        <v>411</v>
      </c>
      <c r="C205" s="21"/>
      <c r="D205" s="21"/>
      <c r="E205" s="21"/>
      <c r="F205" s="21"/>
      <c r="G205" s="21"/>
      <c r="H205" s="124" t="n">
        <f aca="false">IF((3.8*2*22-0.06*I203)&gt;0,3.8*2*22-0.06*I203,0)</f>
        <v>77.59040243344</v>
      </c>
      <c r="I205" s="124"/>
      <c r="J205" s="124"/>
      <c r="K205" s="129"/>
    </row>
    <row r="206" customFormat="false" ht="12.75" hidden="true" customHeight="true" outlineLevel="0" collapsed="false">
      <c r="A206" s="19" t="s">
        <v>417</v>
      </c>
      <c r="B206" s="21" t="s">
        <v>418</v>
      </c>
      <c r="C206" s="21"/>
      <c r="D206" s="21"/>
      <c r="E206" s="21"/>
      <c r="F206" s="21"/>
      <c r="G206" s="21"/>
      <c r="H206" s="124" t="n">
        <f aca="false">IF('DI, Tri e Pag'!$H$12:$J$12='DI, Tri e Pag'!$L$12,-('DI, Tri e Pag'!$H$23+'DI, Tri e Pag'!$H$24)*'C. F. P. Caixa-Operador'!H205,0)</f>
        <v>0</v>
      </c>
      <c r="I206" s="124"/>
      <c r="J206" s="124"/>
      <c r="K206" s="139"/>
    </row>
    <row r="207" customFormat="false" ht="12.75" hidden="true" customHeight="true" outlineLevel="0" collapsed="false">
      <c r="A207" s="19" t="s">
        <v>403</v>
      </c>
      <c r="B207" s="21" t="s">
        <v>407</v>
      </c>
      <c r="C207" s="21"/>
      <c r="D207" s="21"/>
      <c r="E207" s="21"/>
      <c r="F207" s="21"/>
      <c r="G207" s="21"/>
      <c r="H207" s="124" t="n">
        <f aca="false">$H$49</f>
        <v>0</v>
      </c>
      <c r="I207" s="124"/>
      <c r="J207" s="124"/>
    </row>
    <row r="208" customFormat="false" ht="12.75" hidden="false" customHeight="false" outlineLevel="0" collapsed="false">
      <c r="A208" s="19" t="n">
        <v>3</v>
      </c>
      <c r="B208" s="10" t="str">
        <f aca="false">$B$53</f>
        <v> Uniformes E EPI's</v>
      </c>
      <c r="C208" s="10"/>
      <c r="D208" s="10"/>
      <c r="E208" s="10"/>
      <c r="F208" s="10"/>
      <c r="G208" s="10"/>
      <c r="H208" s="19"/>
      <c r="I208" s="136" t="n">
        <f aca="false">$H$66+$H$77</f>
        <v>0</v>
      </c>
      <c r="J208" s="136"/>
    </row>
    <row r="209" customFormat="false" ht="12.75" hidden="false" customHeight="false" outlineLevel="0" collapsed="false">
      <c r="A209" s="19" t="n">
        <v>4</v>
      </c>
      <c r="B209" s="10" t="str">
        <f aca="false">$B$79</f>
        <v>Encargos Sociais e Trabalhistas</v>
      </c>
      <c r="C209" s="10"/>
      <c r="D209" s="10"/>
      <c r="E209" s="10"/>
      <c r="F209" s="10"/>
      <c r="G209" s="10"/>
      <c r="H209" s="138" t="n">
        <f aca="false">SUM($H$103,$H$111,$H$120,$H$140,$H$164)</f>
        <v>0.705426407383333</v>
      </c>
      <c r="I209" s="136" t="n">
        <f aca="false">H209*I203</f>
        <v>1053.54960797408</v>
      </c>
      <c r="J209" s="136"/>
    </row>
    <row r="210" customFormat="false" ht="12.75" hidden="false" customHeight="false" outlineLevel="0" collapsed="false">
      <c r="A210" s="19" t="n">
        <v>5</v>
      </c>
      <c r="B210" s="10" t="str">
        <f aca="false">B198</f>
        <v>Outro (Especificar)</v>
      </c>
      <c r="C210" s="10"/>
      <c r="D210" s="10"/>
      <c r="E210" s="10"/>
      <c r="F210" s="10"/>
      <c r="G210" s="10"/>
      <c r="H210" s="138"/>
      <c r="I210" s="136"/>
      <c r="J210" s="136"/>
    </row>
    <row r="211" customFormat="false" ht="12.75" hidden="false" customHeight="false" outlineLevel="0" collapsed="false">
      <c r="A211" s="16" t="s">
        <v>68</v>
      </c>
      <c r="B211" s="16"/>
      <c r="C211" s="16"/>
      <c r="D211" s="16"/>
      <c r="E211" s="16"/>
      <c r="F211" s="16"/>
      <c r="G211" s="16"/>
      <c r="H211" s="16"/>
      <c r="I211" s="128" t="n">
        <f aca="false">SUM(I203,I204,I208,I209,I210)</f>
        <v>2624.63330318352</v>
      </c>
      <c r="J211" s="128"/>
    </row>
    <row r="213" customFormat="false" ht="12.75" hidden="false" customHeight="false" outlineLevel="0" collapsed="false">
      <c r="A213" s="8" t="s">
        <v>527</v>
      </c>
      <c r="B213" s="8"/>
      <c r="C213" s="8"/>
      <c r="D213" s="8"/>
      <c r="E213" s="8"/>
      <c r="F213" s="8"/>
      <c r="G213" s="8"/>
      <c r="H213" s="8"/>
      <c r="I213" s="8"/>
      <c r="J213" s="8"/>
    </row>
    <row r="214" customFormat="false" ht="12.75" hidden="false" customHeight="true" outlineLevel="0" collapsed="false">
      <c r="A214" s="28" t="s">
        <v>520</v>
      </c>
      <c r="B214" s="104" t="s">
        <v>521</v>
      </c>
      <c r="C214" s="104"/>
      <c r="D214" s="104"/>
      <c r="E214" s="104"/>
      <c r="F214" s="104"/>
      <c r="G214" s="104"/>
      <c r="H214" s="134" t="s">
        <v>75</v>
      </c>
      <c r="I214" s="135" t="s">
        <v>522</v>
      </c>
      <c r="J214" s="135"/>
    </row>
    <row r="215" customFormat="false" ht="12.75" hidden="false" customHeight="false" outlineLevel="0" collapsed="false">
      <c r="A215" s="19" t="n">
        <v>1</v>
      </c>
      <c r="B215" s="10" t="str">
        <f aca="false">$B$31</f>
        <v> Remuneração</v>
      </c>
      <c r="C215" s="10"/>
      <c r="D215" s="10"/>
      <c r="E215" s="10"/>
      <c r="F215" s="10"/>
      <c r="G215" s="10"/>
      <c r="H215" s="24"/>
      <c r="I215" s="136" t="n">
        <f aca="false">I203*1.062+$H$35+$H$37</f>
        <v>1616.08987692811</v>
      </c>
      <c r="J215" s="136"/>
    </row>
    <row r="216" customFormat="false" ht="12.75" hidden="false" customHeight="false" outlineLevel="0" collapsed="false">
      <c r="A216" s="19" t="n">
        <v>2</v>
      </c>
      <c r="B216" s="10" t="str">
        <f aca="false">$B$41</f>
        <v>Benefícios mensais e diários</v>
      </c>
      <c r="C216" s="10"/>
      <c r="D216" s="10"/>
      <c r="E216" s="10"/>
      <c r="F216" s="10"/>
      <c r="G216" s="10"/>
      <c r="H216" s="19"/>
      <c r="I216" s="136" t="n">
        <f aca="false">SUM(H217:J219)</f>
        <v>70.2346073843132</v>
      </c>
      <c r="J216" s="136"/>
    </row>
    <row r="217" customFormat="false" ht="15" hidden="true" customHeight="true" outlineLevel="0" collapsed="false">
      <c r="A217" s="19" t="s">
        <v>400</v>
      </c>
      <c r="B217" s="21" t="s">
        <v>411</v>
      </c>
      <c r="C217" s="21"/>
      <c r="D217" s="21"/>
      <c r="E217" s="21"/>
      <c r="F217" s="21"/>
      <c r="G217" s="21"/>
      <c r="H217" s="124" t="n">
        <f aca="false">IF((3.8*2*22-0.06*I215)&gt;0,3.8*2*22-0.06*I215,0)</f>
        <v>70.2346073843132</v>
      </c>
      <c r="I217" s="124"/>
      <c r="J217" s="124"/>
      <c r="K217" s="129"/>
    </row>
    <row r="218" customFormat="false" ht="12.75" hidden="true" customHeight="true" outlineLevel="0" collapsed="false">
      <c r="A218" s="19" t="s">
        <v>417</v>
      </c>
      <c r="B218" s="21" t="s">
        <v>418</v>
      </c>
      <c r="C218" s="21"/>
      <c r="D218" s="21"/>
      <c r="E218" s="21"/>
      <c r="F218" s="21"/>
      <c r="G218" s="21"/>
      <c r="H218" s="124" t="n">
        <f aca="false">IF('DI, Tri e Pag'!$H$12:$J$12='DI, Tri e Pag'!$L$12,-('DI, Tri e Pag'!$H$23+'DI, Tri e Pag'!$H$24)*'C. F. P. Caixa-Operador'!H217,0)</f>
        <v>0</v>
      </c>
      <c r="I218" s="124"/>
      <c r="J218" s="124"/>
      <c r="K218" s="139"/>
    </row>
    <row r="219" customFormat="false" ht="12.75" hidden="true" customHeight="true" outlineLevel="0" collapsed="false">
      <c r="A219" s="19" t="s">
        <v>403</v>
      </c>
      <c r="B219" s="21" t="s">
        <v>407</v>
      </c>
      <c r="C219" s="21"/>
      <c r="D219" s="21"/>
      <c r="E219" s="21"/>
      <c r="F219" s="21"/>
      <c r="G219" s="21"/>
      <c r="H219" s="124" t="n">
        <f aca="false">$H$49</f>
        <v>0</v>
      </c>
      <c r="I219" s="124"/>
      <c r="J219" s="124"/>
    </row>
    <row r="220" customFormat="false" ht="12.75" hidden="false" customHeight="false" outlineLevel="0" collapsed="false">
      <c r="A220" s="19" t="n">
        <v>3</v>
      </c>
      <c r="B220" s="10" t="str">
        <f aca="false">$B$53</f>
        <v> Uniformes E EPI's</v>
      </c>
      <c r="C220" s="10"/>
      <c r="D220" s="10"/>
      <c r="E220" s="10"/>
      <c r="F220" s="10"/>
      <c r="G220" s="10"/>
      <c r="H220" s="19"/>
      <c r="I220" s="136" t="n">
        <f aca="false">$H$66+$H$77</f>
        <v>0</v>
      </c>
      <c r="J220" s="136"/>
    </row>
    <row r="221" customFormat="false" ht="12.75" hidden="false" customHeight="false" outlineLevel="0" collapsed="false">
      <c r="A221" s="19" t="n">
        <v>4</v>
      </c>
      <c r="B221" s="10" t="str">
        <f aca="false">$B$79</f>
        <v>Encargos Sociais e Trabalhistas</v>
      </c>
      <c r="C221" s="10"/>
      <c r="D221" s="10"/>
      <c r="E221" s="10"/>
      <c r="F221" s="10"/>
      <c r="G221" s="10"/>
      <c r="H221" s="138" t="n">
        <f aca="false">SUM($H$103,$H$111,$H$120,$H$140,$H$164)</f>
        <v>0.705426407383333</v>
      </c>
      <c r="I221" s="136" t="n">
        <f aca="false">H221*I215</f>
        <v>1140.03247588997</v>
      </c>
      <c r="J221" s="136"/>
    </row>
    <row r="222" customFormat="false" ht="12.75" hidden="false" customHeight="false" outlineLevel="0" collapsed="false">
      <c r="A222" s="19" t="n">
        <v>5</v>
      </c>
      <c r="B222" s="10" t="str">
        <f aca="false">B210</f>
        <v>Outro (Especificar)</v>
      </c>
      <c r="C222" s="10"/>
      <c r="D222" s="10"/>
      <c r="E222" s="10"/>
      <c r="F222" s="10"/>
      <c r="G222" s="10"/>
      <c r="H222" s="138"/>
      <c r="I222" s="136"/>
      <c r="J222" s="136"/>
    </row>
    <row r="223" customFormat="false" ht="12.75" hidden="false" customHeight="false" outlineLevel="0" collapsed="false">
      <c r="A223" s="16" t="s">
        <v>68</v>
      </c>
      <c r="B223" s="16"/>
      <c r="C223" s="16"/>
      <c r="D223" s="16"/>
      <c r="E223" s="16"/>
      <c r="F223" s="16"/>
      <c r="G223" s="16"/>
      <c r="H223" s="16"/>
      <c r="I223" s="128" t="n">
        <f aca="false">SUM(I215,I216,I220,I221,I222)</f>
        <v>2826.3569602024</v>
      </c>
      <c r="J223" s="128"/>
    </row>
    <row r="225" customFormat="false" ht="12.75" hidden="false" customHeight="false" outlineLevel="0" collapsed="false">
      <c r="A225" s="8" t="s">
        <v>528</v>
      </c>
      <c r="B225" s="8"/>
      <c r="C225" s="8"/>
      <c r="D225" s="8"/>
      <c r="E225" s="8"/>
      <c r="F225" s="8"/>
      <c r="G225" s="8"/>
      <c r="H225" s="8"/>
      <c r="I225" s="8"/>
      <c r="J225" s="8"/>
    </row>
    <row r="226" customFormat="false" ht="12.75" hidden="false" customHeight="true" outlineLevel="0" collapsed="false">
      <c r="A226" s="28" t="s">
        <v>520</v>
      </c>
      <c r="B226" s="104" t="s">
        <v>521</v>
      </c>
      <c r="C226" s="104"/>
      <c r="D226" s="104"/>
      <c r="E226" s="104"/>
      <c r="F226" s="104"/>
      <c r="G226" s="104"/>
      <c r="H226" s="134" t="s">
        <v>75</v>
      </c>
      <c r="I226" s="135" t="s">
        <v>522</v>
      </c>
      <c r="J226" s="135"/>
    </row>
    <row r="227" customFormat="false" ht="12.75" hidden="false" customHeight="false" outlineLevel="0" collapsed="false">
      <c r="A227" s="19" t="n">
        <v>1</v>
      </c>
      <c r="B227" s="10" t="str">
        <f aca="false">$B$31</f>
        <v> Remuneração</v>
      </c>
      <c r="C227" s="10"/>
      <c r="D227" s="10"/>
      <c r="E227" s="10"/>
      <c r="F227" s="10"/>
      <c r="G227" s="10"/>
      <c r="H227" s="24"/>
      <c r="I227" s="136" t="n">
        <f aca="false">I215*1.062+$H$35+$H$37</f>
        <v>1746.28744929766</v>
      </c>
      <c r="J227" s="136"/>
    </row>
    <row r="228" customFormat="false" ht="12.75" hidden="false" customHeight="false" outlineLevel="0" collapsed="false">
      <c r="A228" s="19" t="n">
        <v>2</v>
      </c>
      <c r="B228" s="10" t="str">
        <f aca="false">$B$41</f>
        <v>Benefícios mensais e diários</v>
      </c>
      <c r="C228" s="10"/>
      <c r="D228" s="10"/>
      <c r="E228" s="10"/>
      <c r="F228" s="10"/>
      <c r="G228" s="10"/>
      <c r="H228" s="19"/>
      <c r="I228" s="136" t="n">
        <f aca="false">SUM(H229:J231)</f>
        <v>62.4227530421407</v>
      </c>
      <c r="J228" s="136"/>
    </row>
    <row r="229" customFormat="false" ht="15" hidden="true" customHeight="true" outlineLevel="0" collapsed="false">
      <c r="A229" s="19" t="s">
        <v>400</v>
      </c>
      <c r="B229" s="21" t="s">
        <v>411</v>
      </c>
      <c r="C229" s="21"/>
      <c r="D229" s="21"/>
      <c r="E229" s="21"/>
      <c r="F229" s="21"/>
      <c r="G229" s="21"/>
      <c r="H229" s="124" t="n">
        <f aca="false">IF((3.8*2*22-0.06*I227)&gt;0,3.8*2*22-0.06*I227,0)</f>
        <v>62.4227530421407</v>
      </c>
      <c r="I229" s="124"/>
      <c r="J229" s="124"/>
      <c r="K229" s="129"/>
    </row>
    <row r="230" customFormat="false" ht="12.75" hidden="true" customHeight="true" outlineLevel="0" collapsed="false">
      <c r="A230" s="19" t="s">
        <v>417</v>
      </c>
      <c r="B230" s="21" t="s">
        <v>418</v>
      </c>
      <c r="C230" s="21"/>
      <c r="D230" s="21"/>
      <c r="E230" s="21"/>
      <c r="F230" s="21"/>
      <c r="G230" s="21"/>
      <c r="H230" s="124" t="n">
        <f aca="false">IF('DI, Tri e Pag'!$H$12:$J$12='DI, Tri e Pag'!$L$12,-('DI, Tri e Pag'!$H$23+'DI, Tri e Pag'!$H$24)*'C. F. P. Caixa-Operador'!H229,0)</f>
        <v>0</v>
      </c>
      <c r="I230" s="124"/>
      <c r="J230" s="124"/>
      <c r="K230" s="139"/>
    </row>
    <row r="231" customFormat="false" ht="12.75" hidden="true" customHeight="true" outlineLevel="0" collapsed="false">
      <c r="A231" s="19" t="s">
        <v>403</v>
      </c>
      <c r="B231" s="21" t="s">
        <v>407</v>
      </c>
      <c r="C231" s="21"/>
      <c r="D231" s="21"/>
      <c r="E231" s="21"/>
      <c r="F231" s="21"/>
      <c r="G231" s="21"/>
      <c r="H231" s="124" t="n">
        <f aca="false">$H$49</f>
        <v>0</v>
      </c>
      <c r="I231" s="124"/>
      <c r="J231" s="124"/>
    </row>
    <row r="232" customFormat="false" ht="12.75" hidden="false" customHeight="false" outlineLevel="0" collapsed="false">
      <c r="A232" s="19" t="n">
        <v>3</v>
      </c>
      <c r="B232" s="10" t="str">
        <f aca="false">$B$53</f>
        <v> Uniformes E EPI's</v>
      </c>
      <c r="C232" s="10"/>
      <c r="D232" s="10"/>
      <c r="E232" s="10"/>
      <c r="F232" s="10"/>
      <c r="G232" s="10"/>
      <c r="H232" s="19"/>
      <c r="I232" s="136" t="n">
        <f aca="false">$H$66+$H$77</f>
        <v>0</v>
      </c>
      <c r="J232" s="136"/>
    </row>
    <row r="233" customFormat="false" ht="12.75" hidden="false" customHeight="false" outlineLevel="0" collapsed="false">
      <c r="A233" s="19" t="n">
        <v>4</v>
      </c>
      <c r="B233" s="10" t="str">
        <f aca="false">$B$79</f>
        <v>Encargos Sociais e Trabalhistas</v>
      </c>
      <c r="C233" s="10"/>
      <c r="D233" s="10"/>
      <c r="E233" s="10"/>
      <c r="F233" s="10"/>
      <c r="G233" s="10"/>
      <c r="H233" s="138" t="n">
        <f aca="false">SUM($H$103,$H$111,$H$120,$H$140,$H$164)</f>
        <v>0.705426407383333</v>
      </c>
      <c r="I233" s="136" t="n">
        <f aca="false">H233*I227</f>
        <v>1231.87728161665</v>
      </c>
      <c r="J233" s="136"/>
    </row>
    <row r="234" customFormat="false" ht="12.75" hidden="false" customHeight="false" outlineLevel="0" collapsed="false">
      <c r="A234" s="19" t="n">
        <v>5</v>
      </c>
      <c r="B234" s="10" t="str">
        <f aca="false">B222</f>
        <v>Outro (Especificar)</v>
      </c>
      <c r="C234" s="10"/>
      <c r="D234" s="10"/>
      <c r="E234" s="10"/>
      <c r="F234" s="10"/>
      <c r="G234" s="10"/>
      <c r="H234" s="138"/>
      <c r="I234" s="136"/>
      <c r="J234" s="136"/>
    </row>
    <row r="235" customFormat="false" ht="12.75" hidden="false" customHeight="false" outlineLevel="0" collapsed="false">
      <c r="A235" s="16" t="s">
        <v>68</v>
      </c>
      <c r="B235" s="16"/>
      <c r="C235" s="16"/>
      <c r="D235" s="16"/>
      <c r="E235" s="16"/>
      <c r="F235" s="16"/>
      <c r="G235" s="16"/>
      <c r="H235" s="16"/>
      <c r="I235" s="128" t="n">
        <f aca="false">SUM(I227,I228,I232,I233,I234)</f>
        <v>3040.58748395645</v>
      </c>
      <c r="J235" s="128"/>
    </row>
  </sheetData>
  <sheetProtection sheet="true" password="e536" objects="true" scenarios="true" formatColumns="false" formatRows="false"/>
  <mergeCells count="317">
    <mergeCell ref="A7:J7"/>
    <mergeCell ref="A11:J11"/>
    <mergeCell ref="A18:J18"/>
    <mergeCell ref="A20:J20"/>
    <mergeCell ref="B21:G21"/>
    <mergeCell ref="H21:J21"/>
    <mergeCell ref="B22:G22"/>
    <mergeCell ref="H22:J22"/>
    <mergeCell ref="B23:J23"/>
    <mergeCell ref="B24:G24"/>
    <mergeCell ref="H24:J24"/>
    <mergeCell ref="B25:J25"/>
    <mergeCell ref="B26:G26"/>
    <mergeCell ref="H26:J26"/>
    <mergeCell ref="B27:J27"/>
    <mergeCell ref="B28:G28"/>
    <mergeCell ref="H28:J28"/>
    <mergeCell ref="B29:J29"/>
    <mergeCell ref="B31:J31"/>
    <mergeCell ref="B32:G32"/>
    <mergeCell ref="H32:J32"/>
    <mergeCell ref="B33:G33"/>
    <mergeCell ref="H33:J33"/>
    <mergeCell ref="B34:J34"/>
    <mergeCell ref="B35:G35"/>
    <mergeCell ref="H35:J35"/>
    <mergeCell ref="B36:J36"/>
    <mergeCell ref="B37:G37"/>
    <mergeCell ref="H37:J37"/>
    <mergeCell ref="B38:J38"/>
    <mergeCell ref="A39:G39"/>
    <mergeCell ref="H39:J39"/>
    <mergeCell ref="B41:J41"/>
    <mergeCell ref="B42:G42"/>
    <mergeCell ref="H42:J42"/>
    <mergeCell ref="B43:G43"/>
    <mergeCell ref="H43:J43"/>
    <mergeCell ref="B44:J44"/>
    <mergeCell ref="B45:J45"/>
    <mergeCell ref="B46:J46"/>
    <mergeCell ref="B47:G47"/>
    <mergeCell ref="H47:J47"/>
    <mergeCell ref="B48:J48"/>
    <mergeCell ref="B49:G49"/>
    <mergeCell ref="H49:J49"/>
    <mergeCell ref="B50:J50"/>
    <mergeCell ref="A51:G51"/>
    <mergeCell ref="H51:J51"/>
    <mergeCell ref="B53:J53"/>
    <mergeCell ref="B54:G54"/>
    <mergeCell ref="B55:G55"/>
    <mergeCell ref="B56:G56"/>
    <mergeCell ref="B57:G57"/>
    <mergeCell ref="B58:G58"/>
    <mergeCell ref="B59:G59"/>
    <mergeCell ref="B60:G60"/>
    <mergeCell ref="B61:J61"/>
    <mergeCell ref="B62:J62"/>
    <mergeCell ref="B63:J63"/>
    <mergeCell ref="B64:G64"/>
    <mergeCell ref="H64:J64"/>
    <mergeCell ref="B65:J65"/>
    <mergeCell ref="A66:G66"/>
    <mergeCell ref="H66:J66"/>
    <mergeCell ref="B68:E68"/>
    <mergeCell ref="G68:H68"/>
    <mergeCell ref="B69:E69"/>
    <mergeCell ref="G69:H69"/>
    <mergeCell ref="B70:E70"/>
    <mergeCell ref="G70:H70"/>
    <mergeCell ref="B71:J71"/>
    <mergeCell ref="B72:J72"/>
    <mergeCell ref="B73:J73"/>
    <mergeCell ref="B74:J74"/>
    <mergeCell ref="B75:G75"/>
    <mergeCell ref="H75:J75"/>
    <mergeCell ref="B76:J76"/>
    <mergeCell ref="A77:G77"/>
    <mergeCell ref="H77:J77"/>
    <mergeCell ref="B79:J79"/>
    <mergeCell ref="B80:G80"/>
    <mergeCell ref="I80:J80"/>
    <mergeCell ref="B81:G81"/>
    <mergeCell ref="I81:J81"/>
    <mergeCell ref="B82:J82"/>
    <mergeCell ref="B83:G83"/>
    <mergeCell ref="I83:J83"/>
    <mergeCell ref="B84:J84"/>
    <mergeCell ref="B85:J85"/>
    <mergeCell ref="B86:G86"/>
    <mergeCell ref="I86:J86"/>
    <mergeCell ref="B87:J87"/>
    <mergeCell ref="B88:J88"/>
    <mergeCell ref="B89:G89"/>
    <mergeCell ref="I89:J89"/>
    <mergeCell ref="B90:J90"/>
    <mergeCell ref="B91:J91"/>
    <mergeCell ref="B92:G92"/>
    <mergeCell ref="I92:J92"/>
    <mergeCell ref="B93:J93"/>
    <mergeCell ref="B94:J94"/>
    <mergeCell ref="B95:G95"/>
    <mergeCell ref="I95:J95"/>
    <mergeCell ref="B96:J96"/>
    <mergeCell ref="B97:G97"/>
    <mergeCell ref="I97:J97"/>
    <mergeCell ref="B98:J98"/>
    <mergeCell ref="B99:J99"/>
    <mergeCell ref="B100:G100"/>
    <mergeCell ref="I100:J100"/>
    <mergeCell ref="B101:J101"/>
    <mergeCell ref="B102:J102"/>
    <mergeCell ref="A103:G103"/>
    <mergeCell ref="I103:J103"/>
    <mergeCell ref="B105:G105"/>
    <mergeCell ref="I105:J105"/>
    <mergeCell ref="B106:G106"/>
    <mergeCell ref="I106:J106"/>
    <mergeCell ref="B107:J107"/>
    <mergeCell ref="B108:J108"/>
    <mergeCell ref="B109:G109"/>
    <mergeCell ref="I109:J109"/>
    <mergeCell ref="B110:J110"/>
    <mergeCell ref="A111:G111"/>
    <mergeCell ref="I111:J111"/>
    <mergeCell ref="B113:G113"/>
    <mergeCell ref="I113:J113"/>
    <mergeCell ref="B114:G114"/>
    <mergeCell ref="I114:J114"/>
    <mergeCell ref="B115:J115"/>
    <mergeCell ref="B116:J116"/>
    <mergeCell ref="B117:J117"/>
    <mergeCell ref="B118:G118"/>
    <mergeCell ref="I118:J118"/>
    <mergeCell ref="B119:J119"/>
    <mergeCell ref="A120:G120"/>
    <mergeCell ref="I120:J120"/>
    <mergeCell ref="B122:G122"/>
    <mergeCell ref="I122:J122"/>
    <mergeCell ref="B123:G123"/>
    <mergeCell ref="I123:J123"/>
    <mergeCell ref="B124:J124"/>
    <mergeCell ref="B125:J125"/>
    <mergeCell ref="B126:J126"/>
    <mergeCell ref="B127:J127"/>
    <mergeCell ref="B128:G128"/>
    <mergeCell ref="I128:J128"/>
    <mergeCell ref="B129:J129"/>
    <mergeCell ref="B130:G130"/>
    <mergeCell ref="I130:J130"/>
    <mergeCell ref="B131:J131"/>
    <mergeCell ref="B132:J132"/>
    <mergeCell ref="B133:G133"/>
    <mergeCell ref="I133:J133"/>
    <mergeCell ref="B134:J134"/>
    <mergeCell ref="B135:J135"/>
    <mergeCell ref="B136:G136"/>
    <mergeCell ref="I136:J136"/>
    <mergeCell ref="B137:J137"/>
    <mergeCell ref="B138:G138"/>
    <mergeCell ref="I138:J138"/>
    <mergeCell ref="B139:J139"/>
    <mergeCell ref="A140:G140"/>
    <mergeCell ref="I140:J140"/>
    <mergeCell ref="B142:G142"/>
    <mergeCell ref="I142:J142"/>
    <mergeCell ref="B143:G143"/>
    <mergeCell ref="I143:J143"/>
    <mergeCell ref="B144:J144"/>
    <mergeCell ref="B145:J145"/>
    <mergeCell ref="B146:G146"/>
    <mergeCell ref="I146:J146"/>
    <mergeCell ref="B147:J147"/>
    <mergeCell ref="B148:J148"/>
    <mergeCell ref="B149:G149"/>
    <mergeCell ref="I149:J149"/>
    <mergeCell ref="B150:J150"/>
    <mergeCell ref="B151:J151"/>
    <mergeCell ref="B152:G152"/>
    <mergeCell ref="I152:J152"/>
    <mergeCell ref="B153:J153"/>
    <mergeCell ref="B154:J154"/>
    <mergeCell ref="B155:G155"/>
    <mergeCell ref="I155:J155"/>
    <mergeCell ref="B156:J156"/>
    <mergeCell ref="B157:J157"/>
    <mergeCell ref="B158:G158"/>
    <mergeCell ref="I158:J158"/>
    <mergeCell ref="B159:J159"/>
    <mergeCell ref="B160:J160"/>
    <mergeCell ref="B161:G161"/>
    <mergeCell ref="I161:J161"/>
    <mergeCell ref="B162:J162"/>
    <mergeCell ref="B163:J163"/>
    <mergeCell ref="A164:G164"/>
    <mergeCell ref="I164:J164"/>
    <mergeCell ref="A166:J166"/>
    <mergeCell ref="B167:G167"/>
    <mergeCell ref="I167:J167"/>
    <mergeCell ref="B168:G168"/>
    <mergeCell ref="I168:J168"/>
    <mergeCell ref="B169:G169"/>
    <mergeCell ref="I169:J169"/>
    <mergeCell ref="B170:G170"/>
    <mergeCell ref="I170:J170"/>
    <mergeCell ref="B171:G171"/>
    <mergeCell ref="I171:J171"/>
    <mergeCell ref="B172:G172"/>
    <mergeCell ref="I172:J172"/>
    <mergeCell ref="A173:H173"/>
    <mergeCell ref="I173:J173"/>
    <mergeCell ref="A175:J175"/>
    <mergeCell ref="A177:J177"/>
    <mergeCell ref="B178:G178"/>
    <mergeCell ref="I178:J178"/>
    <mergeCell ref="B179:G179"/>
    <mergeCell ref="I179:J179"/>
    <mergeCell ref="B180:G180"/>
    <mergeCell ref="I180:J180"/>
    <mergeCell ref="B181:G181"/>
    <mergeCell ref="H181:J181"/>
    <mergeCell ref="B182:G182"/>
    <mergeCell ref="H182:J182"/>
    <mergeCell ref="B183:G183"/>
    <mergeCell ref="H183:J183"/>
    <mergeCell ref="B184:G184"/>
    <mergeCell ref="I184:J184"/>
    <mergeCell ref="B185:G185"/>
    <mergeCell ref="I185:J185"/>
    <mergeCell ref="B186:G186"/>
    <mergeCell ref="I186:J186"/>
    <mergeCell ref="A187:H187"/>
    <mergeCell ref="I187:J187"/>
    <mergeCell ref="A189:J189"/>
    <mergeCell ref="B190:G190"/>
    <mergeCell ref="I190:J190"/>
    <mergeCell ref="B191:G191"/>
    <mergeCell ref="I191:J191"/>
    <mergeCell ref="B192:G192"/>
    <mergeCell ref="I192:J192"/>
    <mergeCell ref="B193:G193"/>
    <mergeCell ref="H193:J193"/>
    <mergeCell ref="B194:G194"/>
    <mergeCell ref="H194:J194"/>
    <mergeCell ref="B195:G195"/>
    <mergeCell ref="H195:J195"/>
    <mergeCell ref="B196:G196"/>
    <mergeCell ref="I196:J196"/>
    <mergeCell ref="B197:G197"/>
    <mergeCell ref="I197:J197"/>
    <mergeCell ref="B198:G198"/>
    <mergeCell ref="I198:J198"/>
    <mergeCell ref="A199:H199"/>
    <mergeCell ref="I199:J199"/>
    <mergeCell ref="A201:J201"/>
    <mergeCell ref="B202:G202"/>
    <mergeCell ref="I202:J202"/>
    <mergeCell ref="B203:G203"/>
    <mergeCell ref="I203:J203"/>
    <mergeCell ref="B204:G204"/>
    <mergeCell ref="I204:J204"/>
    <mergeCell ref="B205:G205"/>
    <mergeCell ref="H205:J205"/>
    <mergeCell ref="B206:G206"/>
    <mergeCell ref="H206:J206"/>
    <mergeCell ref="B207:G207"/>
    <mergeCell ref="H207:J207"/>
    <mergeCell ref="B208:G208"/>
    <mergeCell ref="I208:J208"/>
    <mergeCell ref="B209:G209"/>
    <mergeCell ref="I209:J209"/>
    <mergeCell ref="B210:G210"/>
    <mergeCell ref="I210:J210"/>
    <mergeCell ref="A211:H211"/>
    <mergeCell ref="I211:J211"/>
    <mergeCell ref="A213:J213"/>
    <mergeCell ref="B214:G214"/>
    <mergeCell ref="I214:J214"/>
    <mergeCell ref="B215:G215"/>
    <mergeCell ref="I215:J215"/>
    <mergeCell ref="B216:G216"/>
    <mergeCell ref="I216:J216"/>
    <mergeCell ref="B217:G217"/>
    <mergeCell ref="H217:J217"/>
    <mergeCell ref="B218:G218"/>
    <mergeCell ref="H218:J218"/>
    <mergeCell ref="B219:G219"/>
    <mergeCell ref="H219:J219"/>
    <mergeCell ref="B220:G220"/>
    <mergeCell ref="I220:J220"/>
    <mergeCell ref="B221:G221"/>
    <mergeCell ref="I221:J221"/>
    <mergeCell ref="B222:G222"/>
    <mergeCell ref="I222:J222"/>
    <mergeCell ref="A223:H223"/>
    <mergeCell ref="I223:J223"/>
    <mergeCell ref="A225:J225"/>
    <mergeCell ref="B226:G226"/>
    <mergeCell ref="I226:J226"/>
    <mergeCell ref="B227:G227"/>
    <mergeCell ref="I227:J227"/>
    <mergeCell ref="B228:G228"/>
    <mergeCell ref="I228:J228"/>
    <mergeCell ref="B229:G229"/>
    <mergeCell ref="H229:J229"/>
    <mergeCell ref="B230:G230"/>
    <mergeCell ref="H230:J230"/>
    <mergeCell ref="B231:G231"/>
    <mergeCell ref="H231:J231"/>
    <mergeCell ref="B232:G232"/>
    <mergeCell ref="I232:J232"/>
    <mergeCell ref="B233:G233"/>
    <mergeCell ref="I233:J233"/>
    <mergeCell ref="B234:G234"/>
    <mergeCell ref="I234:J234"/>
    <mergeCell ref="A235:H235"/>
    <mergeCell ref="I235:J235"/>
  </mergeCells>
  <hyperlinks>
    <hyperlink ref="K7" location="Início!A7" display="Início"/>
    <hyperlink ref="L7" location="CFM!A7" display="Voltar"/>
    <hyperlink ref="M7" location="'C. F. P. Orient de Tráf'!A7" display="Avançar"/>
    <hyperlink ref="B124" r:id="rId2" display="Os dados de rotatividade da mão de obra para este estudo foram obtidos no CAGED –&#10;Cadastro Geral de Empregados e Desempregados, e podem ser consultados em: http://bi.mte.gov.br/cagedestabelecimento/pages/consulta.xhtml"/>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 F. P. - CAIXA/OPERADOR&amp;C&amp;"Times New Roman,Normal"&amp;10&lt;Inserir nome da empresa&gt;
&lt;Inserir endereço da empresa&gt;
&lt;Inserir telefone da empresa&gt;
&lt;Inserir correio eletrônico da empresa&gt;&amp;R&amp;"Times New Roman,Normal"&amp;10&amp;P/&amp;N</oddFooter>
  </headerFooter>
  <legacyDrawing r:id="rId3"/>
</worksheet>
</file>

<file path=xl/worksheets/sheet9.xml><?xml version="1.0" encoding="utf-8"?>
<worksheet xmlns="http://schemas.openxmlformats.org/spreadsheetml/2006/main" xmlns:r="http://schemas.openxmlformats.org/officeDocument/2006/relationships">
  <sheetPr filterMode="false">
    <pageSetUpPr fitToPage="false"/>
  </sheetPr>
  <dimension ref="A1:Q239"/>
  <sheetViews>
    <sheetView windowProtection="true" showFormulas="false" showGridLines="false" showRowColHeaders="false" showZeros="true" rightToLeft="false" tabSelected="false" showOutlineSymbols="true" defaultGridColor="true" view="normal" topLeftCell="A1" colorId="64" zoomScale="100" zoomScaleNormal="100" zoomScalePageLayoutView="100" workbookViewId="0">
      <pane xSplit="0" ySplit="11" topLeftCell="A12" activePane="bottomLeft" state="frozen"/>
      <selection pane="topLeft" activeCell="A1" activeCellId="0" sqref="A1"/>
      <selection pane="bottomLeft" activeCell="A7" activeCellId="0" sqref="A7"/>
    </sheetView>
  </sheetViews>
  <sheetFormatPr defaultRowHeight="12.75"/>
  <cols>
    <col collapsed="false" hidden="false" max="1" min="1" style="1" width="8.77551020408163"/>
    <col collapsed="false" hidden="false" max="7" min="2" style="1" width="9.04591836734694"/>
    <col collapsed="false" hidden="false" max="8" min="8" style="1" width="9.44897959183673"/>
    <col collapsed="false" hidden="false" max="9" min="9" style="1" width="10.1224489795918"/>
    <col collapsed="false" hidden="false" max="1025" min="10" style="1" width="9.04591836734694"/>
  </cols>
  <sheetData>
    <row r="1" customFormat="false" ht="12.75" hidden="false" customHeight="false" outlineLevel="0" collapsed="false">
      <c r="A1" s="2" t="str">
        <f aca="false">Início!A1</f>
        <v>RAZÃO SOCIAL DA EMPRESA:</v>
      </c>
      <c r="B1" s="2"/>
      <c r="C1" s="2"/>
      <c r="D1" s="2"/>
      <c r="E1" s="2"/>
      <c r="F1" s="2"/>
      <c r="G1" s="2"/>
      <c r="H1" s="2"/>
      <c r="I1" s="2"/>
      <c r="J1" s="2"/>
    </row>
    <row r="2" customFormat="false" ht="12.75" hidden="false" customHeight="false" outlineLevel="0" collapsed="false">
      <c r="A2" s="2" t="str">
        <f aca="false">Início!A2</f>
        <v>Endereço:</v>
      </c>
      <c r="B2" s="2"/>
      <c r="C2" s="2"/>
      <c r="D2" s="2"/>
      <c r="E2" s="2"/>
      <c r="F2" s="2"/>
      <c r="G2" s="2"/>
      <c r="H2" s="2"/>
      <c r="I2" s="2"/>
      <c r="J2" s="2"/>
    </row>
    <row r="3" customFormat="false" ht="12.75" hidden="false" customHeight="false" outlineLevel="0" collapsed="false">
      <c r="A3" s="2" t="str">
        <f aca="false">Início!A3</f>
        <v>CNPJ:</v>
      </c>
      <c r="B3" s="2"/>
      <c r="C3" s="2"/>
      <c r="D3" s="2"/>
      <c r="E3" s="2"/>
      <c r="F3" s="2"/>
      <c r="G3" s="2"/>
      <c r="H3" s="2"/>
      <c r="I3" s="2"/>
      <c r="J3" s="2"/>
    </row>
    <row r="4" customFormat="false" ht="12.75" hidden="false" customHeight="false" outlineLevel="0" collapsed="false">
      <c r="A4" s="2" t="str">
        <f aca="false">Início!A4</f>
        <v>Telefone</v>
      </c>
      <c r="B4" s="2"/>
      <c r="C4" s="2"/>
      <c r="D4" s="2"/>
      <c r="E4" s="2"/>
      <c r="F4" s="2"/>
      <c r="G4" s="2"/>
      <c r="H4" s="2"/>
      <c r="I4" s="2"/>
      <c r="J4" s="2"/>
    </row>
    <row r="5" customFormat="false" ht="12.75" hidden="false" customHeight="false" outlineLevel="0" collapsed="false">
      <c r="A5" s="2" t="str">
        <f aca="false">Início!A5</f>
        <v>E-mail:</v>
      </c>
      <c r="B5" s="2"/>
      <c r="C5" s="2"/>
      <c r="D5" s="2"/>
      <c r="E5" s="2"/>
      <c r="F5" s="2"/>
      <c r="G5" s="2"/>
      <c r="H5" s="2"/>
      <c r="I5" s="2"/>
      <c r="J5" s="2"/>
    </row>
    <row r="6" customFormat="false" ht="12.75" hidden="false" customHeight="false" outlineLevel="0" collapsed="false">
      <c r="A6" s="2"/>
      <c r="B6" s="2"/>
      <c r="C6" s="2"/>
      <c r="D6" s="2"/>
      <c r="E6" s="2"/>
      <c r="F6" s="2"/>
      <c r="G6" s="2"/>
      <c r="H6" s="2"/>
      <c r="I6" s="2"/>
      <c r="J6" s="2"/>
    </row>
    <row r="7" customFormat="false" ht="12.75" hidden="false" customHeight="false" outlineLevel="0" collapsed="false">
      <c r="A7" s="3" t="s">
        <v>529</v>
      </c>
      <c r="B7" s="3"/>
      <c r="C7" s="3"/>
      <c r="D7" s="3"/>
      <c r="E7" s="3"/>
      <c r="F7" s="3"/>
      <c r="G7" s="3"/>
      <c r="H7" s="3"/>
      <c r="I7" s="3"/>
      <c r="J7" s="3"/>
      <c r="K7" s="26" t="s">
        <v>12</v>
      </c>
      <c r="L7" s="13" t="s">
        <v>45</v>
      </c>
      <c r="M7" s="5" t="s">
        <v>6</v>
      </c>
    </row>
    <row r="9" customFormat="false" ht="12.75" hidden="false" customHeight="false" outlineLevel="0" collapsed="false">
      <c r="A9" s="12" t="s">
        <v>374</v>
      </c>
    </row>
    <row r="10" customFormat="false" ht="12.75" hidden="false" customHeight="false" outlineLevel="0" collapsed="false">
      <c r="A10" s="1" t="s">
        <v>375</v>
      </c>
    </row>
    <row r="11" customFormat="false" ht="30" hidden="false" customHeight="true" outlineLevel="0" collapsed="false">
      <c r="A11" s="99" t="s">
        <v>376</v>
      </c>
      <c r="B11" s="99"/>
      <c r="C11" s="99"/>
      <c r="D11" s="99"/>
      <c r="E11" s="99"/>
      <c r="F11" s="99"/>
      <c r="G11" s="99"/>
      <c r="H11" s="99"/>
      <c r="I11" s="99"/>
      <c r="J11" s="99"/>
    </row>
    <row r="12" customFormat="false" ht="12.75" hidden="false" customHeight="false" outlineLevel="0" collapsed="false">
      <c r="B12" s="1" t="s">
        <v>377</v>
      </c>
    </row>
    <row r="13" customFormat="false" ht="12.75" hidden="false" customHeight="false" outlineLevel="0" collapsed="false">
      <c r="B13" s="1" t="s">
        <v>378</v>
      </c>
    </row>
    <row r="14" customFormat="false" ht="12.75" hidden="false" customHeight="false" outlineLevel="0" collapsed="false">
      <c r="B14" s="1" t="s">
        <v>379</v>
      </c>
    </row>
    <row r="15" customFormat="false" ht="12.75" hidden="false" customHeight="false" outlineLevel="0" collapsed="false">
      <c r="B15" s="1" t="s">
        <v>380</v>
      </c>
    </row>
    <row r="16" customFormat="false" ht="12.75" hidden="false" customHeight="false" outlineLevel="0" collapsed="false">
      <c r="B16" s="1" t="s">
        <v>381</v>
      </c>
    </row>
    <row r="18" customFormat="false" ht="12.75" hidden="false" customHeight="false" outlineLevel="0" collapsed="false">
      <c r="A18" s="27" t="s">
        <v>104</v>
      </c>
      <c r="B18" s="27"/>
      <c r="C18" s="27"/>
      <c r="D18" s="27"/>
      <c r="E18" s="27"/>
      <c r="F18" s="27"/>
      <c r="G18" s="27"/>
      <c r="H18" s="27"/>
      <c r="I18" s="27"/>
      <c r="J18" s="27"/>
    </row>
    <row r="20" customFormat="false" ht="12.75" hidden="false" customHeight="false" outlineLevel="0" collapsed="false">
      <c r="A20" s="28" t="s">
        <v>382</v>
      </c>
      <c r="B20" s="28"/>
      <c r="C20" s="28"/>
      <c r="D20" s="28"/>
      <c r="E20" s="28"/>
      <c r="F20" s="28"/>
      <c r="G20" s="28"/>
      <c r="H20" s="28"/>
      <c r="I20" s="28"/>
      <c r="J20" s="28"/>
    </row>
    <row r="21" customFormat="false" ht="28.5" hidden="false" customHeight="true" outlineLevel="0" collapsed="false">
      <c r="A21" s="19" t="n">
        <v>1</v>
      </c>
      <c r="B21" s="21" t="s">
        <v>383</v>
      </c>
      <c r="C21" s="21"/>
      <c r="D21" s="21"/>
      <c r="E21" s="21"/>
      <c r="F21" s="21"/>
      <c r="G21" s="21"/>
      <c r="H21" s="100" t="s">
        <v>530</v>
      </c>
      <c r="I21" s="100"/>
      <c r="J21" s="100"/>
    </row>
    <row r="22" customFormat="false" ht="12.75" hidden="false" customHeight="true" outlineLevel="0" collapsed="false">
      <c r="A22" s="19" t="n">
        <v>2</v>
      </c>
      <c r="B22" s="21" t="s">
        <v>385</v>
      </c>
      <c r="C22" s="21"/>
      <c r="D22" s="21"/>
      <c r="E22" s="21"/>
      <c r="F22" s="21"/>
      <c r="G22" s="21"/>
      <c r="H22" s="101" t="n">
        <v>1137</v>
      </c>
      <c r="I22" s="101"/>
      <c r="J22" s="101"/>
    </row>
    <row r="23" customFormat="false" ht="12.75" hidden="false" customHeight="true" outlineLevel="0" collapsed="false">
      <c r="A23" s="30" t="s">
        <v>108</v>
      </c>
      <c r="B23" s="31" t="s">
        <v>386</v>
      </c>
      <c r="C23" s="31"/>
      <c r="D23" s="31"/>
      <c r="E23" s="31"/>
      <c r="F23" s="31"/>
      <c r="G23" s="31"/>
      <c r="H23" s="31"/>
      <c r="I23" s="31"/>
      <c r="J23" s="31"/>
    </row>
    <row r="24" customFormat="false" ht="12.75" hidden="false" customHeight="true" outlineLevel="0" collapsed="false">
      <c r="A24" s="19" t="n">
        <v>3</v>
      </c>
      <c r="B24" s="21" t="s">
        <v>387</v>
      </c>
      <c r="C24" s="21"/>
      <c r="D24" s="21"/>
      <c r="E24" s="21"/>
      <c r="F24" s="21"/>
      <c r="G24" s="21"/>
      <c r="H24" s="102" t="s">
        <v>388</v>
      </c>
      <c r="I24" s="102"/>
      <c r="J24" s="102"/>
    </row>
    <row r="25" customFormat="false" ht="12.75" hidden="false" customHeight="true" outlineLevel="0" collapsed="false">
      <c r="A25" s="30" t="s">
        <v>108</v>
      </c>
      <c r="B25" s="31" t="s">
        <v>389</v>
      </c>
      <c r="C25" s="31"/>
      <c r="D25" s="31"/>
      <c r="E25" s="31"/>
      <c r="F25" s="31"/>
      <c r="G25" s="31"/>
      <c r="H25" s="31"/>
      <c r="I25" s="31"/>
      <c r="J25" s="31"/>
    </row>
    <row r="26" customFormat="false" ht="12.75" hidden="false" customHeight="true" outlineLevel="0" collapsed="false">
      <c r="A26" s="19" t="n">
        <v>4</v>
      </c>
      <c r="B26" s="21" t="s">
        <v>390</v>
      </c>
      <c r="C26" s="21"/>
      <c r="D26" s="21"/>
      <c r="E26" s="21"/>
      <c r="F26" s="21"/>
      <c r="G26" s="21"/>
      <c r="H26" s="102" t="s">
        <v>531</v>
      </c>
      <c r="I26" s="102"/>
      <c r="J26" s="102"/>
    </row>
    <row r="27" customFormat="false" ht="24.75" hidden="false" customHeight="true" outlineLevel="0" collapsed="false">
      <c r="A27" s="30" t="s">
        <v>108</v>
      </c>
      <c r="B27" s="31" t="s">
        <v>392</v>
      </c>
      <c r="C27" s="31"/>
      <c r="D27" s="31"/>
      <c r="E27" s="31"/>
      <c r="F27" s="31"/>
      <c r="G27" s="31"/>
      <c r="H27" s="31"/>
      <c r="I27" s="31"/>
      <c r="J27" s="31"/>
    </row>
    <row r="28" customFormat="false" ht="12.75" hidden="false" customHeight="true" outlineLevel="0" collapsed="false">
      <c r="A28" s="19" t="n">
        <v>5</v>
      </c>
      <c r="B28" s="21" t="s">
        <v>393</v>
      </c>
      <c r="C28" s="21"/>
      <c r="D28" s="21"/>
      <c r="E28" s="21"/>
      <c r="F28" s="21"/>
      <c r="G28" s="21"/>
      <c r="H28" s="102" t="s">
        <v>394</v>
      </c>
      <c r="I28" s="102"/>
      <c r="J28" s="102"/>
    </row>
    <row r="29" customFormat="false" ht="24.75" hidden="false" customHeight="true" outlineLevel="0" collapsed="false">
      <c r="A29" s="30" t="s">
        <v>108</v>
      </c>
      <c r="B29" s="31" t="s">
        <v>395</v>
      </c>
      <c r="C29" s="31"/>
      <c r="D29" s="31"/>
      <c r="E29" s="31"/>
      <c r="F29" s="31"/>
      <c r="G29" s="31"/>
      <c r="H29" s="31"/>
      <c r="I29" s="31"/>
      <c r="J29" s="31"/>
    </row>
    <row r="31" customFormat="false" ht="13.5" hidden="false" customHeight="true" outlineLevel="0" collapsed="false">
      <c r="A31" s="103" t="s">
        <v>396</v>
      </c>
      <c r="B31" s="104" t="s">
        <v>397</v>
      </c>
      <c r="C31" s="104"/>
      <c r="D31" s="104"/>
      <c r="E31" s="104"/>
      <c r="F31" s="104"/>
      <c r="G31" s="104"/>
      <c r="H31" s="104"/>
      <c r="I31" s="104"/>
      <c r="J31" s="104"/>
    </row>
    <row r="32" customFormat="false" ht="12.75" hidden="false" customHeight="true" outlineLevel="0" collapsed="false">
      <c r="A32" s="16" t="n">
        <v>1</v>
      </c>
      <c r="B32" s="105" t="s">
        <v>398</v>
      </c>
      <c r="C32" s="105"/>
      <c r="D32" s="105"/>
      <c r="E32" s="105"/>
      <c r="F32" s="105"/>
      <c r="G32" s="105"/>
      <c r="H32" s="106" t="s">
        <v>399</v>
      </c>
      <c r="I32" s="106"/>
      <c r="J32" s="106"/>
    </row>
    <row r="33" customFormat="false" ht="12.75" hidden="false" customHeight="true" outlineLevel="0" collapsed="false">
      <c r="A33" s="19" t="s">
        <v>400</v>
      </c>
      <c r="B33" s="21" t="s">
        <v>401</v>
      </c>
      <c r="C33" s="21"/>
      <c r="D33" s="21"/>
      <c r="E33" s="21"/>
      <c r="F33" s="21"/>
      <c r="G33" s="21"/>
      <c r="H33" s="107" t="n">
        <v>1137</v>
      </c>
      <c r="I33" s="107"/>
      <c r="J33" s="107"/>
    </row>
    <row r="34" customFormat="false" ht="12.75" hidden="false" customHeight="true" outlineLevel="0" collapsed="false">
      <c r="A34" s="108" t="s">
        <v>108</v>
      </c>
      <c r="B34" s="109" t="s">
        <v>402</v>
      </c>
      <c r="C34" s="109"/>
      <c r="D34" s="109"/>
      <c r="E34" s="109"/>
      <c r="F34" s="109"/>
      <c r="G34" s="109"/>
      <c r="H34" s="109"/>
      <c r="I34" s="109"/>
      <c r="J34" s="109"/>
    </row>
    <row r="35" customFormat="false" ht="12.75" hidden="false" customHeight="true" outlineLevel="0" collapsed="false">
      <c r="A35" s="19" t="s">
        <v>403</v>
      </c>
      <c r="B35" s="111" t="s">
        <v>407</v>
      </c>
      <c r="C35" s="111"/>
      <c r="D35" s="111"/>
      <c r="E35" s="111"/>
      <c r="F35" s="111"/>
      <c r="G35" s="111"/>
      <c r="H35" s="107" t="n">
        <v>0</v>
      </c>
      <c r="I35" s="107"/>
      <c r="J35" s="107"/>
    </row>
    <row r="36" customFormat="false" ht="12.75" hidden="false" customHeight="true" outlineLevel="0" collapsed="false">
      <c r="A36" s="108" t="s">
        <v>108</v>
      </c>
      <c r="B36" s="109" t="s">
        <v>408</v>
      </c>
      <c r="C36" s="109"/>
      <c r="D36" s="109"/>
      <c r="E36" s="109"/>
      <c r="F36" s="109"/>
      <c r="G36" s="109"/>
      <c r="H36" s="109"/>
      <c r="I36" s="109"/>
      <c r="J36" s="109"/>
    </row>
    <row r="37" customFormat="false" ht="12.75" hidden="false" customHeight="false" outlineLevel="0" collapsed="false">
      <c r="A37" s="16" t="str">
        <f aca="false">"Total do "&amp;A31</f>
        <v>Total do Módulo1</v>
      </c>
      <c r="B37" s="16"/>
      <c r="C37" s="16"/>
      <c r="D37" s="16"/>
      <c r="E37" s="16"/>
      <c r="F37" s="16"/>
      <c r="G37" s="16"/>
      <c r="H37" s="112" t="n">
        <f aca="false">SUM(H33,H35)</f>
        <v>1137</v>
      </c>
      <c r="I37" s="112"/>
      <c r="J37" s="112"/>
    </row>
    <row r="39" customFormat="false" ht="13.5" hidden="false" customHeight="true" outlineLevel="0" collapsed="false">
      <c r="A39" s="103" t="s">
        <v>409</v>
      </c>
      <c r="B39" s="104" t="s">
        <v>410</v>
      </c>
      <c r="C39" s="104"/>
      <c r="D39" s="104"/>
      <c r="E39" s="104"/>
      <c r="F39" s="104"/>
      <c r="G39" s="104"/>
      <c r="H39" s="104"/>
      <c r="I39" s="104"/>
      <c r="J39" s="104"/>
    </row>
    <row r="40" customFormat="false" ht="12.75" hidden="false" customHeight="true" outlineLevel="0" collapsed="false">
      <c r="A40" s="16" t="n">
        <v>2</v>
      </c>
      <c r="B40" s="105" t="s">
        <v>410</v>
      </c>
      <c r="C40" s="105"/>
      <c r="D40" s="105"/>
      <c r="E40" s="105"/>
      <c r="F40" s="105"/>
      <c r="G40" s="105"/>
      <c r="H40" s="106" t="s">
        <v>399</v>
      </c>
      <c r="I40" s="106"/>
      <c r="J40" s="106"/>
    </row>
    <row r="41" customFormat="false" ht="12.75" hidden="false" customHeight="true" outlineLevel="0" collapsed="false">
      <c r="A41" s="19" t="s">
        <v>400</v>
      </c>
      <c r="B41" s="21" t="s">
        <v>411</v>
      </c>
      <c r="C41" s="21"/>
      <c r="D41" s="21"/>
      <c r="E41" s="21"/>
      <c r="F41" s="21"/>
      <c r="G41" s="21"/>
      <c r="H41" s="107" t="n">
        <f aca="false">IF((3.8*2*22-0.06*$H$37)&gt;0,3.8*2*22-0.06*$H$37,0)</f>
        <v>98.98</v>
      </c>
      <c r="I41" s="107"/>
      <c r="J41" s="107"/>
    </row>
    <row r="42" customFormat="false" ht="12.75" hidden="false" customHeight="true" outlineLevel="0" collapsed="false">
      <c r="A42" s="108" t="s">
        <v>412</v>
      </c>
      <c r="B42" s="109" t="s">
        <v>413</v>
      </c>
      <c r="C42" s="109"/>
      <c r="D42" s="109"/>
      <c r="E42" s="109"/>
      <c r="F42" s="109"/>
      <c r="G42" s="109"/>
      <c r="H42" s="109"/>
      <c r="I42" s="109"/>
      <c r="J42" s="109"/>
    </row>
    <row r="43" customFormat="false" ht="32.25" hidden="false" customHeight="true" outlineLevel="0" collapsed="false">
      <c r="A43" s="108" t="s">
        <v>414</v>
      </c>
      <c r="B43" s="109" t="s">
        <v>415</v>
      </c>
      <c r="C43" s="109"/>
      <c r="D43" s="109"/>
      <c r="E43" s="109"/>
      <c r="F43" s="109"/>
      <c r="G43" s="109"/>
      <c r="H43" s="109"/>
      <c r="I43" s="109"/>
      <c r="J43" s="109"/>
    </row>
    <row r="44" customFormat="false" ht="12.75" hidden="false" customHeight="true" outlineLevel="0" collapsed="false">
      <c r="A44" s="108" t="s">
        <v>364</v>
      </c>
      <c r="B44" s="109" t="s">
        <v>416</v>
      </c>
      <c r="C44" s="109"/>
      <c r="D44" s="109"/>
      <c r="E44" s="109"/>
      <c r="F44" s="109"/>
      <c r="G44" s="109"/>
      <c r="H44" s="109"/>
      <c r="I44" s="109"/>
      <c r="J44" s="109"/>
      <c r="L44" s="113"/>
    </row>
    <row r="45" customFormat="false" ht="12.75" hidden="false" customHeight="true" outlineLevel="0" collapsed="false">
      <c r="A45" s="19" t="s">
        <v>417</v>
      </c>
      <c r="B45" s="21" t="s">
        <v>418</v>
      </c>
      <c r="C45" s="21"/>
      <c r="D45" s="21"/>
      <c r="E45" s="21"/>
      <c r="F45" s="21"/>
      <c r="G45" s="21"/>
      <c r="H45" s="110" t="n">
        <f aca="false">IF('DI, Tri e Pag'!$H$12:$J$12='DI, Tri e Pag'!$L$12,-('DI, Tri e Pag'!$H$23+'DI, Tri e Pag'!$H$24)*'C. F. P. Orient de Tráf'!H41,0)</f>
        <v>0</v>
      </c>
      <c r="I45" s="110"/>
      <c r="J45" s="110"/>
    </row>
    <row r="46" customFormat="false" ht="44.25" hidden="false" customHeight="true" outlineLevel="0" collapsed="false">
      <c r="A46" s="30" t="s">
        <v>419</v>
      </c>
      <c r="B46" s="31" t="s">
        <v>420</v>
      </c>
      <c r="C46" s="31"/>
      <c r="D46" s="31"/>
      <c r="E46" s="31"/>
      <c r="F46" s="31"/>
      <c r="G46" s="31"/>
      <c r="H46" s="31"/>
      <c r="I46" s="31"/>
      <c r="J46" s="31"/>
    </row>
    <row r="47" customFormat="false" ht="12.75" hidden="false" customHeight="true" outlineLevel="0" collapsed="false">
      <c r="A47" s="140" t="s">
        <v>403</v>
      </c>
      <c r="B47" s="111" t="s">
        <v>407</v>
      </c>
      <c r="C47" s="111"/>
      <c r="D47" s="111"/>
      <c r="E47" s="111"/>
      <c r="F47" s="111"/>
      <c r="G47" s="111"/>
      <c r="H47" s="107"/>
      <c r="I47" s="107"/>
      <c r="J47" s="107"/>
    </row>
    <row r="48" customFormat="false" ht="12.75" hidden="false" customHeight="true" outlineLevel="0" collapsed="false">
      <c r="A48" s="108" t="s">
        <v>419</v>
      </c>
      <c r="B48" s="109" t="s">
        <v>408</v>
      </c>
      <c r="C48" s="109"/>
      <c r="D48" s="109"/>
      <c r="E48" s="109"/>
      <c r="F48" s="109"/>
      <c r="G48" s="109"/>
      <c r="H48" s="109"/>
      <c r="I48" s="109"/>
      <c r="J48" s="109"/>
    </row>
    <row r="49" customFormat="false" ht="12.75" hidden="false" customHeight="false" outlineLevel="0" collapsed="false">
      <c r="A49" s="16" t="str">
        <f aca="false">"Total do "&amp;A39</f>
        <v>Total do Módulo2 </v>
      </c>
      <c r="B49" s="16"/>
      <c r="C49" s="16"/>
      <c r="D49" s="16"/>
      <c r="E49" s="16"/>
      <c r="F49" s="16"/>
      <c r="G49" s="16"/>
      <c r="H49" s="112" t="n">
        <f aca="false">SUM(H41,H45,H47)</f>
        <v>98.98</v>
      </c>
      <c r="I49" s="112"/>
      <c r="J49" s="112"/>
    </row>
    <row r="51" customFormat="false" ht="15" hidden="false" customHeight="true" outlineLevel="0" collapsed="false">
      <c r="A51" s="103" t="s">
        <v>421</v>
      </c>
      <c r="B51" s="104" t="s">
        <v>422</v>
      </c>
      <c r="C51" s="104"/>
      <c r="D51" s="104"/>
      <c r="E51" s="104"/>
      <c r="F51" s="104"/>
      <c r="G51" s="104"/>
      <c r="H51" s="104"/>
      <c r="I51" s="104"/>
      <c r="J51" s="104"/>
    </row>
    <row r="52" customFormat="false" ht="12.75" hidden="false" customHeight="true" outlineLevel="0" collapsed="false">
      <c r="A52" s="16" t="s">
        <v>348</v>
      </c>
      <c r="B52" s="105" t="s">
        <v>532</v>
      </c>
      <c r="C52" s="105"/>
      <c r="D52" s="105"/>
      <c r="E52" s="105"/>
      <c r="F52" s="105"/>
      <c r="G52" s="105"/>
      <c r="H52" s="114" t="s">
        <v>424</v>
      </c>
      <c r="I52" s="114" t="s">
        <v>425</v>
      </c>
      <c r="J52" s="114" t="s">
        <v>426</v>
      </c>
    </row>
    <row r="53" customFormat="false" ht="12.75" hidden="false" customHeight="true" outlineLevel="0" collapsed="false">
      <c r="A53" s="19" t="s">
        <v>400</v>
      </c>
      <c r="B53" s="21" t="s">
        <v>427</v>
      </c>
      <c r="C53" s="21"/>
      <c r="D53" s="21"/>
      <c r="E53" s="21"/>
      <c r="F53" s="21"/>
      <c r="G53" s="21"/>
      <c r="H53" s="115" t="n">
        <v>2</v>
      </c>
      <c r="I53" s="116"/>
      <c r="J53" s="117" t="n">
        <f aca="false">H53*I53/12</f>
        <v>0</v>
      </c>
    </row>
    <row r="54" customFormat="false" ht="12.75" hidden="false" customHeight="true" outlineLevel="0" collapsed="false">
      <c r="A54" s="19" t="s">
        <v>403</v>
      </c>
      <c r="B54" s="21" t="s">
        <v>428</v>
      </c>
      <c r="C54" s="21"/>
      <c r="D54" s="21"/>
      <c r="E54" s="21"/>
      <c r="F54" s="21"/>
      <c r="G54" s="21"/>
      <c r="H54" s="115" t="n">
        <v>2</v>
      </c>
      <c r="I54" s="116"/>
      <c r="J54" s="117" t="n">
        <f aca="false">H54*I54/12</f>
        <v>0</v>
      </c>
    </row>
    <row r="55" customFormat="false" ht="12.75" hidden="false" customHeight="true" outlineLevel="0" collapsed="false">
      <c r="A55" s="19" t="s">
        <v>406</v>
      </c>
      <c r="B55" s="21" t="s">
        <v>429</v>
      </c>
      <c r="C55" s="21"/>
      <c r="D55" s="21"/>
      <c r="E55" s="21"/>
      <c r="F55" s="21"/>
      <c r="G55" s="21"/>
      <c r="H55" s="115" t="n">
        <v>2</v>
      </c>
      <c r="I55" s="116"/>
      <c r="J55" s="117" t="n">
        <f aca="false">H55*I55/12</f>
        <v>0</v>
      </c>
    </row>
    <row r="56" customFormat="false" ht="12.75" hidden="false" customHeight="true" outlineLevel="0" collapsed="false">
      <c r="A56" s="19" t="s">
        <v>430</v>
      </c>
      <c r="B56" s="21" t="s">
        <v>431</v>
      </c>
      <c r="C56" s="21"/>
      <c r="D56" s="21"/>
      <c r="E56" s="21"/>
      <c r="F56" s="21"/>
      <c r="G56" s="21"/>
      <c r="H56" s="115" t="n">
        <v>2</v>
      </c>
      <c r="I56" s="116"/>
      <c r="J56" s="117" t="n">
        <f aca="false">H56*I56/12</f>
        <v>0</v>
      </c>
    </row>
    <row r="57" customFormat="false" ht="12.75" hidden="false" customHeight="true" outlineLevel="0" collapsed="false">
      <c r="A57" s="19" t="s">
        <v>432</v>
      </c>
      <c r="B57" s="21" t="s">
        <v>533</v>
      </c>
      <c r="C57" s="21"/>
      <c r="D57" s="21"/>
      <c r="E57" s="21"/>
      <c r="F57" s="21"/>
      <c r="G57" s="21"/>
      <c r="H57" s="115" t="n">
        <v>2</v>
      </c>
      <c r="I57" s="116"/>
      <c r="J57" s="117" t="n">
        <f aca="false">H57*I57/12</f>
        <v>0</v>
      </c>
      <c r="M57" s="119"/>
    </row>
    <row r="58" customFormat="false" ht="12.75" hidden="false" customHeight="true" outlineLevel="0" collapsed="false">
      <c r="A58" s="19" t="s">
        <v>434</v>
      </c>
      <c r="B58" s="21" t="s">
        <v>534</v>
      </c>
      <c r="C58" s="21"/>
      <c r="D58" s="21"/>
      <c r="E58" s="21"/>
      <c r="F58" s="21"/>
      <c r="G58" s="21"/>
      <c r="H58" s="115" t="n">
        <v>2</v>
      </c>
      <c r="I58" s="116"/>
      <c r="J58" s="117" t="n">
        <f aca="false">H58*I58/12</f>
        <v>0</v>
      </c>
      <c r="M58" s="119"/>
    </row>
    <row r="59" customFormat="false" ht="12.75" hidden="false" customHeight="true" outlineLevel="0" collapsed="false">
      <c r="A59" s="19" t="s">
        <v>438</v>
      </c>
      <c r="B59" s="21" t="s">
        <v>535</v>
      </c>
      <c r="C59" s="21"/>
      <c r="D59" s="21"/>
      <c r="E59" s="21"/>
      <c r="F59" s="21"/>
      <c r="G59" s="21"/>
      <c r="H59" s="115" t="n">
        <v>2</v>
      </c>
      <c r="I59" s="116"/>
      <c r="J59" s="117" t="n">
        <f aca="false">H59*I59/12</f>
        <v>0</v>
      </c>
      <c r="M59" s="119"/>
    </row>
    <row r="60" customFormat="false" ht="68.25" hidden="false" customHeight="true" outlineLevel="0" collapsed="false">
      <c r="A60" s="19" t="s">
        <v>467</v>
      </c>
      <c r="B60" s="21" t="s">
        <v>433</v>
      </c>
      <c r="C60" s="21"/>
      <c r="D60" s="21"/>
      <c r="E60" s="21"/>
      <c r="F60" s="21"/>
      <c r="G60" s="21"/>
      <c r="H60" s="115" t="n">
        <v>2</v>
      </c>
      <c r="I60" s="116"/>
      <c r="J60" s="117" t="n">
        <f aca="false">H60*I60/12</f>
        <v>0</v>
      </c>
    </row>
    <row r="61" customFormat="false" ht="12.75" hidden="false" customHeight="true" outlineLevel="0" collapsed="false">
      <c r="A61" s="19" t="s">
        <v>536</v>
      </c>
      <c r="B61" s="111" t="s">
        <v>407</v>
      </c>
      <c r="C61" s="111"/>
      <c r="D61" s="111"/>
      <c r="E61" s="111"/>
      <c r="F61" s="111"/>
      <c r="G61" s="111"/>
      <c r="H61" s="115" t="n">
        <v>2</v>
      </c>
      <c r="I61" s="116"/>
      <c r="J61" s="117" t="n">
        <f aca="false">H61*I61/12</f>
        <v>0</v>
      </c>
    </row>
    <row r="62" customFormat="false" ht="12.75" hidden="false" customHeight="true" outlineLevel="0" collapsed="false">
      <c r="A62" s="30" t="s">
        <v>412</v>
      </c>
      <c r="B62" s="31" t="s">
        <v>435</v>
      </c>
      <c r="C62" s="31"/>
      <c r="D62" s="31"/>
      <c r="E62" s="31"/>
      <c r="F62" s="31"/>
      <c r="G62" s="31"/>
      <c r="H62" s="31"/>
      <c r="I62" s="31"/>
      <c r="J62" s="31"/>
    </row>
    <row r="63" customFormat="false" ht="12.75" hidden="true" customHeight="true" outlineLevel="0" collapsed="false">
      <c r="A63" s="30" t="s">
        <v>414</v>
      </c>
      <c r="B63" s="31" t="s">
        <v>436</v>
      </c>
      <c r="C63" s="31"/>
      <c r="D63" s="31"/>
      <c r="E63" s="31"/>
      <c r="F63" s="31"/>
      <c r="G63" s="31"/>
      <c r="H63" s="31"/>
      <c r="I63" s="31"/>
      <c r="J63" s="31"/>
    </row>
    <row r="64" customFormat="false" ht="12.75" hidden="false" customHeight="true" outlineLevel="0" collapsed="false">
      <c r="A64" s="30" t="s">
        <v>364</v>
      </c>
      <c r="B64" s="31" t="s">
        <v>437</v>
      </c>
      <c r="C64" s="31"/>
      <c r="D64" s="31"/>
      <c r="E64" s="31"/>
      <c r="F64" s="31"/>
      <c r="G64" s="31"/>
      <c r="H64" s="31"/>
      <c r="I64" s="31"/>
      <c r="J64" s="31"/>
    </row>
    <row r="65" customFormat="false" ht="12.75" hidden="false" customHeight="true" outlineLevel="0" collapsed="false">
      <c r="A65" s="19" t="s">
        <v>438</v>
      </c>
      <c r="B65" s="21" t="s">
        <v>418</v>
      </c>
      <c r="C65" s="21"/>
      <c r="D65" s="21"/>
      <c r="E65" s="21"/>
      <c r="F65" s="21"/>
      <c r="G65" s="21"/>
      <c r="H65" s="110" t="n">
        <f aca="false">IF('DI, Tri e Pag'!$H$12:$J$12='DI, Tri e Pag'!$L$12,-('DI, Tri e Pag'!$H$23+'DI, Tri e Pag'!$H$24)*SUM(J53:J61),0)</f>
        <v>0</v>
      </c>
      <c r="I65" s="110"/>
      <c r="J65" s="110"/>
    </row>
    <row r="66" customFormat="false" ht="41.25" hidden="false" customHeight="true" outlineLevel="0" collapsed="false">
      <c r="A66" s="30" t="s">
        <v>419</v>
      </c>
      <c r="B66" s="31" t="str">
        <f aca="false">B46</f>
        <v>Calculado apenas quando o regime de incidência da contribuição para o PIS/COFINS for não cumulativo. Neste regime é permitido o desconto de créditos apurados com base em custos, despesas e encargos sociais. Fundamentação: Lei 10637/2002 e Lei 10.833/2003</v>
      </c>
      <c r="C66" s="31"/>
      <c r="D66" s="31"/>
      <c r="E66" s="31"/>
      <c r="F66" s="31"/>
      <c r="G66" s="31"/>
      <c r="H66" s="31"/>
      <c r="I66" s="31"/>
      <c r="J66" s="31"/>
    </row>
    <row r="67" customFormat="false" ht="12.75" hidden="false" customHeight="false" outlineLevel="0" collapsed="false">
      <c r="A67" s="16" t="str">
        <f aca="false">"Total do Submódulo "&amp;A52</f>
        <v>Total do Submódulo 3.1</v>
      </c>
      <c r="B67" s="16"/>
      <c r="C67" s="16"/>
      <c r="D67" s="16"/>
      <c r="E67" s="16"/>
      <c r="F67" s="16"/>
      <c r="G67" s="16"/>
      <c r="H67" s="112" t="n">
        <f aca="false">SUM(J53:J61,H65)</f>
        <v>0</v>
      </c>
      <c r="I67" s="112"/>
      <c r="J67" s="112"/>
    </row>
    <row r="69" customFormat="false" ht="12.75" hidden="false" customHeight="true" outlineLevel="0" collapsed="false">
      <c r="A69" s="16" t="s">
        <v>439</v>
      </c>
      <c r="B69" s="83" t="s">
        <v>440</v>
      </c>
      <c r="C69" s="83"/>
      <c r="D69" s="83"/>
      <c r="E69" s="83"/>
      <c r="F69" s="18" t="s">
        <v>441</v>
      </c>
      <c r="G69" s="18" t="s">
        <v>442</v>
      </c>
      <c r="H69" s="18"/>
      <c r="I69" s="114" t="s">
        <v>425</v>
      </c>
      <c r="J69" s="114" t="s">
        <v>426</v>
      </c>
    </row>
    <row r="70" customFormat="false" ht="16.5" hidden="false" customHeight="true" outlineLevel="0" collapsed="false">
      <c r="A70" s="19" t="s">
        <v>400</v>
      </c>
      <c r="B70" s="11" t="s">
        <v>443</v>
      </c>
      <c r="C70" s="11"/>
      <c r="D70" s="11"/>
      <c r="E70" s="11"/>
      <c r="F70" s="118" t="n">
        <v>0.5</v>
      </c>
      <c r="G70" s="33" t="n">
        <v>60</v>
      </c>
      <c r="H70" s="33"/>
      <c r="I70" s="116"/>
      <c r="J70" s="117" t="n">
        <f aca="false">IFERROR(F70*I70/G70," ")</f>
        <v>0</v>
      </c>
      <c r="M70" s="119"/>
    </row>
    <row r="71" customFormat="false" ht="16.5" hidden="false" customHeight="true" outlineLevel="0" collapsed="false">
      <c r="A71" s="19" t="s">
        <v>403</v>
      </c>
      <c r="B71" s="11" t="s">
        <v>537</v>
      </c>
      <c r="C71" s="11"/>
      <c r="D71" s="11"/>
      <c r="E71" s="11"/>
      <c r="F71" s="118" t="n">
        <v>1</v>
      </c>
      <c r="G71" s="33" t="n">
        <v>30</v>
      </c>
      <c r="H71" s="33"/>
      <c r="I71" s="116"/>
      <c r="J71" s="117" t="n">
        <f aca="false">IFERROR(F71*I71/G71," ")</f>
        <v>0</v>
      </c>
    </row>
    <row r="72" customFormat="false" ht="12.75" hidden="false" customHeight="true" outlineLevel="0" collapsed="false">
      <c r="A72" s="19" t="s">
        <v>406</v>
      </c>
      <c r="B72" s="95" t="s">
        <v>444</v>
      </c>
      <c r="C72" s="95"/>
      <c r="D72" s="95"/>
      <c r="E72" s="95"/>
      <c r="F72" s="120"/>
      <c r="G72" s="121"/>
      <c r="H72" s="121"/>
      <c r="I72" s="116"/>
      <c r="J72" s="117" t="str">
        <f aca="false">IFERROR(F72*I72/G72," ")</f>
        <v> </v>
      </c>
    </row>
    <row r="73" customFormat="false" ht="12.75" hidden="false" customHeight="true" outlineLevel="0" collapsed="false">
      <c r="A73" s="30" t="s">
        <v>412</v>
      </c>
      <c r="B73" s="31" t="s">
        <v>435</v>
      </c>
      <c r="C73" s="31"/>
      <c r="D73" s="31"/>
      <c r="E73" s="31"/>
      <c r="F73" s="31"/>
      <c r="G73" s="31"/>
      <c r="H73" s="31"/>
      <c r="I73" s="31"/>
      <c r="J73" s="31"/>
    </row>
    <row r="74" customFormat="false" ht="12.75" hidden="false" customHeight="true" outlineLevel="0" collapsed="false">
      <c r="A74" s="30" t="s">
        <v>414</v>
      </c>
      <c r="B74" s="31" t="s">
        <v>436</v>
      </c>
      <c r="C74" s="31"/>
      <c r="D74" s="31"/>
      <c r="E74" s="31"/>
      <c r="F74" s="31"/>
      <c r="G74" s="31"/>
      <c r="H74" s="31"/>
      <c r="I74" s="31"/>
      <c r="J74" s="31"/>
    </row>
    <row r="75" customFormat="false" ht="25.5" hidden="false" customHeight="true" outlineLevel="0" collapsed="false">
      <c r="A75" s="30" t="s">
        <v>445</v>
      </c>
      <c r="B75" s="31" t="str">
        <f aca="false">"Para os equipamentos dos item "&amp;A70&amp;" estimou a quantidade de 1 por posto. Visto que foi dimensionado 2 orientadores de tráfego por posto, foi considerado uma taxa de utilização de 50%"</f>
        <v>Para os equipamentos dos item A estimou a quantidade de 1 por posto. Visto que foi dimensionado 2 orientadores de tráfego por posto, foi considerado uma taxa de utilização de 50%</v>
      </c>
      <c r="C75" s="31"/>
      <c r="D75" s="31"/>
      <c r="E75" s="31"/>
      <c r="F75" s="31"/>
      <c r="G75" s="31"/>
      <c r="H75" s="31"/>
      <c r="I75" s="31"/>
      <c r="J75" s="31"/>
    </row>
    <row r="76" customFormat="false" ht="30" hidden="false" customHeight="true" outlineLevel="0" collapsed="false">
      <c r="A76" s="30" t="s">
        <v>538</v>
      </c>
      <c r="B76" s="31" t="str">
        <f aca="false">"Para os equipamentos do item "&amp;A71&amp;" foi considerado uma taxa de utilização de 100%, por se tratar de equipamentos de uso individual."</f>
        <v>Para os equipamentos do item B foi considerado uma taxa de utilização de 100%, por se tratar de equipamentos de uso individual.</v>
      </c>
      <c r="C76" s="31"/>
      <c r="D76" s="31"/>
      <c r="E76" s="31"/>
      <c r="F76" s="31"/>
      <c r="G76" s="31"/>
      <c r="H76" s="31"/>
      <c r="I76" s="31"/>
      <c r="J76" s="31"/>
    </row>
    <row r="77" customFormat="false" ht="12.75" hidden="false" customHeight="true" outlineLevel="0" collapsed="false">
      <c r="A77" s="30" t="s">
        <v>364</v>
      </c>
      <c r="B77" s="31" t="s">
        <v>446</v>
      </c>
      <c r="C77" s="31"/>
      <c r="D77" s="31"/>
      <c r="E77" s="31"/>
      <c r="F77" s="31"/>
      <c r="G77" s="31"/>
      <c r="H77" s="31"/>
      <c r="I77" s="31"/>
      <c r="J77" s="31"/>
    </row>
    <row r="78" customFormat="false" ht="12.75" hidden="false" customHeight="true" outlineLevel="0" collapsed="false">
      <c r="A78" s="19" t="s">
        <v>438</v>
      </c>
      <c r="B78" s="21" t="s">
        <v>418</v>
      </c>
      <c r="C78" s="21"/>
      <c r="D78" s="21"/>
      <c r="E78" s="21"/>
      <c r="F78" s="21"/>
      <c r="G78" s="21"/>
      <c r="H78" s="110" t="n">
        <f aca="false">IF('DI, Tri e Pag'!$H$12:$J$12='DI, Tri e Pag'!$L$12,-('DI, Tri e Pag'!$H$23+'DI, Tri e Pag'!$H$24)*SUM(J70:J72),0)</f>
        <v>0</v>
      </c>
      <c r="I78" s="110"/>
      <c r="J78" s="110"/>
    </row>
    <row r="79" customFormat="false" ht="41.25" hidden="false" customHeight="true" outlineLevel="0" collapsed="false">
      <c r="A79" s="30" t="s">
        <v>419</v>
      </c>
      <c r="B79" s="31" t="str">
        <f aca="false">B66</f>
        <v>Calculado apenas quando o regime de incidência da contribuição para o PIS/COFINS for não cumulativo. Neste regime é permitido o desconto de créditos apurados com base em custos, despesas e encargos sociais. Fundamentação: Lei 10637/2002 e Lei 10.833/2003</v>
      </c>
      <c r="C79" s="31"/>
      <c r="D79" s="31"/>
      <c r="E79" s="31"/>
      <c r="F79" s="31"/>
      <c r="G79" s="31"/>
      <c r="H79" s="31"/>
      <c r="I79" s="31"/>
      <c r="J79" s="31"/>
    </row>
    <row r="80" customFormat="false" ht="12.75" hidden="false" customHeight="false" outlineLevel="0" collapsed="false">
      <c r="A80" s="16" t="str">
        <f aca="false">"Total do Submódulo"&amp;A69</f>
        <v>Total do Submódulo3.2</v>
      </c>
      <c r="B80" s="16"/>
      <c r="C80" s="16"/>
      <c r="D80" s="16"/>
      <c r="E80" s="16"/>
      <c r="F80" s="16"/>
      <c r="G80" s="16"/>
      <c r="H80" s="112" t="n">
        <f aca="false">SUM(J70:J72,H78)</f>
        <v>0</v>
      </c>
      <c r="I80" s="112"/>
      <c r="J80" s="112"/>
    </row>
    <row r="81" customFormat="false" ht="12.75" hidden="false" customHeight="false" outlineLevel="0" collapsed="false">
      <c r="A81" s="141"/>
      <c r="B81" s="142"/>
      <c r="C81" s="141"/>
      <c r="D81" s="141"/>
      <c r="E81" s="141"/>
      <c r="F81" s="141"/>
      <c r="G81" s="141"/>
      <c r="H81" s="143"/>
      <c r="I81" s="144"/>
      <c r="J81" s="144"/>
    </row>
    <row r="83" customFormat="false" ht="15" hidden="false" customHeight="true" outlineLevel="0" collapsed="false">
      <c r="A83" s="103" t="s">
        <v>447</v>
      </c>
      <c r="B83" s="104" t="s">
        <v>448</v>
      </c>
      <c r="C83" s="104"/>
      <c r="D83" s="104"/>
      <c r="E83" s="104"/>
      <c r="F83" s="104"/>
      <c r="G83" s="104"/>
      <c r="H83" s="104"/>
      <c r="I83" s="104"/>
      <c r="J83" s="104"/>
    </row>
    <row r="84" customFormat="false" ht="12.75" hidden="false" customHeight="true" outlineLevel="0" collapsed="false">
      <c r="A84" s="16" t="s">
        <v>449</v>
      </c>
      <c r="B84" s="105" t="s">
        <v>450</v>
      </c>
      <c r="C84" s="105"/>
      <c r="D84" s="105"/>
      <c r="E84" s="105"/>
      <c r="F84" s="105"/>
      <c r="G84" s="105"/>
      <c r="H84" s="122" t="s">
        <v>75</v>
      </c>
      <c r="I84" s="106" t="s">
        <v>399</v>
      </c>
      <c r="J84" s="106"/>
    </row>
    <row r="85" customFormat="false" ht="12.75" hidden="false" customHeight="true" outlineLevel="0" collapsed="false">
      <c r="A85" s="19" t="s">
        <v>400</v>
      </c>
      <c r="B85" s="21" t="s">
        <v>451</v>
      </c>
      <c r="C85" s="21"/>
      <c r="D85" s="21"/>
      <c r="E85" s="21"/>
      <c r="F85" s="21"/>
      <c r="G85" s="21"/>
      <c r="H85" s="123" t="n">
        <v>0.2</v>
      </c>
      <c r="I85" s="124" t="n">
        <f aca="false">H85*$H$37</f>
        <v>227.4</v>
      </c>
      <c r="J85" s="124"/>
    </row>
    <row r="86" customFormat="false" ht="12.75" hidden="false" customHeight="true" outlineLevel="0" collapsed="false">
      <c r="A86" s="30" t="s">
        <v>108</v>
      </c>
      <c r="B86" s="31" t="s">
        <v>452</v>
      </c>
      <c r="C86" s="31"/>
      <c r="D86" s="31"/>
      <c r="E86" s="31"/>
      <c r="F86" s="31"/>
      <c r="G86" s="31"/>
      <c r="H86" s="31"/>
      <c r="I86" s="31"/>
      <c r="J86" s="31"/>
    </row>
    <row r="87" customFormat="false" ht="12.75" hidden="false" customHeight="true" outlineLevel="0" collapsed="false">
      <c r="A87" s="19" t="s">
        <v>403</v>
      </c>
      <c r="B87" s="21" t="s">
        <v>453</v>
      </c>
      <c r="C87" s="21"/>
      <c r="D87" s="21"/>
      <c r="E87" s="21"/>
      <c r="F87" s="21"/>
      <c r="G87" s="21"/>
      <c r="H87" s="123" t="n">
        <f aca="false">IF('DI, Tri e Pag'!$H$14:$J$14='DI, Tri e Pag'!$L$14,0.015,0)</f>
        <v>0.015</v>
      </c>
      <c r="I87" s="124" t="n">
        <f aca="false">H87*$H$37</f>
        <v>17.055</v>
      </c>
      <c r="J87" s="124"/>
    </row>
    <row r="88" customFormat="false" ht="12.75" hidden="false" customHeight="true" outlineLevel="0" collapsed="false">
      <c r="A88" s="30" t="s">
        <v>412</v>
      </c>
      <c r="B88" s="31" t="s">
        <v>454</v>
      </c>
      <c r="C88" s="31"/>
      <c r="D88" s="31"/>
      <c r="E88" s="31"/>
      <c r="F88" s="31"/>
      <c r="G88" s="31"/>
      <c r="H88" s="31"/>
      <c r="I88" s="31"/>
      <c r="J88" s="31"/>
    </row>
    <row r="89" customFormat="false" ht="12.75" hidden="false" customHeight="true" outlineLevel="0" collapsed="false">
      <c r="A89" s="30" t="s">
        <v>414</v>
      </c>
      <c r="B89" s="125" t="s">
        <v>455</v>
      </c>
      <c r="C89" s="125"/>
      <c r="D89" s="125"/>
      <c r="E89" s="125"/>
      <c r="F89" s="125"/>
      <c r="G89" s="125"/>
      <c r="H89" s="125"/>
      <c r="I89" s="125"/>
      <c r="J89" s="125"/>
    </row>
    <row r="90" customFormat="false" ht="12.75" hidden="false" customHeight="true" outlineLevel="0" collapsed="false">
      <c r="A90" s="19" t="s">
        <v>406</v>
      </c>
      <c r="B90" s="21" t="s">
        <v>456</v>
      </c>
      <c r="C90" s="21"/>
      <c r="D90" s="21"/>
      <c r="E90" s="21"/>
      <c r="F90" s="21"/>
      <c r="G90" s="21"/>
      <c r="H90" s="123" t="n">
        <f aca="false">IF('DI, Tri e Pag'!$H$14:$J$14='DI, Tri e Pag'!$L$14,0.01,0)</f>
        <v>0.01</v>
      </c>
      <c r="I90" s="124" t="n">
        <f aca="false">H90*$H$37</f>
        <v>11.37</v>
      </c>
      <c r="J90" s="124"/>
    </row>
    <row r="91" customFormat="false" ht="12.75" hidden="false" customHeight="true" outlineLevel="0" collapsed="false">
      <c r="A91" s="30" t="s">
        <v>412</v>
      </c>
      <c r="B91" s="31" t="s">
        <v>457</v>
      </c>
      <c r="C91" s="31"/>
      <c r="D91" s="31"/>
      <c r="E91" s="31"/>
      <c r="F91" s="31"/>
      <c r="G91" s="31"/>
      <c r="H91" s="31"/>
      <c r="I91" s="31"/>
      <c r="J91" s="31"/>
    </row>
    <row r="92" customFormat="false" ht="12.75" hidden="false" customHeight="true" outlineLevel="0" collapsed="false">
      <c r="A92" s="30" t="s">
        <v>414</v>
      </c>
      <c r="B92" s="125" t="s">
        <v>455</v>
      </c>
      <c r="C92" s="125"/>
      <c r="D92" s="125"/>
      <c r="E92" s="125"/>
      <c r="F92" s="125"/>
      <c r="G92" s="125"/>
      <c r="H92" s="125"/>
      <c r="I92" s="125"/>
      <c r="J92" s="125"/>
    </row>
    <row r="93" customFormat="false" ht="12.75" hidden="false" customHeight="true" outlineLevel="0" collapsed="false">
      <c r="A93" s="19" t="s">
        <v>430</v>
      </c>
      <c r="B93" s="21" t="s">
        <v>458</v>
      </c>
      <c r="C93" s="21"/>
      <c r="D93" s="21"/>
      <c r="E93" s="21"/>
      <c r="F93" s="21"/>
      <c r="G93" s="21"/>
      <c r="H93" s="123" t="n">
        <f aca="false">IF('DI, Tri e Pag'!$H$14:$J$14='DI, Tri e Pag'!$L$14,0.002,0)</f>
        <v>0.002</v>
      </c>
      <c r="I93" s="124" t="n">
        <f aca="false">H93*$H$37</f>
        <v>2.274</v>
      </c>
      <c r="J93" s="124"/>
    </row>
    <row r="94" customFormat="false" ht="12.75" hidden="false" customHeight="true" outlineLevel="0" collapsed="false">
      <c r="A94" s="30" t="s">
        <v>412</v>
      </c>
      <c r="B94" s="31" t="s">
        <v>459</v>
      </c>
      <c r="C94" s="31"/>
      <c r="D94" s="31"/>
      <c r="E94" s="31"/>
      <c r="F94" s="31"/>
      <c r="G94" s="31"/>
      <c r="H94" s="31"/>
      <c r="I94" s="31"/>
      <c r="J94" s="31"/>
    </row>
    <row r="95" customFormat="false" ht="12.75" hidden="false" customHeight="true" outlineLevel="0" collapsed="false">
      <c r="A95" s="30" t="s">
        <v>414</v>
      </c>
      <c r="B95" s="125" t="s">
        <v>455</v>
      </c>
      <c r="C95" s="125"/>
      <c r="D95" s="125"/>
      <c r="E95" s="125"/>
      <c r="F95" s="125"/>
      <c r="G95" s="125"/>
      <c r="H95" s="125"/>
      <c r="I95" s="125"/>
      <c r="J95" s="125"/>
    </row>
    <row r="96" customFormat="false" ht="12.75" hidden="false" customHeight="true" outlineLevel="0" collapsed="false">
      <c r="A96" s="19" t="s">
        <v>432</v>
      </c>
      <c r="B96" s="21" t="s">
        <v>460</v>
      </c>
      <c r="C96" s="21"/>
      <c r="D96" s="21"/>
      <c r="E96" s="21"/>
      <c r="F96" s="21"/>
      <c r="G96" s="21"/>
      <c r="H96" s="123" t="n">
        <f aca="false">IF('DI, Tri e Pag'!$H$14:$J$14='DI, Tri e Pag'!$L$14,0.025,0)</f>
        <v>0.025</v>
      </c>
      <c r="I96" s="124" t="n">
        <f aca="false">H96*$H$37</f>
        <v>28.425</v>
      </c>
      <c r="J96" s="124"/>
    </row>
    <row r="97" customFormat="false" ht="31.5" hidden="false" customHeight="true" outlineLevel="0" collapsed="false">
      <c r="A97" s="30" t="s">
        <v>412</v>
      </c>
      <c r="B97" s="31" t="s">
        <v>461</v>
      </c>
      <c r="C97" s="31"/>
      <c r="D97" s="31"/>
      <c r="E97" s="31"/>
      <c r="F97" s="31"/>
      <c r="G97" s="31"/>
      <c r="H97" s="31"/>
      <c r="I97" s="31"/>
      <c r="J97" s="31"/>
    </row>
    <row r="98" customFormat="false" ht="12.75" hidden="false" customHeight="true" outlineLevel="0" collapsed="false">
      <c r="A98" s="30" t="s">
        <v>414</v>
      </c>
      <c r="B98" s="125" t="s">
        <v>455</v>
      </c>
      <c r="C98" s="125"/>
      <c r="D98" s="125"/>
      <c r="E98" s="125"/>
      <c r="F98" s="125"/>
      <c r="G98" s="125"/>
      <c r="H98" s="125"/>
      <c r="I98" s="125"/>
      <c r="J98" s="125"/>
    </row>
    <row r="99" customFormat="false" ht="12.75" hidden="false" customHeight="true" outlineLevel="0" collapsed="false">
      <c r="A99" s="19" t="s">
        <v>434</v>
      </c>
      <c r="B99" s="21" t="s">
        <v>462</v>
      </c>
      <c r="C99" s="21"/>
      <c r="D99" s="21"/>
      <c r="E99" s="21"/>
      <c r="F99" s="21"/>
      <c r="G99" s="21"/>
      <c r="H99" s="123" t="n">
        <v>0.08</v>
      </c>
      <c r="I99" s="124" t="n">
        <f aca="false">H99*$H$37</f>
        <v>90.96</v>
      </c>
      <c r="J99" s="124"/>
    </row>
    <row r="100" customFormat="false" ht="55.5" hidden="false" customHeight="true" outlineLevel="0" collapsed="false">
      <c r="A100" s="30" t="s">
        <v>108</v>
      </c>
      <c r="B100" s="31" t="s">
        <v>463</v>
      </c>
      <c r="C100" s="31"/>
      <c r="D100" s="31"/>
      <c r="E100" s="31"/>
      <c r="F100" s="31"/>
      <c r="G100" s="31"/>
      <c r="H100" s="31"/>
      <c r="I100" s="31"/>
      <c r="J100" s="31"/>
    </row>
    <row r="101" customFormat="false" ht="12.75" hidden="false" customHeight="true" outlineLevel="0" collapsed="false">
      <c r="A101" s="19" t="s">
        <v>438</v>
      </c>
      <c r="B101" s="21" t="s">
        <v>464</v>
      </c>
      <c r="C101" s="21"/>
      <c r="D101" s="21"/>
      <c r="E101" s="21"/>
      <c r="F101" s="21"/>
      <c r="G101" s="21"/>
      <c r="H101" s="126" t="n">
        <v>0.03</v>
      </c>
      <c r="I101" s="124" t="n">
        <f aca="false">H101*$H$37</f>
        <v>34.11</v>
      </c>
      <c r="J101" s="124"/>
    </row>
    <row r="102" customFormat="false" ht="33" hidden="false" customHeight="true" outlineLevel="0" collapsed="false">
      <c r="A102" s="108" t="s">
        <v>108</v>
      </c>
      <c r="B102" s="109" t="s">
        <v>465</v>
      </c>
      <c r="C102" s="109"/>
      <c r="D102" s="109"/>
      <c r="E102" s="109"/>
      <c r="F102" s="109"/>
      <c r="G102" s="109"/>
      <c r="H102" s="109"/>
      <c r="I102" s="109"/>
      <c r="J102" s="109"/>
    </row>
    <row r="103" customFormat="false" ht="12.75" hidden="false" customHeight="true" outlineLevel="0" collapsed="false">
      <c r="A103" s="108" t="s">
        <v>364</v>
      </c>
      <c r="B103" s="109" t="s">
        <v>466</v>
      </c>
      <c r="C103" s="109"/>
      <c r="D103" s="109"/>
      <c r="E103" s="109"/>
      <c r="F103" s="109"/>
      <c r="G103" s="109"/>
      <c r="H103" s="109"/>
      <c r="I103" s="109"/>
      <c r="J103" s="109"/>
    </row>
    <row r="104" customFormat="false" ht="12.75" hidden="false" customHeight="true" outlineLevel="0" collapsed="false">
      <c r="A104" s="19" t="s">
        <v>467</v>
      </c>
      <c r="B104" s="21" t="s">
        <v>468</v>
      </c>
      <c r="C104" s="21"/>
      <c r="D104" s="21"/>
      <c r="E104" s="21"/>
      <c r="F104" s="21"/>
      <c r="G104" s="21"/>
      <c r="H104" s="123" t="n">
        <f aca="false">IF('DI, Tri e Pag'!$H$14:$J$14='DI, Tri e Pag'!$L$14,0.006,0)</f>
        <v>0.006</v>
      </c>
      <c r="I104" s="124" t="n">
        <f aca="false">H104*$H$37</f>
        <v>6.822</v>
      </c>
      <c r="J104" s="124"/>
    </row>
    <row r="105" customFormat="false" ht="12.75" hidden="false" customHeight="true" outlineLevel="0" collapsed="false">
      <c r="A105" s="30" t="s">
        <v>108</v>
      </c>
      <c r="B105" s="31" t="s">
        <v>469</v>
      </c>
      <c r="C105" s="31"/>
      <c r="D105" s="31"/>
      <c r="E105" s="31"/>
      <c r="F105" s="31"/>
      <c r="G105" s="31"/>
      <c r="H105" s="31"/>
      <c r="I105" s="31"/>
      <c r="J105" s="31"/>
    </row>
    <row r="106" customFormat="false" ht="12.75" hidden="false" customHeight="true" outlineLevel="0" collapsed="false">
      <c r="A106" s="30" t="s">
        <v>414</v>
      </c>
      <c r="B106" s="125" t="s">
        <v>455</v>
      </c>
      <c r="C106" s="125"/>
      <c r="D106" s="125"/>
      <c r="E106" s="125"/>
      <c r="F106" s="125"/>
      <c r="G106" s="125"/>
      <c r="H106" s="125"/>
      <c r="I106" s="125"/>
      <c r="J106" s="125"/>
    </row>
    <row r="107" customFormat="false" ht="12.75" hidden="false" customHeight="false" outlineLevel="0" collapsed="false">
      <c r="A107" s="16" t="str">
        <f aca="false">"Total do Sobmódulo "&amp;A84</f>
        <v>Total do Sobmódulo 4.1</v>
      </c>
      <c r="B107" s="16"/>
      <c r="C107" s="16"/>
      <c r="D107" s="16"/>
      <c r="E107" s="16"/>
      <c r="F107" s="16"/>
      <c r="G107" s="16"/>
      <c r="H107" s="127" t="n">
        <f aca="false">SUM(H85,H87,H90,H93,H96,H99,H101,H104)</f>
        <v>0.368</v>
      </c>
      <c r="I107" s="128" t="n">
        <f aca="false">SUM(I85,I87,I90,I93,I96,I99,I101,I104)</f>
        <v>418.416</v>
      </c>
      <c r="J107" s="128"/>
      <c r="K107" s="129"/>
    </row>
    <row r="109" customFormat="false" ht="12.75" hidden="false" customHeight="true" outlineLevel="0" collapsed="false">
      <c r="A109" s="16" t="s">
        <v>470</v>
      </c>
      <c r="B109" s="105" t="s">
        <v>471</v>
      </c>
      <c r="C109" s="105"/>
      <c r="D109" s="105"/>
      <c r="E109" s="105"/>
      <c r="F109" s="105"/>
      <c r="G109" s="105"/>
      <c r="H109" s="122" t="s">
        <v>75</v>
      </c>
      <c r="I109" s="106" t="s">
        <v>399</v>
      </c>
      <c r="J109" s="106"/>
    </row>
    <row r="110" customFormat="false" ht="12.75" hidden="false" customHeight="true" outlineLevel="0" collapsed="false">
      <c r="A110" s="19" t="s">
        <v>400</v>
      </c>
      <c r="B110" s="21" t="s">
        <v>471</v>
      </c>
      <c r="C110" s="21"/>
      <c r="D110" s="21"/>
      <c r="E110" s="21"/>
      <c r="F110" s="21"/>
      <c r="G110" s="21"/>
      <c r="H110" s="123" t="n">
        <f aca="false">1/12</f>
        <v>0.0833333333333333</v>
      </c>
      <c r="I110" s="130" t="n">
        <f aca="false">$H$37*H110</f>
        <v>94.75</v>
      </c>
      <c r="J110" s="130"/>
    </row>
    <row r="111" customFormat="false" ht="27" hidden="false" customHeight="true" outlineLevel="0" collapsed="false">
      <c r="A111" s="30" t="s">
        <v>108</v>
      </c>
      <c r="B111" s="31" t="s">
        <v>472</v>
      </c>
      <c r="C111" s="31"/>
      <c r="D111" s="31"/>
      <c r="E111" s="31"/>
      <c r="F111" s="31"/>
      <c r="G111" s="31"/>
      <c r="H111" s="31"/>
      <c r="I111" s="31"/>
      <c r="J111" s="31"/>
    </row>
    <row r="112" customFormat="false" ht="12.75" hidden="false" customHeight="true" outlineLevel="0" collapsed="false">
      <c r="A112" s="30" t="s">
        <v>364</v>
      </c>
      <c r="B112" s="31" t="s">
        <v>473</v>
      </c>
      <c r="C112" s="31"/>
      <c r="D112" s="31"/>
      <c r="E112" s="31"/>
      <c r="F112" s="31"/>
      <c r="G112" s="31"/>
      <c r="H112" s="31"/>
      <c r="I112" s="31"/>
      <c r="J112" s="31"/>
    </row>
    <row r="113" customFormat="false" ht="12.75" hidden="false" customHeight="false" outlineLevel="0" collapsed="false">
      <c r="A113" s="19" t="s">
        <v>403</v>
      </c>
      <c r="B113" s="21" t="str">
        <f aca="false">"Incidência do Submódulo "&amp;$A$84&amp;" sobre "&amp;B109</f>
        <v>Incidência do Submódulo 4.1 sobre 13º Salário</v>
      </c>
      <c r="C113" s="21"/>
      <c r="D113" s="21"/>
      <c r="E113" s="21"/>
      <c r="F113" s="21"/>
      <c r="G113" s="21"/>
      <c r="H113" s="123" t="n">
        <f aca="false">$H$107</f>
        <v>0.368</v>
      </c>
      <c r="I113" s="130" t="n">
        <f aca="false">I110*H113</f>
        <v>34.868</v>
      </c>
      <c r="J113" s="130"/>
      <c r="L113" s="131"/>
    </row>
    <row r="114" customFormat="false" ht="12.75" hidden="false" customHeight="false" outlineLevel="0" collapsed="false">
      <c r="A114" s="30" t="s">
        <v>108</v>
      </c>
      <c r="B114" s="31" t="str">
        <f aca="false">"Aplicar percentual do submódulo "&amp;$A$84&amp;" sobre o "&amp;B109</f>
        <v>Aplicar percentual do submódulo 4.1 sobre o 13º Salário</v>
      </c>
      <c r="C114" s="31"/>
      <c r="D114" s="31"/>
      <c r="E114" s="31"/>
      <c r="F114" s="31"/>
      <c r="G114" s="31"/>
      <c r="H114" s="31"/>
      <c r="I114" s="31"/>
      <c r="J114" s="31"/>
    </row>
    <row r="115" customFormat="false" ht="12.75" hidden="false" customHeight="false" outlineLevel="0" collapsed="false">
      <c r="A115" s="16" t="str">
        <f aca="false">"Total do Sobmódulo "&amp;A109</f>
        <v>Total do Sobmódulo 4.2</v>
      </c>
      <c r="B115" s="16"/>
      <c r="C115" s="16"/>
      <c r="D115" s="16"/>
      <c r="E115" s="16"/>
      <c r="F115" s="16"/>
      <c r="G115" s="16"/>
      <c r="H115" s="127" t="n">
        <f aca="false">H110+H110*H113</f>
        <v>0.114</v>
      </c>
      <c r="I115" s="128" t="n">
        <f aca="false">SUM(I110+I113)</f>
        <v>129.618</v>
      </c>
      <c r="J115" s="128"/>
      <c r="K115" s="129"/>
    </row>
    <row r="117" customFormat="false" ht="12.75" hidden="false" customHeight="true" outlineLevel="0" collapsed="false">
      <c r="A117" s="16" t="s">
        <v>474</v>
      </c>
      <c r="B117" s="105" t="s">
        <v>475</v>
      </c>
      <c r="C117" s="105"/>
      <c r="D117" s="105"/>
      <c r="E117" s="105"/>
      <c r="F117" s="105"/>
      <c r="G117" s="105"/>
      <c r="H117" s="122" t="s">
        <v>75</v>
      </c>
      <c r="I117" s="106" t="s">
        <v>399</v>
      </c>
      <c r="J117" s="106"/>
    </row>
    <row r="118" customFormat="false" ht="12.75" hidden="false" customHeight="false" outlineLevel="0" collapsed="false">
      <c r="A118" s="19" t="s">
        <v>400</v>
      </c>
      <c r="B118" s="21" t="str">
        <f aca="false">B117</f>
        <v>Afastamento Maternidade</v>
      </c>
      <c r="C118" s="21"/>
      <c r="D118" s="21"/>
      <c r="E118" s="21"/>
      <c r="F118" s="21"/>
      <c r="G118" s="21"/>
      <c r="H118" s="126" t="n">
        <f aca="false">(1+(1/3))*(4/12)*0.4445*0.0731/12</f>
        <v>0.00120344259259259</v>
      </c>
      <c r="I118" s="130" t="n">
        <f aca="false">$H$37*H118</f>
        <v>1.36831422777778</v>
      </c>
      <c r="J118" s="130"/>
    </row>
    <row r="119" customFormat="false" ht="91.5" hidden="false" customHeight="true" outlineLevel="0" collapsed="false">
      <c r="A119" s="108" t="s">
        <v>476</v>
      </c>
      <c r="B119" s="109" t="s">
        <v>477</v>
      </c>
      <c r="C119" s="109"/>
      <c r="D119" s="109"/>
      <c r="E119" s="109"/>
      <c r="F119" s="109"/>
      <c r="G119" s="109"/>
      <c r="H119" s="109"/>
      <c r="I119" s="109"/>
      <c r="J119" s="109"/>
    </row>
    <row r="120" customFormat="false" ht="76.5" hidden="false" customHeight="true" outlineLevel="0" collapsed="false">
      <c r="A120" s="108" t="s">
        <v>478</v>
      </c>
      <c r="B120" s="109" t="s">
        <v>479</v>
      </c>
      <c r="C120" s="109"/>
      <c r="D120" s="109"/>
      <c r="E120" s="109"/>
      <c r="F120" s="109"/>
      <c r="G120" s="109"/>
      <c r="H120" s="109"/>
      <c r="I120" s="109"/>
      <c r="J120" s="109"/>
    </row>
    <row r="121" customFormat="false" ht="31.5" hidden="false" customHeight="true" outlineLevel="0" collapsed="false">
      <c r="A121" s="108" t="s">
        <v>364</v>
      </c>
      <c r="B121" s="109" t="s">
        <v>480</v>
      </c>
      <c r="C121" s="109"/>
      <c r="D121" s="109"/>
      <c r="E121" s="109"/>
      <c r="F121" s="109"/>
      <c r="G121" s="109"/>
      <c r="H121" s="109"/>
      <c r="I121" s="109"/>
      <c r="J121" s="109"/>
    </row>
    <row r="122" customFormat="false" ht="12.75" hidden="false" customHeight="false" outlineLevel="0" collapsed="false">
      <c r="A122" s="19" t="s">
        <v>403</v>
      </c>
      <c r="B122" s="21" t="str">
        <f aca="false">"Incidência do Submódulo "&amp;$A$84&amp;" sobre "&amp;B117</f>
        <v>Incidência do Submódulo 4.1 sobre Afastamento Maternidade</v>
      </c>
      <c r="C122" s="21"/>
      <c r="D122" s="21"/>
      <c r="E122" s="21"/>
      <c r="F122" s="21"/>
      <c r="G122" s="21"/>
      <c r="H122" s="123" t="n">
        <f aca="false">$H$107</f>
        <v>0.368</v>
      </c>
      <c r="I122" s="130" t="n">
        <f aca="false">I118*H122</f>
        <v>0.503539635822222</v>
      </c>
      <c r="J122" s="130"/>
      <c r="L122" s="131"/>
    </row>
    <row r="123" customFormat="false" ht="12.75" hidden="false" customHeight="false" outlineLevel="0" collapsed="false">
      <c r="A123" s="30" t="s">
        <v>108</v>
      </c>
      <c r="B123" s="31" t="str">
        <f aca="false">"Aplicar percentual do submódulo "&amp;$A$84&amp;" sobre o "&amp;B117</f>
        <v>Aplicar percentual do submódulo 4.1 sobre o Afastamento Maternidade</v>
      </c>
      <c r="C123" s="31"/>
      <c r="D123" s="31"/>
      <c r="E123" s="31"/>
      <c r="F123" s="31"/>
      <c r="G123" s="31"/>
      <c r="H123" s="31"/>
      <c r="I123" s="31"/>
      <c r="J123" s="31"/>
    </row>
    <row r="124" customFormat="false" ht="12.75" hidden="false" customHeight="false" outlineLevel="0" collapsed="false">
      <c r="A124" s="16" t="str">
        <f aca="false">"Total do Sobmódulo "&amp;A117</f>
        <v>Total do Sobmódulo 4.3</v>
      </c>
      <c r="B124" s="16"/>
      <c r="C124" s="16"/>
      <c r="D124" s="16"/>
      <c r="E124" s="16"/>
      <c r="F124" s="16"/>
      <c r="G124" s="16"/>
      <c r="H124" s="127" t="n">
        <f aca="false">H118+H118*H122</f>
        <v>0.00164630946666667</v>
      </c>
      <c r="I124" s="128" t="n">
        <f aca="false">SUM(I118+I122)</f>
        <v>1.8718538636</v>
      </c>
      <c r="J124" s="128"/>
      <c r="K124" s="129"/>
    </row>
    <row r="126" customFormat="false" ht="12.75" hidden="false" customHeight="true" outlineLevel="0" collapsed="false">
      <c r="A126" s="16" t="s">
        <v>481</v>
      </c>
      <c r="B126" s="105" t="s">
        <v>482</v>
      </c>
      <c r="C126" s="105"/>
      <c r="D126" s="105"/>
      <c r="E126" s="105"/>
      <c r="F126" s="105"/>
      <c r="G126" s="105"/>
      <c r="H126" s="122" t="s">
        <v>75</v>
      </c>
      <c r="I126" s="106" t="s">
        <v>399</v>
      </c>
      <c r="J126" s="106"/>
    </row>
    <row r="127" customFormat="false" ht="12.75" hidden="false" customHeight="true" outlineLevel="0" collapsed="false">
      <c r="A127" s="19" t="s">
        <v>400</v>
      </c>
      <c r="B127" s="21" t="s">
        <v>483</v>
      </c>
      <c r="C127" s="21"/>
      <c r="D127" s="21"/>
      <c r="E127" s="21"/>
      <c r="F127" s="21"/>
      <c r="G127" s="21"/>
      <c r="H127" s="126" t="n">
        <f aca="false">(1/12)*0.55*0.9</f>
        <v>0.04125</v>
      </c>
      <c r="I127" s="130" t="n">
        <f aca="false">$H$37*H127</f>
        <v>46.90125</v>
      </c>
      <c r="J127" s="130"/>
      <c r="K127" s="113"/>
    </row>
    <row r="128" customFormat="false" ht="39.75" hidden="false" customHeight="true" outlineLevel="0" collapsed="false">
      <c r="A128" s="108" t="s">
        <v>412</v>
      </c>
      <c r="B128" s="109" t="s">
        <v>484</v>
      </c>
      <c r="C128" s="109"/>
      <c r="D128" s="109"/>
      <c r="E128" s="109"/>
      <c r="F128" s="109"/>
      <c r="G128" s="109"/>
      <c r="H128" s="109"/>
      <c r="I128" s="109"/>
      <c r="J128" s="109"/>
    </row>
    <row r="129" customFormat="false" ht="40.5" hidden="false" customHeight="true" outlineLevel="0" collapsed="false">
      <c r="A129" s="108" t="s">
        <v>414</v>
      </c>
      <c r="B129" s="109" t="s">
        <v>485</v>
      </c>
      <c r="C129" s="109"/>
      <c r="D129" s="109"/>
      <c r="E129" s="109"/>
      <c r="F129" s="109"/>
      <c r="G129" s="109"/>
      <c r="H129" s="109"/>
      <c r="I129" s="109"/>
      <c r="J129" s="109"/>
    </row>
    <row r="130" customFormat="false" ht="12.75" hidden="false" customHeight="true" outlineLevel="0" collapsed="false">
      <c r="A130" s="108" t="s">
        <v>486</v>
      </c>
      <c r="B130" s="109" t="s">
        <v>487</v>
      </c>
      <c r="C130" s="109"/>
      <c r="D130" s="109"/>
      <c r="E130" s="109"/>
      <c r="F130" s="109"/>
      <c r="G130" s="109"/>
      <c r="H130" s="109"/>
      <c r="I130" s="109"/>
      <c r="J130" s="109"/>
    </row>
    <row r="131" customFormat="false" ht="32.25" hidden="false" customHeight="true" outlineLevel="0" collapsed="false">
      <c r="A131" s="108" t="s">
        <v>364</v>
      </c>
      <c r="B131" s="109" t="s">
        <v>488</v>
      </c>
      <c r="C131" s="109"/>
      <c r="D131" s="109"/>
      <c r="E131" s="109"/>
      <c r="F131" s="109"/>
      <c r="G131" s="109"/>
      <c r="H131" s="109"/>
      <c r="I131" s="109"/>
      <c r="J131" s="109"/>
    </row>
    <row r="132" customFormat="false" ht="12.75" hidden="false" customHeight="false" outlineLevel="0" collapsed="false">
      <c r="A132" s="19" t="s">
        <v>403</v>
      </c>
      <c r="B132" s="21" t="str">
        <f aca="false">"Incidência do FGTS sobre o "&amp;B127</f>
        <v>Incidência do FGTS sobre o Aviso prévio indenizado</v>
      </c>
      <c r="C132" s="21"/>
      <c r="D132" s="21"/>
      <c r="E132" s="21"/>
      <c r="F132" s="21"/>
      <c r="G132" s="21"/>
      <c r="H132" s="123" t="n">
        <f aca="false">H99</f>
        <v>0.08</v>
      </c>
      <c r="I132" s="130" t="n">
        <f aca="false">I127*H132</f>
        <v>3.7521</v>
      </c>
      <c r="J132" s="130"/>
      <c r="K132" s="113"/>
    </row>
    <row r="133" customFormat="false" ht="12.75" hidden="false" customHeight="false" outlineLevel="0" collapsed="false">
      <c r="A133" s="30" t="s">
        <v>108</v>
      </c>
      <c r="B133" s="31" t="str">
        <f aca="false">"Aplicar percentual do FGTS sobre o "&amp;B127</f>
        <v>Aplicar percentual do FGTS sobre o Aviso prévio indenizado</v>
      </c>
      <c r="C133" s="31"/>
      <c r="D133" s="31"/>
      <c r="E133" s="31"/>
      <c r="F133" s="31"/>
      <c r="G133" s="31"/>
      <c r="H133" s="31"/>
      <c r="I133" s="31"/>
      <c r="J133" s="31"/>
    </row>
    <row r="134" customFormat="false" ht="12.75" hidden="false" customHeight="true" outlineLevel="0" collapsed="false">
      <c r="A134" s="19" t="s">
        <v>406</v>
      </c>
      <c r="B134" s="21" t="s">
        <v>489</v>
      </c>
      <c r="C134" s="21"/>
      <c r="D134" s="21"/>
      <c r="E134" s="21"/>
      <c r="F134" s="21"/>
      <c r="G134" s="21"/>
      <c r="H134" s="126" t="n">
        <f aca="false">0.4*$H$99*0.55*0.9+0.1*$H$99*0.55*0.9</f>
        <v>0.0198</v>
      </c>
      <c r="I134" s="130" t="n">
        <f aca="false">H134*$H$37</f>
        <v>22.5126</v>
      </c>
      <c r="J134" s="130"/>
      <c r="K134" s="113"/>
    </row>
    <row r="135" customFormat="false" ht="28.5" hidden="false" customHeight="true" outlineLevel="0" collapsed="false">
      <c r="A135" s="108" t="s">
        <v>108</v>
      </c>
      <c r="B135" s="109" t="s">
        <v>490</v>
      </c>
      <c r="C135" s="109"/>
      <c r="D135" s="109"/>
      <c r="E135" s="109"/>
      <c r="F135" s="109"/>
      <c r="G135" s="109"/>
      <c r="H135" s="109"/>
      <c r="I135" s="109"/>
      <c r="J135" s="109"/>
      <c r="K135" s="113"/>
    </row>
    <row r="136" customFormat="false" ht="69.75" hidden="false" customHeight="true" outlineLevel="0" collapsed="false">
      <c r="A136" s="108" t="s">
        <v>364</v>
      </c>
      <c r="B136" s="109" t="s">
        <v>491</v>
      </c>
      <c r="C136" s="109"/>
      <c r="D136" s="109"/>
      <c r="E136" s="109"/>
      <c r="F136" s="109"/>
      <c r="G136" s="109"/>
      <c r="H136" s="109"/>
      <c r="I136" s="109"/>
      <c r="J136" s="109"/>
    </row>
    <row r="137" customFormat="false" ht="12.75" hidden="false" customHeight="true" outlineLevel="0" collapsed="false">
      <c r="A137" s="19" t="s">
        <v>430</v>
      </c>
      <c r="B137" s="21" t="s">
        <v>492</v>
      </c>
      <c r="C137" s="21"/>
      <c r="D137" s="21"/>
      <c r="E137" s="21"/>
      <c r="F137" s="21"/>
      <c r="G137" s="21"/>
      <c r="H137" s="126" t="n">
        <f aca="false">7*0.55*0.1/360</f>
        <v>0.00106944444444444</v>
      </c>
      <c r="I137" s="130" t="n">
        <f aca="false">H137*$H$37</f>
        <v>1.21595833333333</v>
      </c>
      <c r="J137" s="130"/>
      <c r="K137" s="113"/>
    </row>
    <row r="138" customFormat="false" ht="60.75" hidden="false" customHeight="true" outlineLevel="0" collapsed="false">
      <c r="A138" s="108" t="s">
        <v>108</v>
      </c>
      <c r="B138" s="109" t="s">
        <v>493</v>
      </c>
      <c r="C138" s="109"/>
      <c r="D138" s="109"/>
      <c r="E138" s="109"/>
      <c r="F138" s="109"/>
      <c r="G138" s="109"/>
      <c r="H138" s="109"/>
      <c r="I138" s="109"/>
      <c r="J138" s="109"/>
    </row>
    <row r="139" customFormat="false" ht="33" hidden="false" customHeight="true" outlineLevel="0" collapsed="false">
      <c r="A139" s="108" t="s">
        <v>364</v>
      </c>
      <c r="B139" s="109" t="s">
        <v>494</v>
      </c>
      <c r="C139" s="109"/>
      <c r="D139" s="109"/>
      <c r="E139" s="109"/>
      <c r="F139" s="109"/>
      <c r="G139" s="109"/>
      <c r="H139" s="109"/>
      <c r="I139" s="109"/>
      <c r="J139" s="109"/>
    </row>
    <row r="140" customFormat="false" ht="12.75" hidden="false" customHeight="true" outlineLevel="0" collapsed="false">
      <c r="A140" s="19" t="s">
        <v>432</v>
      </c>
      <c r="B140" s="21" t="s">
        <v>495</v>
      </c>
      <c r="C140" s="21"/>
      <c r="D140" s="21"/>
      <c r="E140" s="21"/>
      <c r="F140" s="21"/>
      <c r="G140" s="21"/>
      <c r="H140" s="126" t="n">
        <f aca="false">0.4*$H$99*0.55*0.1+0.1*$H$99*0.55*0.1</f>
        <v>0.0022</v>
      </c>
      <c r="I140" s="130" t="n">
        <f aca="false">H140*$H$37</f>
        <v>2.5014</v>
      </c>
      <c r="J140" s="130"/>
      <c r="K140" s="113"/>
    </row>
    <row r="141" customFormat="false" ht="68.25" hidden="false" customHeight="true" outlineLevel="0" collapsed="false">
      <c r="A141" s="108" t="s">
        <v>364</v>
      </c>
      <c r="B141" s="109" t="s">
        <v>496</v>
      </c>
      <c r="C141" s="109"/>
      <c r="D141" s="109"/>
      <c r="E141" s="109"/>
      <c r="F141" s="109"/>
      <c r="G141" s="109"/>
      <c r="H141" s="109"/>
      <c r="I141" s="109"/>
      <c r="J141" s="109"/>
    </row>
    <row r="142" customFormat="false" ht="12.75" hidden="false" customHeight="false" outlineLevel="0" collapsed="false">
      <c r="A142" s="19" t="s">
        <v>434</v>
      </c>
      <c r="B142" s="21" t="str">
        <f aca="false">"Incidência do Submódulo "&amp;$A$84&amp;" sobre "&amp;B127</f>
        <v>Incidência do Submódulo 4.1 sobre Aviso prévio indenizado</v>
      </c>
      <c r="C142" s="21"/>
      <c r="D142" s="21"/>
      <c r="E142" s="21"/>
      <c r="F142" s="21"/>
      <c r="G142" s="21"/>
      <c r="H142" s="123" t="n">
        <f aca="false">$H$107</f>
        <v>0.368</v>
      </c>
      <c r="I142" s="130" t="n">
        <f aca="false">H142*I127</f>
        <v>17.25966</v>
      </c>
      <c r="J142" s="130"/>
      <c r="L142" s="131"/>
    </row>
    <row r="143" customFormat="false" ht="12.75" hidden="false" customHeight="false" outlineLevel="0" collapsed="false">
      <c r="A143" s="30" t="s">
        <v>108</v>
      </c>
      <c r="B143" s="31" t="str">
        <f aca="false">"Aplicar percentual do submódulo "&amp;$A$84&amp;" sobre o "&amp;B127</f>
        <v>Aplicar percentual do submódulo 4.1 sobre o Aviso prévio indenizado</v>
      </c>
      <c r="C143" s="31"/>
      <c r="D143" s="31"/>
      <c r="E143" s="31"/>
      <c r="F143" s="31"/>
      <c r="G143" s="31"/>
      <c r="H143" s="31"/>
      <c r="I143" s="31"/>
      <c r="J143" s="31"/>
    </row>
    <row r="144" customFormat="false" ht="12.75" hidden="false" customHeight="false" outlineLevel="0" collapsed="false">
      <c r="A144" s="16" t="str">
        <f aca="false">"Total do Sobmódulo "&amp;A126</f>
        <v>Total do Sobmódulo 4.4</v>
      </c>
      <c r="B144" s="16"/>
      <c r="C144" s="16"/>
      <c r="D144" s="16"/>
      <c r="E144" s="16"/>
      <c r="F144" s="16"/>
      <c r="G144" s="16"/>
      <c r="H144" s="127" t="n">
        <f aca="false">H127+H127*H132+H134+H137+H140+H142*H127</f>
        <v>0.0827994444444444</v>
      </c>
      <c r="I144" s="128" t="n">
        <f aca="false">SUM(I127,I132,I134,I137,I140,I142)</f>
        <v>94.1429683333334</v>
      </c>
      <c r="J144" s="128"/>
      <c r="K144" s="129"/>
    </row>
    <row r="146" customFormat="false" ht="12.75" hidden="false" customHeight="true" outlineLevel="0" collapsed="false">
      <c r="A146" s="16" t="s">
        <v>497</v>
      </c>
      <c r="B146" s="105" t="s">
        <v>498</v>
      </c>
      <c r="C146" s="105"/>
      <c r="D146" s="105"/>
      <c r="E146" s="105"/>
      <c r="F146" s="105"/>
      <c r="G146" s="105"/>
      <c r="H146" s="122" t="s">
        <v>75</v>
      </c>
      <c r="I146" s="106" t="s">
        <v>399</v>
      </c>
      <c r="J146" s="106"/>
    </row>
    <row r="147" customFormat="false" ht="12.75" hidden="false" customHeight="true" outlineLevel="0" collapsed="false">
      <c r="A147" s="19" t="s">
        <v>400</v>
      </c>
      <c r="B147" s="21" t="s">
        <v>499</v>
      </c>
      <c r="C147" s="21"/>
      <c r="D147" s="21"/>
      <c r="E147" s="21"/>
      <c r="F147" s="21"/>
      <c r="G147" s="21"/>
      <c r="H147" s="123" t="n">
        <f aca="false">1/12</f>
        <v>0.0833333333333333</v>
      </c>
      <c r="I147" s="130" t="n">
        <f aca="false">H147*$H$37</f>
        <v>94.75</v>
      </c>
      <c r="J147" s="130"/>
      <c r="K147" s="113"/>
    </row>
    <row r="148" customFormat="false" ht="42" hidden="false" customHeight="true" outlineLevel="0" collapsed="false">
      <c r="A148" s="30" t="s">
        <v>108</v>
      </c>
      <c r="B148" s="132" t="s">
        <v>500</v>
      </c>
      <c r="C148" s="132"/>
      <c r="D148" s="132"/>
      <c r="E148" s="132"/>
      <c r="F148" s="132"/>
      <c r="G148" s="132"/>
      <c r="H148" s="132"/>
      <c r="I148" s="132"/>
      <c r="J148" s="132"/>
      <c r="L148" s="131"/>
    </row>
    <row r="149" customFormat="false" ht="12.75" hidden="false" customHeight="true" outlineLevel="0" collapsed="false">
      <c r="A149" s="30" t="s">
        <v>364</v>
      </c>
      <c r="B149" s="31" t="s">
        <v>501</v>
      </c>
      <c r="C149" s="31"/>
      <c r="D149" s="31"/>
      <c r="E149" s="31"/>
      <c r="F149" s="31"/>
      <c r="G149" s="31"/>
      <c r="H149" s="31"/>
      <c r="I149" s="31"/>
      <c r="J149" s="31"/>
      <c r="L149" s="131"/>
      <c r="N149" s="113"/>
      <c r="O149" s="113"/>
      <c r="P149" s="113"/>
    </row>
    <row r="150" customFormat="false" ht="12.75" hidden="false" customHeight="true" outlineLevel="0" collapsed="false">
      <c r="A150" s="19" t="s">
        <v>403</v>
      </c>
      <c r="B150" s="21" t="s">
        <v>502</v>
      </c>
      <c r="C150" s="21"/>
      <c r="D150" s="21"/>
      <c r="E150" s="21"/>
      <c r="F150" s="21"/>
      <c r="G150" s="21"/>
      <c r="H150" s="123" t="n">
        <f aca="false">1/(12*3)</f>
        <v>0.0277777777777778</v>
      </c>
      <c r="I150" s="130" t="n">
        <f aca="false">H150*$H$37</f>
        <v>31.5833333333333</v>
      </c>
      <c r="J150" s="130"/>
      <c r="K150" s="113"/>
      <c r="L150" s="131"/>
      <c r="N150" s="113"/>
      <c r="O150" s="113"/>
      <c r="P150" s="113"/>
    </row>
    <row r="151" customFormat="false" ht="27.75" hidden="false" customHeight="true" outlineLevel="0" collapsed="false">
      <c r="A151" s="30" t="s">
        <v>108</v>
      </c>
      <c r="B151" s="132" t="s">
        <v>503</v>
      </c>
      <c r="C151" s="132"/>
      <c r="D151" s="132"/>
      <c r="E151" s="132"/>
      <c r="F151" s="132"/>
      <c r="G151" s="132"/>
      <c r="H151" s="132"/>
      <c r="I151" s="132"/>
      <c r="J151" s="132"/>
      <c r="L151" s="131"/>
      <c r="N151" s="113"/>
      <c r="O151" s="113"/>
      <c r="P151" s="113"/>
    </row>
    <row r="152" customFormat="false" ht="12.75" hidden="false" customHeight="true" outlineLevel="0" collapsed="false">
      <c r="A152" s="30" t="s">
        <v>364</v>
      </c>
      <c r="B152" s="31" t="s">
        <v>504</v>
      </c>
      <c r="C152" s="31"/>
      <c r="D152" s="31"/>
      <c r="E152" s="31"/>
      <c r="F152" s="31"/>
      <c r="G152" s="31"/>
      <c r="H152" s="31"/>
      <c r="I152" s="31"/>
      <c r="J152" s="31"/>
      <c r="L152" s="131"/>
      <c r="N152" s="113"/>
      <c r="O152" s="113"/>
      <c r="P152" s="113"/>
    </row>
    <row r="153" customFormat="false" ht="12.75" hidden="false" customHeight="true" outlineLevel="0" collapsed="false">
      <c r="A153" s="19" t="s">
        <v>406</v>
      </c>
      <c r="B153" s="21" t="s">
        <v>505</v>
      </c>
      <c r="C153" s="21"/>
      <c r="D153" s="21"/>
      <c r="E153" s="21"/>
      <c r="F153" s="21"/>
      <c r="G153" s="21"/>
      <c r="H153" s="126" t="n">
        <f aca="false">5.96/(30*12)</f>
        <v>0.0165555555555556</v>
      </c>
      <c r="I153" s="130" t="n">
        <f aca="false">H153*$H$37</f>
        <v>18.8236666666667</v>
      </c>
      <c r="J153" s="130"/>
      <c r="K153" s="113"/>
      <c r="L153" s="131"/>
      <c r="N153" s="113"/>
      <c r="O153" s="113"/>
      <c r="P153" s="113"/>
      <c r="Q153" s="113"/>
    </row>
    <row r="154" customFormat="false" ht="54" hidden="false" customHeight="true" outlineLevel="0" collapsed="false">
      <c r="A154" s="108" t="s">
        <v>108</v>
      </c>
      <c r="B154" s="133" t="s">
        <v>506</v>
      </c>
      <c r="C154" s="133"/>
      <c r="D154" s="133"/>
      <c r="E154" s="133"/>
      <c r="F154" s="133"/>
      <c r="G154" s="133"/>
      <c r="H154" s="133"/>
      <c r="I154" s="133"/>
      <c r="J154" s="133"/>
      <c r="L154" s="131"/>
      <c r="N154" s="113"/>
      <c r="O154" s="113"/>
      <c r="P154" s="113"/>
      <c r="Q154" s="113"/>
    </row>
    <row r="155" customFormat="false" ht="12.75" hidden="false" customHeight="true" outlineLevel="0" collapsed="false">
      <c r="A155" s="108" t="s">
        <v>364</v>
      </c>
      <c r="B155" s="109" t="s">
        <v>507</v>
      </c>
      <c r="C155" s="109"/>
      <c r="D155" s="109"/>
      <c r="E155" s="109"/>
      <c r="F155" s="109"/>
      <c r="G155" s="109"/>
      <c r="H155" s="109"/>
      <c r="I155" s="109"/>
      <c r="J155" s="109"/>
      <c r="L155" s="131"/>
      <c r="N155" s="113"/>
      <c r="O155" s="113"/>
      <c r="P155" s="113"/>
      <c r="Q155" s="113"/>
    </row>
    <row r="156" customFormat="false" ht="12.75" hidden="false" customHeight="true" outlineLevel="0" collapsed="false">
      <c r="A156" s="19" t="s">
        <v>430</v>
      </c>
      <c r="B156" s="21" t="s">
        <v>508</v>
      </c>
      <c r="C156" s="21"/>
      <c r="D156" s="21"/>
      <c r="E156" s="21"/>
      <c r="F156" s="21"/>
      <c r="G156" s="21"/>
      <c r="H156" s="126" t="n">
        <f aca="false">5*0.0731*0.5555/(30*12)</f>
        <v>0.000563986805555556</v>
      </c>
      <c r="I156" s="130" t="n">
        <f aca="false">H156*$H$37</f>
        <v>0.641252997916667</v>
      </c>
      <c r="J156" s="130"/>
      <c r="K156" s="113"/>
      <c r="N156" s="113"/>
      <c r="O156" s="113"/>
      <c r="P156" s="113"/>
    </row>
    <row r="157" customFormat="false" ht="94.5" hidden="false" customHeight="true" outlineLevel="0" collapsed="false">
      <c r="A157" s="108" t="s">
        <v>108</v>
      </c>
      <c r="B157" s="133" t="s">
        <v>509</v>
      </c>
      <c r="C157" s="133"/>
      <c r="D157" s="133"/>
      <c r="E157" s="133"/>
      <c r="F157" s="133"/>
      <c r="G157" s="133"/>
      <c r="H157" s="133"/>
      <c r="I157" s="133"/>
      <c r="J157" s="133"/>
      <c r="M157" s="113"/>
      <c r="N157" s="113"/>
      <c r="O157" s="113"/>
      <c r="P157" s="113"/>
      <c r="Q157" s="113"/>
    </row>
    <row r="158" customFormat="false" ht="12.75" hidden="false" customHeight="true" outlineLevel="0" collapsed="false">
      <c r="A158" s="108" t="s">
        <v>364</v>
      </c>
      <c r="B158" s="109" t="s">
        <v>510</v>
      </c>
      <c r="C158" s="109"/>
      <c r="D158" s="109"/>
      <c r="E158" s="109"/>
      <c r="F158" s="109"/>
      <c r="G158" s="109"/>
      <c r="H158" s="109"/>
      <c r="I158" s="109"/>
      <c r="J158" s="109"/>
      <c r="P158" s="113"/>
    </row>
    <row r="159" customFormat="false" ht="12.75" hidden="false" customHeight="true" outlineLevel="0" collapsed="false">
      <c r="A159" s="19" t="s">
        <v>432</v>
      </c>
      <c r="B159" s="21" t="s">
        <v>511</v>
      </c>
      <c r="C159" s="21"/>
      <c r="D159" s="21"/>
      <c r="E159" s="21"/>
      <c r="F159" s="21"/>
      <c r="G159" s="21"/>
      <c r="H159" s="126" t="n">
        <f aca="false">2.96/(30*12)</f>
        <v>0.00822222222222222</v>
      </c>
      <c r="I159" s="130" t="n">
        <f aca="false">H159*$H$37</f>
        <v>9.34866666666667</v>
      </c>
      <c r="J159" s="130"/>
      <c r="K159" s="113"/>
    </row>
    <row r="160" customFormat="false" ht="93" hidden="false" customHeight="true" outlineLevel="0" collapsed="false">
      <c r="A160" s="108" t="s">
        <v>108</v>
      </c>
      <c r="B160" s="133" t="s">
        <v>512</v>
      </c>
      <c r="C160" s="133"/>
      <c r="D160" s="133"/>
      <c r="E160" s="133"/>
      <c r="F160" s="133"/>
      <c r="G160" s="133"/>
      <c r="H160" s="133"/>
      <c r="I160" s="133"/>
      <c r="J160" s="133"/>
    </row>
    <row r="161" customFormat="false" ht="12.75" hidden="false" customHeight="true" outlineLevel="0" collapsed="false">
      <c r="A161" s="108" t="s">
        <v>364</v>
      </c>
      <c r="B161" s="109" t="s">
        <v>513</v>
      </c>
      <c r="C161" s="109"/>
      <c r="D161" s="109"/>
      <c r="E161" s="109"/>
      <c r="F161" s="109"/>
      <c r="G161" s="109"/>
      <c r="H161" s="109"/>
      <c r="I161" s="109"/>
      <c r="J161" s="109"/>
    </row>
    <row r="162" customFormat="false" ht="12.75" hidden="false" customHeight="true" outlineLevel="0" collapsed="false">
      <c r="A162" s="19" t="s">
        <v>434</v>
      </c>
      <c r="B162" s="21" t="s">
        <v>514</v>
      </c>
      <c r="C162" s="21"/>
      <c r="D162" s="21"/>
      <c r="E162" s="21"/>
      <c r="F162" s="21"/>
      <c r="G162" s="21"/>
      <c r="H162" s="126" t="n">
        <f aca="false">0.91/(30*12)</f>
        <v>0.00252777777777778</v>
      </c>
      <c r="I162" s="130" t="n">
        <f aca="false">H162*$H$37</f>
        <v>2.87408333333333</v>
      </c>
      <c r="J162" s="130"/>
      <c r="K162" s="113"/>
    </row>
    <row r="163" customFormat="false" ht="66" hidden="false" customHeight="true" outlineLevel="0" collapsed="false">
      <c r="A163" s="108" t="s">
        <v>108</v>
      </c>
      <c r="B163" s="133" t="s">
        <v>515</v>
      </c>
      <c r="C163" s="133"/>
      <c r="D163" s="133"/>
      <c r="E163" s="133"/>
      <c r="F163" s="133"/>
      <c r="G163" s="133"/>
      <c r="H163" s="133"/>
      <c r="I163" s="133"/>
      <c r="J163" s="133"/>
    </row>
    <row r="164" customFormat="false" ht="12.75" hidden="false" customHeight="true" outlineLevel="0" collapsed="false">
      <c r="A164" s="108" t="s">
        <v>364</v>
      </c>
      <c r="B164" s="109" t="s">
        <v>516</v>
      </c>
      <c r="C164" s="109"/>
      <c r="D164" s="109"/>
      <c r="E164" s="109"/>
      <c r="F164" s="109"/>
      <c r="G164" s="109"/>
      <c r="H164" s="109"/>
      <c r="I164" s="109"/>
      <c r="J164" s="109"/>
    </row>
    <row r="165" customFormat="false" ht="12.75" hidden="false" customHeight="true" outlineLevel="0" collapsed="false">
      <c r="A165" s="19" t="s">
        <v>438</v>
      </c>
      <c r="B165" s="111" t="s">
        <v>444</v>
      </c>
      <c r="C165" s="111"/>
      <c r="D165" s="111"/>
      <c r="E165" s="111"/>
      <c r="F165" s="111"/>
      <c r="G165" s="111"/>
      <c r="H165" s="126"/>
      <c r="I165" s="130" t="n">
        <f aca="false">H165*$H$37</f>
        <v>0</v>
      </c>
      <c r="J165" s="130"/>
      <c r="K165" s="113"/>
    </row>
    <row r="166" customFormat="false" ht="12.75" hidden="false" customHeight="true" outlineLevel="0" collapsed="false">
      <c r="A166" s="108" t="s">
        <v>108</v>
      </c>
      <c r="B166" s="109" t="s">
        <v>517</v>
      </c>
      <c r="C166" s="109"/>
      <c r="D166" s="109"/>
      <c r="E166" s="109"/>
      <c r="F166" s="109"/>
      <c r="G166" s="109"/>
      <c r="H166" s="109"/>
      <c r="I166" s="109"/>
      <c r="J166" s="109"/>
    </row>
    <row r="167" customFormat="false" ht="12.75" hidden="false" customHeight="true" outlineLevel="0" collapsed="false">
      <c r="A167" s="108" t="s">
        <v>364</v>
      </c>
      <c r="B167" s="109" t="s">
        <v>518</v>
      </c>
      <c r="C167" s="109"/>
      <c r="D167" s="109"/>
      <c r="E167" s="109"/>
      <c r="F167" s="109"/>
      <c r="G167" s="109"/>
      <c r="H167" s="109"/>
      <c r="I167" s="109"/>
      <c r="J167" s="109"/>
    </row>
    <row r="168" customFormat="false" ht="12.75" hidden="false" customHeight="false" outlineLevel="0" collapsed="false">
      <c r="A168" s="16" t="str">
        <f aca="false">"Total do Sobmódulo "&amp;A146</f>
        <v>Total do Sobmódulo 4.5</v>
      </c>
      <c r="B168" s="16"/>
      <c r="C168" s="16"/>
      <c r="D168" s="16"/>
      <c r="E168" s="16"/>
      <c r="F168" s="16"/>
      <c r="G168" s="16"/>
      <c r="H168" s="127" t="n">
        <f aca="false">SUM(H147,H150,H153,H156,H159,H162,H165)</f>
        <v>0.138980653472222</v>
      </c>
      <c r="I168" s="128" t="n">
        <f aca="false">SUM(I147,I150,I153,I156,I159,I162,I165)</f>
        <v>158.021002997917</v>
      </c>
      <c r="J168" s="128"/>
      <c r="K168" s="129"/>
    </row>
    <row r="169" customFormat="false" ht="12.75" hidden="false" customHeight="false" outlineLevel="0" collapsed="false">
      <c r="K169" s="113"/>
    </row>
    <row r="170" customFormat="false" ht="12.75" hidden="false" customHeight="false" outlineLevel="0" collapsed="false">
      <c r="A170" s="8" t="s">
        <v>519</v>
      </c>
      <c r="B170" s="8"/>
      <c r="C170" s="8"/>
      <c r="D170" s="8"/>
      <c r="E170" s="8"/>
      <c r="F170" s="8"/>
      <c r="G170" s="8"/>
      <c r="H170" s="8"/>
      <c r="I170" s="8"/>
      <c r="J170" s="8"/>
    </row>
    <row r="171" customFormat="false" ht="12.75" hidden="false" customHeight="true" outlineLevel="0" collapsed="false">
      <c r="A171" s="28" t="s">
        <v>520</v>
      </c>
      <c r="B171" s="104" t="s">
        <v>521</v>
      </c>
      <c r="C171" s="104"/>
      <c r="D171" s="104"/>
      <c r="E171" s="104"/>
      <c r="F171" s="104"/>
      <c r="G171" s="104"/>
      <c r="H171" s="134" t="s">
        <v>75</v>
      </c>
      <c r="I171" s="135" t="s">
        <v>522</v>
      </c>
      <c r="J171" s="135"/>
    </row>
    <row r="172" customFormat="false" ht="12.75" hidden="false" customHeight="false" outlineLevel="0" collapsed="false">
      <c r="A172" s="19" t="n">
        <v>1</v>
      </c>
      <c r="B172" s="10" t="str">
        <f aca="false">$B$31</f>
        <v> Remuneração</v>
      </c>
      <c r="C172" s="10"/>
      <c r="D172" s="10"/>
      <c r="E172" s="10"/>
      <c r="F172" s="10"/>
      <c r="G172" s="10"/>
      <c r="H172" s="24"/>
      <c r="I172" s="136" t="n">
        <f aca="false">H33+$H$35</f>
        <v>1137</v>
      </c>
      <c r="J172" s="136"/>
      <c r="P172" s="137"/>
      <c r="Q172" s="137"/>
    </row>
    <row r="173" customFormat="false" ht="12.75" hidden="false" customHeight="false" outlineLevel="0" collapsed="false">
      <c r="A173" s="19" t="n">
        <v>2</v>
      </c>
      <c r="B173" s="10" t="str">
        <f aca="false">$B$39</f>
        <v>Benefícios mensais e diários</v>
      </c>
      <c r="C173" s="10"/>
      <c r="D173" s="10"/>
      <c r="E173" s="10"/>
      <c r="F173" s="10"/>
      <c r="G173" s="10"/>
      <c r="H173" s="19"/>
      <c r="I173" s="136" t="n">
        <f aca="false">H49</f>
        <v>98.98</v>
      </c>
      <c r="J173" s="136"/>
    </row>
    <row r="174" customFormat="false" ht="12.75" hidden="false" customHeight="false" outlineLevel="0" collapsed="false">
      <c r="A174" s="19" t="n">
        <v>3</v>
      </c>
      <c r="B174" s="10" t="str">
        <f aca="false">$B$51</f>
        <v> Uniformes E EPI's</v>
      </c>
      <c r="C174" s="10"/>
      <c r="D174" s="10"/>
      <c r="E174" s="10"/>
      <c r="F174" s="10"/>
      <c r="G174" s="10"/>
      <c r="H174" s="19"/>
      <c r="I174" s="136" t="n">
        <f aca="false">$H$67+$H$80</f>
        <v>0</v>
      </c>
      <c r="J174" s="136"/>
    </row>
    <row r="175" customFormat="false" ht="12.75" hidden="false" customHeight="false" outlineLevel="0" collapsed="false">
      <c r="A175" s="19" t="n">
        <v>4</v>
      </c>
      <c r="B175" s="10" t="str">
        <f aca="false">$B$83</f>
        <v>Encargos Sociais e Trabalhistas</v>
      </c>
      <c r="C175" s="10"/>
      <c r="D175" s="10"/>
      <c r="E175" s="10"/>
      <c r="F175" s="10"/>
      <c r="G175" s="10"/>
      <c r="H175" s="138" t="n">
        <f aca="false">SUM($H$107,$H$115,$H$124,$H$144,$H$168)</f>
        <v>0.705426407383333</v>
      </c>
      <c r="I175" s="136" t="n">
        <f aca="false">H175*I172</f>
        <v>802.06982519485</v>
      </c>
      <c r="J175" s="136"/>
      <c r="K175" s="129"/>
    </row>
    <row r="176" customFormat="false" ht="12.75" hidden="false" customHeight="false" outlineLevel="0" collapsed="false">
      <c r="A176" s="19" t="n">
        <v>5</v>
      </c>
      <c r="B176" s="10" t="s">
        <v>444</v>
      </c>
      <c r="C176" s="10"/>
      <c r="D176" s="10"/>
      <c r="E176" s="10"/>
      <c r="F176" s="10"/>
      <c r="G176" s="10"/>
      <c r="H176" s="138"/>
      <c r="I176" s="136"/>
      <c r="J176" s="136"/>
    </row>
    <row r="177" customFormat="false" ht="12.75" hidden="false" customHeight="false" outlineLevel="0" collapsed="false">
      <c r="A177" s="16" t="s">
        <v>68</v>
      </c>
      <c r="B177" s="16"/>
      <c r="C177" s="16"/>
      <c r="D177" s="16"/>
      <c r="E177" s="16"/>
      <c r="F177" s="16"/>
      <c r="G177" s="16"/>
      <c r="H177" s="16"/>
      <c r="I177" s="128" t="n">
        <f aca="false">SUM(I172:J176)</f>
        <v>2038.04982519485</v>
      </c>
      <c r="J177" s="128"/>
    </row>
    <row r="179" customFormat="false" ht="26.25" hidden="false" customHeight="true" outlineLevel="0" collapsed="false">
      <c r="A179" s="83" t="s">
        <v>523</v>
      </c>
      <c r="B179" s="83"/>
      <c r="C179" s="83"/>
      <c r="D179" s="83"/>
      <c r="E179" s="83"/>
      <c r="F179" s="83"/>
      <c r="G179" s="83"/>
      <c r="H179" s="83"/>
      <c r="I179" s="83"/>
      <c r="J179" s="83"/>
    </row>
    <row r="181" customFormat="false" ht="12.75" hidden="false" customHeight="false" outlineLevel="0" collapsed="false">
      <c r="A181" s="8" t="s">
        <v>524</v>
      </c>
      <c r="B181" s="8"/>
      <c r="C181" s="8"/>
      <c r="D181" s="8"/>
      <c r="E181" s="8"/>
      <c r="F181" s="8"/>
      <c r="G181" s="8"/>
      <c r="H181" s="8"/>
      <c r="I181" s="8"/>
      <c r="J181" s="8"/>
    </row>
    <row r="182" customFormat="false" ht="12.75" hidden="false" customHeight="true" outlineLevel="0" collapsed="false">
      <c r="A182" s="28" t="s">
        <v>520</v>
      </c>
      <c r="B182" s="104" t="s">
        <v>521</v>
      </c>
      <c r="C182" s="104"/>
      <c r="D182" s="104"/>
      <c r="E182" s="104"/>
      <c r="F182" s="104"/>
      <c r="G182" s="104"/>
      <c r="H182" s="134" t="s">
        <v>75</v>
      </c>
      <c r="I182" s="135" t="s">
        <v>522</v>
      </c>
      <c r="J182" s="135"/>
    </row>
    <row r="183" customFormat="false" ht="12.75" hidden="false" customHeight="false" outlineLevel="0" collapsed="false">
      <c r="A183" s="19" t="n">
        <v>1</v>
      </c>
      <c r="B183" s="10" t="str">
        <f aca="false">$B$31</f>
        <v> Remuneração</v>
      </c>
      <c r="C183" s="10"/>
      <c r="D183" s="10"/>
      <c r="E183" s="10"/>
      <c r="F183" s="10"/>
      <c r="G183" s="10"/>
      <c r="H183" s="24"/>
      <c r="I183" s="136" t="n">
        <f aca="false">I172*1.062+$H$35</f>
        <v>1207.494</v>
      </c>
      <c r="J183" s="136"/>
    </row>
    <row r="184" customFormat="false" ht="12.75" hidden="false" customHeight="false" outlineLevel="0" collapsed="false">
      <c r="A184" s="19" t="n">
        <v>2</v>
      </c>
      <c r="B184" s="10" t="str">
        <f aca="false">$B$39</f>
        <v>Benefícios mensais e diários</v>
      </c>
      <c r="C184" s="10"/>
      <c r="D184" s="10"/>
      <c r="E184" s="10"/>
      <c r="F184" s="10"/>
      <c r="G184" s="10"/>
      <c r="H184" s="19"/>
      <c r="I184" s="136" t="n">
        <f aca="false">SUM(H185,H186,H187)</f>
        <v>94.75036</v>
      </c>
      <c r="J184" s="136"/>
    </row>
    <row r="185" customFormat="false" ht="15" hidden="true" customHeight="true" outlineLevel="0" collapsed="false">
      <c r="A185" s="19" t="s">
        <v>400</v>
      </c>
      <c r="B185" s="21" t="s">
        <v>411</v>
      </c>
      <c r="C185" s="21"/>
      <c r="D185" s="21"/>
      <c r="E185" s="21"/>
      <c r="F185" s="21"/>
      <c r="G185" s="21"/>
      <c r="H185" s="124" t="n">
        <f aca="false">IF((3.8*2*22-0.06*I183)&gt;0,3.8*2*22-0.06*I183,0)</f>
        <v>94.75036</v>
      </c>
      <c r="I185" s="124"/>
      <c r="J185" s="124"/>
      <c r="K185" s="129"/>
    </row>
    <row r="186" customFormat="false" ht="12.75" hidden="true" customHeight="true" outlineLevel="0" collapsed="false">
      <c r="A186" s="19" t="s">
        <v>417</v>
      </c>
      <c r="B186" s="21" t="s">
        <v>418</v>
      </c>
      <c r="C186" s="21"/>
      <c r="D186" s="21"/>
      <c r="E186" s="21"/>
      <c r="F186" s="21"/>
      <c r="G186" s="21"/>
      <c r="H186" s="124" t="n">
        <f aca="false">IF('DI, Tri e Pag'!$H$12:$J$12='DI, Tri e Pag'!$L$12,-('DI, Tri e Pag'!$H$23+'DI, Tri e Pag'!$H$24)*H185,0)</f>
        <v>0</v>
      </c>
      <c r="I186" s="124"/>
      <c r="J186" s="124"/>
      <c r="K186" s="139"/>
    </row>
    <row r="187" customFormat="false" ht="15" hidden="true" customHeight="true" outlineLevel="0" collapsed="false">
      <c r="A187" s="19" t="s">
        <v>403</v>
      </c>
      <c r="B187" s="21" t="s">
        <v>407</v>
      </c>
      <c r="C187" s="21"/>
      <c r="D187" s="21"/>
      <c r="E187" s="21"/>
      <c r="F187" s="21"/>
      <c r="G187" s="21"/>
      <c r="H187" s="124" t="n">
        <f aca="false">$H$47</f>
        <v>0</v>
      </c>
      <c r="I187" s="124"/>
      <c r="J187" s="124"/>
    </row>
    <row r="188" customFormat="false" ht="12.75" hidden="false" customHeight="false" outlineLevel="0" collapsed="false">
      <c r="A188" s="19" t="n">
        <v>3</v>
      </c>
      <c r="B188" s="10" t="str">
        <f aca="false">$B$51</f>
        <v> Uniformes E EPI's</v>
      </c>
      <c r="C188" s="10"/>
      <c r="D188" s="10"/>
      <c r="E188" s="10"/>
      <c r="F188" s="10"/>
      <c r="G188" s="10"/>
      <c r="H188" s="19"/>
      <c r="I188" s="136" t="n">
        <f aca="false">$H$67+$H$80</f>
        <v>0</v>
      </c>
      <c r="J188" s="136"/>
    </row>
    <row r="189" customFormat="false" ht="12.75" hidden="false" customHeight="false" outlineLevel="0" collapsed="false">
      <c r="A189" s="19" t="n">
        <v>4</v>
      </c>
      <c r="B189" s="10" t="str">
        <f aca="false">$B$83</f>
        <v>Encargos Sociais e Trabalhistas</v>
      </c>
      <c r="C189" s="10"/>
      <c r="D189" s="10"/>
      <c r="E189" s="10"/>
      <c r="F189" s="10"/>
      <c r="G189" s="10"/>
      <c r="H189" s="138" t="n">
        <f aca="false">SUM($H$107,$H$115,$H$124,$H$144,$H$168)</f>
        <v>0.705426407383333</v>
      </c>
      <c r="I189" s="136" t="n">
        <f aca="false">H189*I183</f>
        <v>851.798154356931</v>
      </c>
      <c r="J189" s="136"/>
    </row>
    <row r="190" customFormat="false" ht="12.75" hidden="false" customHeight="false" outlineLevel="0" collapsed="false">
      <c r="A190" s="19" t="n">
        <v>5</v>
      </c>
      <c r="B190" s="10" t="str">
        <f aca="false">B176</f>
        <v>Outro (Especificar)</v>
      </c>
      <c r="C190" s="10"/>
      <c r="D190" s="10"/>
      <c r="E190" s="10"/>
      <c r="F190" s="10"/>
      <c r="G190" s="10"/>
      <c r="H190" s="138"/>
      <c r="I190" s="136"/>
      <c r="J190" s="136"/>
    </row>
    <row r="191" customFormat="false" ht="12.75" hidden="false" customHeight="false" outlineLevel="0" collapsed="false">
      <c r="A191" s="16" t="s">
        <v>68</v>
      </c>
      <c r="B191" s="16"/>
      <c r="C191" s="16"/>
      <c r="D191" s="16"/>
      <c r="E191" s="16"/>
      <c r="F191" s="16"/>
      <c r="G191" s="16"/>
      <c r="H191" s="16"/>
      <c r="I191" s="128" t="n">
        <f aca="false">SUM(I183,I184,I188,I189,I190)</f>
        <v>2154.04251435693</v>
      </c>
      <c r="J191" s="128"/>
    </row>
    <row r="193" customFormat="false" ht="12.75" hidden="false" customHeight="false" outlineLevel="0" collapsed="false">
      <c r="A193" s="8" t="s">
        <v>525</v>
      </c>
      <c r="B193" s="8"/>
      <c r="C193" s="8"/>
      <c r="D193" s="8"/>
      <c r="E193" s="8"/>
      <c r="F193" s="8"/>
      <c r="G193" s="8"/>
      <c r="H193" s="8"/>
      <c r="I193" s="8"/>
      <c r="J193" s="8"/>
    </row>
    <row r="194" customFormat="false" ht="12.75" hidden="false" customHeight="true" outlineLevel="0" collapsed="false">
      <c r="A194" s="28" t="s">
        <v>520</v>
      </c>
      <c r="B194" s="104" t="s">
        <v>521</v>
      </c>
      <c r="C194" s="104"/>
      <c r="D194" s="104"/>
      <c r="E194" s="104"/>
      <c r="F194" s="104"/>
      <c r="G194" s="104"/>
      <c r="H194" s="134" t="s">
        <v>75</v>
      </c>
      <c r="I194" s="135" t="s">
        <v>522</v>
      </c>
      <c r="J194" s="135"/>
    </row>
    <row r="195" customFormat="false" ht="12.75" hidden="false" customHeight="false" outlineLevel="0" collapsed="false">
      <c r="A195" s="19" t="n">
        <v>1</v>
      </c>
      <c r="B195" s="10" t="str">
        <f aca="false">$B$31</f>
        <v> Remuneração</v>
      </c>
      <c r="C195" s="10"/>
      <c r="D195" s="10"/>
      <c r="E195" s="10"/>
      <c r="F195" s="10"/>
      <c r="G195" s="10"/>
      <c r="H195" s="24"/>
      <c r="I195" s="136" t="n">
        <f aca="false">I183*1.062+$H$35</f>
        <v>1282.358628</v>
      </c>
      <c r="J195" s="136"/>
    </row>
    <row r="196" customFormat="false" ht="12.75" hidden="false" customHeight="false" outlineLevel="0" collapsed="false">
      <c r="A196" s="19" t="n">
        <v>2</v>
      </c>
      <c r="B196" s="10" t="str">
        <f aca="false">$B$39</f>
        <v>Benefícios mensais e diários</v>
      </c>
      <c r="C196" s="10"/>
      <c r="D196" s="10"/>
      <c r="E196" s="10"/>
      <c r="F196" s="10"/>
      <c r="G196" s="10"/>
      <c r="H196" s="19"/>
      <c r="I196" s="136" t="n">
        <f aca="false">SUM(H197,H198,H199)</f>
        <v>90.25848232</v>
      </c>
      <c r="J196" s="136"/>
    </row>
    <row r="197" customFormat="false" ht="15" hidden="true" customHeight="true" outlineLevel="0" collapsed="false">
      <c r="A197" s="19" t="s">
        <v>400</v>
      </c>
      <c r="B197" s="21" t="s">
        <v>411</v>
      </c>
      <c r="C197" s="21"/>
      <c r="D197" s="21"/>
      <c r="E197" s="21"/>
      <c r="F197" s="21"/>
      <c r="G197" s="21"/>
      <c r="H197" s="124" t="n">
        <f aca="false">IF((3.8*2*22-0.06*I195)&gt;0,3.8*2*22-0.06*I195,0)</f>
        <v>90.25848232</v>
      </c>
      <c r="I197" s="124"/>
      <c r="J197" s="124"/>
      <c r="K197" s="129"/>
    </row>
    <row r="198" customFormat="false" ht="12.75" hidden="true" customHeight="true" outlineLevel="0" collapsed="false">
      <c r="A198" s="19" t="s">
        <v>417</v>
      </c>
      <c r="B198" s="21" t="s">
        <v>418</v>
      </c>
      <c r="C198" s="21"/>
      <c r="D198" s="21"/>
      <c r="E198" s="21"/>
      <c r="F198" s="21"/>
      <c r="G198" s="21"/>
      <c r="H198" s="124" t="n">
        <f aca="false">IF('DI, Tri e Pag'!$H$12:$J$12='DI, Tri e Pag'!$L$12,-('DI, Tri e Pag'!$H$23+'DI, Tri e Pag'!$H$24)*H197,0)</f>
        <v>0</v>
      </c>
      <c r="I198" s="124"/>
      <c r="J198" s="124"/>
      <c r="K198" s="139"/>
    </row>
    <row r="199" customFormat="false" ht="15" hidden="true" customHeight="true" outlineLevel="0" collapsed="false">
      <c r="A199" s="19" t="s">
        <v>403</v>
      </c>
      <c r="B199" s="21" t="s">
        <v>407</v>
      </c>
      <c r="C199" s="21"/>
      <c r="D199" s="21"/>
      <c r="E199" s="21"/>
      <c r="F199" s="21"/>
      <c r="G199" s="21"/>
      <c r="H199" s="124" t="n">
        <f aca="false">$H$47</f>
        <v>0</v>
      </c>
      <c r="I199" s="124"/>
      <c r="J199" s="124"/>
    </row>
    <row r="200" customFormat="false" ht="12.75" hidden="false" customHeight="false" outlineLevel="0" collapsed="false">
      <c r="A200" s="19" t="n">
        <v>3</v>
      </c>
      <c r="B200" s="10" t="str">
        <f aca="false">$B$51</f>
        <v> Uniformes E EPI's</v>
      </c>
      <c r="C200" s="10"/>
      <c r="D200" s="10"/>
      <c r="E200" s="10"/>
      <c r="F200" s="10"/>
      <c r="G200" s="10"/>
      <c r="H200" s="19"/>
      <c r="I200" s="136" t="n">
        <f aca="false">$H$67+$H$80</f>
        <v>0</v>
      </c>
      <c r="J200" s="136"/>
    </row>
    <row r="201" customFormat="false" ht="12.75" hidden="false" customHeight="false" outlineLevel="0" collapsed="false">
      <c r="A201" s="19" t="n">
        <v>4</v>
      </c>
      <c r="B201" s="10" t="str">
        <f aca="false">$B$83</f>
        <v>Encargos Sociais e Trabalhistas</v>
      </c>
      <c r="C201" s="10"/>
      <c r="D201" s="10"/>
      <c r="E201" s="10"/>
      <c r="F201" s="10"/>
      <c r="G201" s="10"/>
      <c r="H201" s="138" t="n">
        <f aca="false">SUM($H$107,$H$115,$H$124,$H$144,$H$168)</f>
        <v>0.705426407383333</v>
      </c>
      <c r="I201" s="136" t="n">
        <f aca="false">H201*I195</f>
        <v>904.609639927061</v>
      </c>
      <c r="J201" s="136"/>
    </row>
    <row r="202" customFormat="false" ht="12.75" hidden="false" customHeight="false" outlineLevel="0" collapsed="false">
      <c r="A202" s="19" t="n">
        <v>5</v>
      </c>
      <c r="B202" s="10" t="str">
        <f aca="false">B190</f>
        <v>Outro (Especificar)</v>
      </c>
      <c r="C202" s="10"/>
      <c r="D202" s="10"/>
      <c r="E202" s="10"/>
      <c r="F202" s="10"/>
      <c r="G202" s="10"/>
      <c r="H202" s="138"/>
      <c r="I202" s="136"/>
      <c r="J202" s="136"/>
    </row>
    <row r="203" customFormat="false" ht="12.75" hidden="false" customHeight="false" outlineLevel="0" collapsed="false">
      <c r="A203" s="16" t="s">
        <v>68</v>
      </c>
      <c r="B203" s="16"/>
      <c r="C203" s="16"/>
      <c r="D203" s="16"/>
      <c r="E203" s="16"/>
      <c r="F203" s="16"/>
      <c r="G203" s="16"/>
      <c r="H203" s="16"/>
      <c r="I203" s="128" t="n">
        <f aca="false">SUM(I195,I196,I200,I201,I202)</f>
        <v>2277.22675024706</v>
      </c>
      <c r="J203" s="128"/>
    </row>
    <row r="205" customFormat="false" ht="12.75" hidden="false" customHeight="false" outlineLevel="0" collapsed="false">
      <c r="A205" s="8" t="s">
        <v>526</v>
      </c>
      <c r="B205" s="8"/>
      <c r="C205" s="8"/>
      <c r="D205" s="8"/>
      <c r="E205" s="8"/>
      <c r="F205" s="8"/>
      <c r="G205" s="8"/>
      <c r="H205" s="8"/>
      <c r="I205" s="8"/>
      <c r="J205" s="8"/>
    </row>
    <row r="206" customFormat="false" ht="12.75" hidden="false" customHeight="true" outlineLevel="0" collapsed="false">
      <c r="A206" s="28" t="s">
        <v>520</v>
      </c>
      <c r="B206" s="104" t="s">
        <v>521</v>
      </c>
      <c r="C206" s="104"/>
      <c r="D206" s="104"/>
      <c r="E206" s="104"/>
      <c r="F206" s="104"/>
      <c r="G206" s="104"/>
      <c r="H206" s="134" t="s">
        <v>75</v>
      </c>
      <c r="I206" s="135" t="s">
        <v>522</v>
      </c>
      <c r="J206" s="135"/>
    </row>
    <row r="207" customFormat="false" ht="12.75" hidden="false" customHeight="false" outlineLevel="0" collapsed="false">
      <c r="A207" s="19" t="n">
        <v>1</v>
      </c>
      <c r="B207" s="10" t="str">
        <f aca="false">$B$31</f>
        <v> Remuneração</v>
      </c>
      <c r="C207" s="10"/>
      <c r="D207" s="10"/>
      <c r="E207" s="10"/>
      <c r="F207" s="10"/>
      <c r="G207" s="10"/>
      <c r="H207" s="24"/>
      <c r="I207" s="136" t="n">
        <f aca="false">I195*1.062+$H$35</f>
        <v>1361.864862936</v>
      </c>
      <c r="J207" s="136"/>
    </row>
    <row r="208" customFormat="false" ht="12.75" hidden="false" customHeight="false" outlineLevel="0" collapsed="false">
      <c r="A208" s="19" t="n">
        <v>2</v>
      </c>
      <c r="B208" s="10" t="str">
        <f aca="false">$B$39</f>
        <v>Benefícios mensais e diários</v>
      </c>
      <c r="C208" s="10"/>
      <c r="D208" s="10"/>
      <c r="E208" s="10"/>
      <c r="F208" s="10"/>
      <c r="G208" s="10"/>
      <c r="H208" s="19"/>
      <c r="I208" s="136" t="n">
        <f aca="false">SUM(H209,H210,H211)</f>
        <v>85.48810822384</v>
      </c>
      <c r="J208" s="136"/>
    </row>
    <row r="209" customFormat="false" ht="15" hidden="true" customHeight="true" outlineLevel="0" collapsed="false">
      <c r="A209" s="19" t="s">
        <v>400</v>
      </c>
      <c r="B209" s="21" t="s">
        <v>411</v>
      </c>
      <c r="C209" s="21"/>
      <c r="D209" s="21"/>
      <c r="E209" s="21"/>
      <c r="F209" s="21"/>
      <c r="G209" s="21"/>
      <c r="H209" s="124" t="n">
        <f aca="false">IF((3.8*2*22-0.06*I207)&gt;0,3.8*2*22-0.06*I207,0)</f>
        <v>85.48810822384</v>
      </c>
      <c r="I209" s="124"/>
      <c r="J209" s="124"/>
      <c r="K209" s="129"/>
    </row>
    <row r="210" customFormat="false" ht="12.75" hidden="true" customHeight="true" outlineLevel="0" collapsed="false">
      <c r="A210" s="19" t="s">
        <v>417</v>
      </c>
      <c r="B210" s="21" t="s">
        <v>418</v>
      </c>
      <c r="C210" s="21"/>
      <c r="D210" s="21"/>
      <c r="E210" s="21"/>
      <c r="F210" s="21"/>
      <c r="G210" s="21"/>
      <c r="H210" s="124" t="n">
        <f aca="false">IF('DI, Tri e Pag'!$H$12:$J$12='DI, Tri e Pag'!$L$12,-('DI, Tri e Pag'!$H$23+'DI, Tri e Pag'!$H$24)*H209,0)</f>
        <v>0</v>
      </c>
      <c r="I210" s="124"/>
      <c r="J210" s="124"/>
      <c r="K210" s="139"/>
    </row>
    <row r="211" customFormat="false" ht="15" hidden="true" customHeight="true" outlineLevel="0" collapsed="false">
      <c r="A211" s="19" t="s">
        <v>403</v>
      </c>
      <c r="B211" s="21" t="s">
        <v>407</v>
      </c>
      <c r="C211" s="21"/>
      <c r="D211" s="21"/>
      <c r="E211" s="21"/>
      <c r="F211" s="21"/>
      <c r="G211" s="21"/>
      <c r="H211" s="124" t="n">
        <f aca="false">$H$47</f>
        <v>0</v>
      </c>
      <c r="I211" s="124"/>
      <c r="J211" s="124"/>
    </row>
    <row r="212" customFormat="false" ht="12.75" hidden="false" customHeight="false" outlineLevel="0" collapsed="false">
      <c r="A212" s="19" t="n">
        <v>3</v>
      </c>
      <c r="B212" s="10" t="str">
        <f aca="false">$B$51</f>
        <v> Uniformes E EPI's</v>
      </c>
      <c r="C212" s="10"/>
      <c r="D212" s="10"/>
      <c r="E212" s="10"/>
      <c r="F212" s="10"/>
      <c r="G212" s="10"/>
      <c r="H212" s="19"/>
      <c r="I212" s="136" t="n">
        <f aca="false">$H$67+$H$80</f>
        <v>0</v>
      </c>
      <c r="J212" s="136"/>
    </row>
    <row r="213" customFormat="false" ht="12.75" hidden="false" customHeight="false" outlineLevel="0" collapsed="false">
      <c r="A213" s="19" t="n">
        <v>4</v>
      </c>
      <c r="B213" s="10" t="str">
        <f aca="false">$B$83</f>
        <v>Encargos Sociais e Trabalhistas</v>
      </c>
      <c r="C213" s="10"/>
      <c r="D213" s="10"/>
      <c r="E213" s="10"/>
      <c r="F213" s="10"/>
      <c r="G213" s="10"/>
      <c r="H213" s="138" t="n">
        <f aca="false">SUM($H$107,$H$115,$H$124,$H$144,$H$168)</f>
        <v>0.705426407383333</v>
      </c>
      <c r="I213" s="136" t="n">
        <f aca="false">H213*I207</f>
        <v>960.695437602538</v>
      </c>
      <c r="J213" s="136"/>
    </row>
    <row r="214" customFormat="false" ht="12.75" hidden="false" customHeight="false" outlineLevel="0" collapsed="false">
      <c r="A214" s="19" t="n">
        <v>5</v>
      </c>
      <c r="B214" s="10" t="str">
        <f aca="false">B202</f>
        <v>Outro (Especificar)</v>
      </c>
      <c r="C214" s="10"/>
      <c r="D214" s="10"/>
      <c r="E214" s="10"/>
      <c r="F214" s="10"/>
      <c r="G214" s="10"/>
      <c r="H214" s="138"/>
      <c r="I214" s="136"/>
      <c r="J214" s="136"/>
    </row>
    <row r="215" customFormat="false" ht="12.75" hidden="false" customHeight="false" outlineLevel="0" collapsed="false">
      <c r="A215" s="16" t="s">
        <v>68</v>
      </c>
      <c r="B215" s="16"/>
      <c r="C215" s="16"/>
      <c r="D215" s="16"/>
      <c r="E215" s="16"/>
      <c r="F215" s="16"/>
      <c r="G215" s="16"/>
      <c r="H215" s="16"/>
      <c r="I215" s="128" t="n">
        <f aca="false">SUM(I207,I208,I212,I213,I214)</f>
        <v>2408.04840876238</v>
      </c>
      <c r="J215" s="128"/>
    </row>
    <row r="217" customFormat="false" ht="12.75" hidden="false" customHeight="false" outlineLevel="0" collapsed="false">
      <c r="A217" s="8" t="s">
        <v>527</v>
      </c>
      <c r="B217" s="8"/>
      <c r="C217" s="8"/>
      <c r="D217" s="8"/>
      <c r="E217" s="8"/>
      <c r="F217" s="8"/>
      <c r="G217" s="8"/>
      <c r="H217" s="8"/>
      <c r="I217" s="8"/>
      <c r="J217" s="8"/>
    </row>
    <row r="218" customFormat="false" ht="12.75" hidden="false" customHeight="true" outlineLevel="0" collapsed="false">
      <c r="A218" s="28" t="s">
        <v>520</v>
      </c>
      <c r="B218" s="104" t="s">
        <v>521</v>
      </c>
      <c r="C218" s="104"/>
      <c r="D218" s="104"/>
      <c r="E218" s="104"/>
      <c r="F218" s="104"/>
      <c r="G218" s="104"/>
      <c r="H218" s="134" t="s">
        <v>75</v>
      </c>
      <c r="I218" s="135" t="s">
        <v>522</v>
      </c>
      <c r="J218" s="135"/>
    </row>
    <row r="219" customFormat="false" ht="12.75" hidden="false" customHeight="false" outlineLevel="0" collapsed="false">
      <c r="A219" s="19" t="n">
        <v>1</v>
      </c>
      <c r="B219" s="10" t="str">
        <f aca="false">$B$31</f>
        <v> Remuneração</v>
      </c>
      <c r="C219" s="10"/>
      <c r="D219" s="10"/>
      <c r="E219" s="10"/>
      <c r="F219" s="10"/>
      <c r="G219" s="10"/>
      <c r="H219" s="24"/>
      <c r="I219" s="136" t="n">
        <f aca="false">I207*1.062+$H$35</f>
        <v>1446.30048443803</v>
      </c>
      <c r="J219" s="136"/>
    </row>
    <row r="220" customFormat="false" ht="12.75" hidden="false" customHeight="false" outlineLevel="0" collapsed="false">
      <c r="A220" s="19" t="n">
        <v>2</v>
      </c>
      <c r="B220" s="10" t="str">
        <f aca="false">$B$39</f>
        <v>Benefícios mensais e diários</v>
      </c>
      <c r="C220" s="10"/>
      <c r="D220" s="10"/>
      <c r="E220" s="10"/>
      <c r="F220" s="10"/>
      <c r="G220" s="10"/>
      <c r="H220" s="19"/>
      <c r="I220" s="136" t="n">
        <f aca="false">SUM(H221,H222,H223)</f>
        <v>80.4219709337181</v>
      </c>
      <c r="J220" s="136"/>
    </row>
    <row r="221" customFormat="false" ht="15" hidden="true" customHeight="true" outlineLevel="0" collapsed="false">
      <c r="A221" s="19" t="s">
        <v>400</v>
      </c>
      <c r="B221" s="21" t="s">
        <v>411</v>
      </c>
      <c r="C221" s="21"/>
      <c r="D221" s="21"/>
      <c r="E221" s="21"/>
      <c r="F221" s="21"/>
      <c r="G221" s="21"/>
      <c r="H221" s="124" t="n">
        <f aca="false">IF((3.8*2*22-0.06*I219)&gt;0,3.8*2*22-0.06*I219,0)</f>
        <v>80.4219709337181</v>
      </c>
      <c r="I221" s="124"/>
      <c r="J221" s="124"/>
      <c r="K221" s="129"/>
    </row>
    <row r="222" customFormat="false" ht="12.75" hidden="true" customHeight="true" outlineLevel="0" collapsed="false">
      <c r="A222" s="19" t="s">
        <v>417</v>
      </c>
      <c r="B222" s="21" t="s">
        <v>418</v>
      </c>
      <c r="C222" s="21"/>
      <c r="D222" s="21"/>
      <c r="E222" s="21"/>
      <c r="F222" s="21"/>
      <c r="G222" s="21"/>
      <c r="H222" s="124" t="n">
        <f aca="false">IF('DI, Tri e Pag'!$H$12:$J$12='DI, Tri e Pag'!$L$12,-('DI, Tri e Pag'!$H$23+'DI, Tri e Pag'!$H$24)*H221,0)</f>
        <v>0</v>
      </c>
      <c r="I222" s="124"/>
      <c r="J222" s="124"/>
      <c r="K222" s="139"/>
    </row>
    <row r="223" customFormat="false" ht="15" hidden="true" customHeight="true" outlineLevel="0" collapsed="false">
      <c r="A223" s="19" t="s">
        <v>403</v>
      </c>
      <c r="B223" s="21" t="s">
        <v>407</v>
      </c>
      <c r="C223" s="21"/>
      <c r="D223" s="21"/>
      <c r="E223" s="21"/>
      <c r="F223" s="21"/>
      <c r="G223" s="21"/>
      <c r="H223" s="124" t="n">
        <f aca="false">$H$47</f>
        <v>0</v>
      </c>
      <c r="I223" s="124"/>
      <c r="J223" s="124"/>
    </row>
    <row r="224" customFormat="false" ht="12.75" hidden="false" customHeight="false" outlineLevel="0" collapsed="false">
      <c r="A224" s="19" t="n">
        <v>3</v>
      </c>
      <c r="B224" s="10" t="str">
        <f aca="false">$B$51</f>
        <v> Uniformes E EPI's</v>
      </c>
      <c r="C224" s="10"/>
      <c r="D224" s="10"/>
      <c r="E224" s="10"/>
      <c r="F224" s="10"/>
      <c r="G224" s="10"/>
      <c r="H224" s="19"/>
      <c r="I224" s="136" t="n">
        <f aca="false">$H$67+$H$80</f>
        <v>0</v>
      </c>
      <c r="J224" s="136"/>
    </row>
    <row r="225" customFormat="false" ht="12.75" hidden="false" customHeight="false" outlineLevel="0" collapsed="false">
      <c r="A225" s="19" t="n">
        <v>4</v>
      </c>
      <c r="B225" s="10" t="str">
        <f aca="false">$B$83</f>
        <v>Encargos Sociais e Trabalhistas</v>
      </c>
      <c r="C225" s="10"/>
      <c r="D225" s="10"/>
      <c r="E225" s="10"/>
      <c r="F225" s="10"/>
      <c r="G225" s="10"/>
      <c r="H225" s="138" t="n">
        <f aca="false">SUM($H$107,$H$115,$H$124,$H$144,$H$168)</f>
        <v>0.705426407383333</v>
      </c>
      <c r="I225" s="136" t="n">
        <f aca="false">H225*I219</f>
        <v>1020.2585547339</v>
      </c>
      <c r="J225" s="136"/>
    </row>
    <row r="226" customFormat="false" ht="12.75" hidden="false" customHeight="false" outlineLevel="0" collapsed="false">
      <c r="A226" s="19" t="n">
        <v>5</v>
      </c>
      <c r="B226" s="10" t="str">
        <f aca="false">B214</f>
        <v>Outro (Especificar)</v>
      </c>
      <c r="C226" s="10"/>
      <c r="D226" s="10"/>
      <c r="E226" s="10"/>
      <c r="F226" s="10"/>
      <c r="G226" s="10"/>
      <c r="H226" s="138"/>
      <c r="I226" s="136"/>
      <c r="J226" s="136"/>
    </row>
    <row r="227" customFormat="false" ht="12.75" hidden="false" customHeight="false" outlineLevel="0" collapsed="false">
      <c r="A227" s="16" t="s">
        <v>68</v>
      </c>
      <c r="B227" s="16"/>
      <c r="C227" s="16"/>
      <c r="D227" s="16"/>
      <c r="E227" s="16"/>
      <c r="F227" s="16"/>
      <c r="G227" s="16"/>
      <c r="H227" s="16"/>
      <c r="I227" s="128" t="n">
        <f aca="false">SUM(I219,I220,I224,I225,I226)</f>
        <v>2546.98101010565</v>
      </c>
      <c r="J227" s="128"/>
    </row>
    <row r="229" customFormat="false" ht="12.75" hidden="false" customHeight="false" outlineLevel="0" collapsed="false">
      <c r="A229" s="8" t="s">
        <v>528</v>
      </c>
      <c r="B229" s="8"/>
      <c r="C229" s="8"/>
      <c r="D229" s="8"/>
      <c r="E229" s="8"/>
      <c r="F229" s="8"/>
      <c r="G229" s="8"/>
      <c r="H229" s="8"/>
      <c r="I229" s="8"/>
      <c r="J229" s="8"/>
    </row>
    <row r="230" customFormat="false" ht="12.75" hidden="false" customHeight="true" outlineLevel="0" collapsed="false">
      <c r="A230" s="28" t="s">
        <v>520</v>
      </c>
      <c r="B230" s="104" t="s">
        <v>521</v>
      </c>
      <c r="C230" s="104"/>
      <c r="D230" s="104"/>
      <c r="E230" s="104"/>
      <c r="F230" s="104"/>
      <c r="G230" s="104"/>
      <c r="H230" s="134" t="s">
        <v>75</v>
      </c>
      <c r="I230" s="135" t="s">
        <v>522</v>
      </c>
      <c r="J230" s="135"/>
    </row>
    <row r="231" customFormat="false" ht="12.75" hidden="false" customHeight="false" outlineLevel="0" collapsed="false">
      <c r="A231" s="19" t="n">
        <v>1</v>
      </c>
      <c r="B231" s="10" t="str">
        <f aca="false">$B$31</f>
        <v> Remuneração</v>
      </c>
      <c r="C231" s="10"/>
      <c r="D231" s="10"/>
      <c r="E231" s="10"/>
      <c r="F231" s="10"/>
      <c r="G231" s="10"/>
      <c r="H231" s="24"/>
      <c r="I231" s="136" t="n">
        <f aca="false">I219*1.062+$H$35</f>
        <v>1535.97111447319</v>
      </c>
      <c r="J231" s="136"/>
    </row>
    <row r="232" customFormat="false" ht="12.75" hidden="false" customHeight="false" outlineLevel="0" collapsed="false">
      <c r="A232" s="19" t="n">
        <v>2</v>
      </c>
      <c r="B232" s="10" t="str">
        <f aca="false">$B$39</f>
        <v>Benefícios mensais e diários</v>
      </c>
      <c r="C232" s="10"/>
      <c r="D232" s="10"/>
      <c r="E232" s="10"/>
      <c r="F232" s="10"/>
      <c r="G232" s="10"/>
      <c r="H232" s="19"/>
      <c r="I232" s="136" t="n">
        <f aca="false">SUM(H233,H234,H235)</f>
        <v>75.0417331316086</v>
      </c>
      <c r="J232" s="136"/>
    </row>
    <row r="233" customFormat="false" ht="15" hidden="true" customHeight="true" outlineLevel="0" collapsed="false">
      <c r="A233" s="19" t="s">
        <v>400</v>
      </c>
      <c r="B233" s="21" t="s">
        <v>411</v>
      </c>
      <c r="C233" s="21"/>
      <c r="D233" s="21"/>
      <c r="E233" s="21"/>
      <c r="F233" s="21"/>
      <c r="G233" s="21"/>
      <c r="H233" s="124" t="n">
        <f aca="false">IF((3.8*2*22-0.06*I231)&gt;0,3.8*2*22-0.06*I231,0)</f>
        <v>75.0417331316086</v>
      </c>
      <c r="I233" s="124"/>
      <c r="J233" s="124"/>
      <c r="K233" s="129"/>
    </row>
    <row r="234" customFormat="false" ht="12.75" hidden="true" customHeight="true" outlineLevel="0" collapsed="false">
      <c r="A234" s="19" t="s">
        <v>417</v>
      </c>
      <c r="B234" s="21" t="s">
        <v>418</v>
      </c>
      <c r="C234" s="21"/>
      <c r="D234" s="21"/>
      <c r="E234" s="21"/>
      <c r="F234" s="21"/>
      <c r="G234" s="21"/>
      <c r="H234" s="124" t="n">
        <f aca="false">IF('DI, Tri e Pag'!$H$12:$J$12='DI, Tri e Pag'!$L$12,-('DI, Tri e Pag'!$H$23+'DI, Tri e Pag'!$H$24)*H233,0)</f>
        <v>0</v>
      </c>
      <c r="I234" s="124"/>
      <c r="J234" s="124"/>
      <c r="K234" s="139"/>
    </row>
    <row r="235" customFormat="false" ht="12.75" hidden="true" customHeight="true" outlineLevel="0" collapsed="false">
      <c r="A235" s="19" t="s">
        <v>403</v>
      </c>
      <c r="B235" s="21" t="s">
        <v>407</v>
      </c>
      <c r="C235" s="21"/>
      <c r="D235" s="21"/>
      <c r="E235" s="21"/>
      <c r="F235" s="21"/>
      <c r="G235" s="21"/>
      <c r="H235" s="124" t="n">
        <f aca="false">$H$47</f>
        <v>0</v>
      </c>
      <c r="I235" s="124"/>
      <c r="J235" s="124"/>
    </row>
    <row r="236" customFormat="false" ht="12.75" hidden="false" customHeight="false" outlineLevel="0" collapsed="false">
      <c r="A236" s="19" t="n">
        <v>3</v>
      </c>
      <c r="B236" s="10" t="str">
        <f aca="false">$B$51</f>
        <v> Uniformes E EPI's</v>
      </c>
      <c r="C236" s="10"/>
      <c r="D236" s="10"/>
      <c r="E236" s="10"/>
      <c r="F236" s="10"/>
      <c r="G236" s="10"/>
      <c r="H236" s="19"/>
      <c r="I236" s="136" t="n">
        <f aca="false">$H$67+$H$80</f>
        <v>0</v>
      </c>
      <c r="J236" s="136"/>
    </row>
    <row r="237" customFormat="false" ht="12.75" hidden="false" customHeight="false" outlineLevel="0" collapsed="false">
      <c r="A237" s="19" t="n">
        <v>4</v>
      </c>
      <c r="B237" s="10" t="str">
        <f aca="false">$B$83</f>
        <v>Encargos Sociais e Trabalhistas</v>
      </c>
      <c r="C237" s="10"/>
      <c r="D237" s="10"/>
      <c r="E237" s="10"/>
      <c r="F237" s="10"/>
      <c r="G237" s="10"/>
      <c r="H237" s="138" t="n">
        <f aca="false">SUM($H$107,$H$115,$H$124,$H$144,$H$168)</f>
        <v>0.705426407383333</v>
      </c>
      <c r="I237" s="136" t="n">
        <f aca="false">H237*I231</f>
        <v>1083.5145851274</v>
      </c>
      <c r="J237" s="136"/>
    </row>
    <row r="238" customFormat="false" ht="12.75" hidden="false" customHeight="false" outlineLevel="0" collapsed="false">
      <c r="A238" s="19" t="n">
        <v>5</v>
      </c>
      <c r="B238" s="10" t="str">
        <f aca="false">B226</f>
        <v>Outro (Especificar)</v>
      </c>
      <c r="C238" s="10"/>
      <c r="D238" s="10"/>
      <c r="E238" s="10"/>
      <c r="F238" s="10"/>
      <c r="G238" s="10"/>
      <c r="H238" s="138"/>
      <c r="I238" s="136"/>
      <c r="J238" s="136"/>
    </row>
    <row r="239" customFormat="false" ht="12.75" hidden="false" customHeight="false" outlineLevel="0" collapsed="false">
      <c r="A239" s="16" t="s">
        <v>68</v>
      </c>
      <c r="B239" s="16"/>
      <c r="C239" s="16"/>
      <c r="D239" s="16"/>
      <c r="E239" s="16"/>
      <c r="F239" s="16"/>
      <c r="G239" s="16"/>
      <c r="H239" s="16"/>
      <c r="I239" s="128" t="n">
        <f aca="false">SUM(I231,I232,I236,I237,I238)</f>
        <v>2694.5274327322</v>
      </c>
      <c r="J239" s="128"/>
    </row>
  </sheetData>
  <sheetProtection sheet="true" password="e536" objects="true" scenarios="true" formatColumns="false" formatRows="false"/>
  <mergeCells count="320">
    <mergeCell ref="A7:J7"/>
    <mergeCell ref="A11:J11"/>
    <mergeCell ref="A18:J18"/>
    <mergeCell ref="A20:J20"/>
    <mergeCell ref="B21:G21"/>
    <mergeCell ref="H21:J21"/>
    <mergeCell ref="B22:G22"/>
    <mergeCell ref="H22:J22"/>
    <mergeCell ref="B23:J23"/>
    <mergeCell ref="B24:G24"/>
    <mergeCell ref="H24:J24"/>
    <mergeCell ref="B25:J25"/>
    <mergeCell ref="B26:G26"/>
    <mergeCell ref="H26:J26"/>
    <mergeCell ref="B27:J27"/>
    <mergeCell ref="B28:G28"/>
    <mergeCell ref="H28:J28"/>
    <mergeCell ref="B29:J29"/>
    <mergeCell ref="B31:J31"/>
    <mergeCell ref="B32:G32"/>
    <mergeCell ref="H32:J32"/>
    <mergeCell ref="B33:G33"/>
    <mergeCell ref="H33:J33"/>
    <mergeCell ref="B34:J34"/>
    <mergeCell ref="B35:G35"/>
    <mergeCell ref="H35:J35"/>
    <mergeCell ref="B36:J36"/>
    <mergeCell ref="A37:G37"/>
    <mergeCell ref="H37:J37"/>
    <mergeCell ref="B39:J39"/>
    <mergeCell ref="B40:G40"/>
    <mergeCell ref="H40:J40"/>
    <mergeCell ref="B41:G41"/>
    <mergeCell ref="H41:J41"/>
    <mergeCell ref="B42:J42"/>
    <mergeCell ref="B43:J43"/>
    <mergeCell ref="B44:J44"/>
    <mergeCell ref="B45:G45"/>
    <mergeCell ref="H45:J45"/>
    <mergeCell ref="B46:J46"/>
    <mergeCell ref="B47:G47"/>
    <mergeCell ref="H47:J47"/>
    <mergeCell ref="B48:J48"/>
    <mergeCell ref="A49:G49"/>
    <mergeCell ref="H49:J49"/>
    <mergeCell ref="B51:J51"/>
    <mergeCell ref="B52:G52"/>
    <mergeCell ref="B53:G53"/>
    <mergeCell ref="B54:G54"/>
    <mergeCell ref="B55:G55"/>
    <mergeCell ref="B56:G56"/>
    <mergeCell ref="B57:G57"/>
    <mergeCell ref="B58:G58"/>
    <mergeCell ref="B59:G59"/>
    <mergeCell ref="B60:G60"/>
    <mergeCell ref="B61:G61"/>
    <mergeCell ref="B62:J62"/>
    <mergeCell ref="B63:J63"/>
    <mergeCell ref="B64:J64"/>
    <mergeCell ref="B65:G65"/>
    <mergeCell ref="H65:J65"/>
    <mergeCell ref="B66:J66"/>
    <mergeCell ref="A67:G67"/>
    <mergeCell ref="H67:J67"/>
    <mergeCell ref="B69:E69"/>
    <mergeCell ref="G69:H69"/>
    <mergeCell ref="B70:E70"/>
    <mergeCell ref="G70:H70"/>
    <mergeCell ref="B71:E71"/>
    <mergeCell ref="G71:H71"/>
    <mergeCell ref="B72:E72"/>
    <mergeCell ref="G72:H72"/>
    <mergeCell ref="B73:J73"/>
    <mergeCell ref="B74:J74"/>
    <mergeCell ref="B75:J75"/>
    <mergeCell ref="B76:J76"/>
    <mergeCell ref="B77:J77"/>
    <mergeCell ref="B78:G78"/>
    <mergeCell ref="H78:J78"/>
    <mergeCell ref="B79:J79"/>
    <mergeCell ref="A80:G80"/>
    <mergeCell ref="H80:J80"/>
    <mergeCell ref="B83:J83"/>
    <mergeCell ref="B84:G84"/>
    <mergeCell ref="I84:J84"/>
    <mergeCell ref="B85:G85"/>
    <mergeCell ref="I85:J85"/>
    <mergeCell ref="B86:J86"/>
    <mergeCell ref="B87:G87"/>
    <mergeCell ref="I87:J87"/>
    <mergeCell ref="B88:J88"/>
    <mergeCell ref="B89:J89"/>
    <mergeCell ref="B90:G90"/>
    <mergeCell ref="I90:J90"/>
    <mergeCell ref="B91:J91"/>
    <mergeCell ref="B92:J92"/>
    <mergeCell ref="B93:G93"/>
    <mergeCell ref="I93:J93"/>
    <mergeCell ref="B94:J94"/>
    <mergeCell ref="B95:J95"/>
    <mergeCell ref="B96:G96"/>
    <mergeCell ref="I96:J96"/>
    <mergeCell ref="B97:J97"/>
    <mergeCell ref="B98:J98"/>
    <mergeCell ref="B99:G99"/>
    <mergeCell ref="I99:J99"/>
    <mergeCell ref="B100:J100"/>
    <mergeCell ref="B101:G101"/>
    <mergeCell ref="I101:J101"/>
    <mergeCell ref="B102:J102"/>
    <mergeCell ref="B103:J103"/>
    <mergeCell ref="B104:G104"/>
    <mergeCell ref="I104:J104"/>
    <mergeCell ref="B105:J105"/>
    <mergeCell ref="B106:J106"/>
    <mergeCell ref="A107:G107"/>
    <mergeCell ref="I107:J107"/>
    <mergeCell ref="B109:G109"/>
    <mergeCell ref="I109:J109"/>
    <mergeCell ref="B110:G110"/>
    <mergeCell ref="I110:J110"/>
    <mergeCell ref="B111:J111"/>
    <mergeCell ref="B112:J112"/>
    <mergeCell ref="B113:G113"/>
    <mergeCell ref="I113:J113"/>
    <mergeCell ref="B114:J114"/>
    <mergeCell ref="A115:G115"/>
    <mergeCell ref="I115:J115"/>
    <mergeCell ref="B117:G117"/>
    <mergeCell ref="I117:J117"/>
    <mergeCell ref="B118:G118"/>
    <mergeCell ref="I118:J118"/>
    <mergeCell ref="B119:J119"/>
    <mergeCell ref="B120:J120"/>
    <mergeCell ref="B121:J121"/>
    <mergeCell ref="B122:G122"/>
    <mergeCell ref="I122:J122"/>
    <mergeCell ref="B123:J123"/>
    <mergeCell ref="A124:G124"/>
    <mergeCell ref="I124:J124"/>
    <mergeCell ref="B126:G126"/>
    <mergeCell ref="I126:J126"/>
    <mergeCell ref="B127:G127"/>
    <mergeCell ref="I127:J127"/>
    <mergeCell ref="B128:J128"/>
    <mergeCell ref="B129:J129"/>
    <mergeCell ref="B130:J130"/>
    <mergeCell ref="B131:J131"/>
    <mergeCell ref="B132:G132"/>
    <mergeCell ref="I132:J132"/>
    <mergeCell ref="B133:J133"/>
    <mergeCell ref="B134:G134"/>
    <mergeCell ref="I134:J134"/>
    <mergeCell ref="B135:J135"/>
    <mergeCell ref="B136:J136"/>
    <mergeCell ref="B137:G137"/>
    <mergeCell ref="I137:J137"/>
    <mergeCell ref="B138:J138"/>
    <mergeCell ref="B139:J139"/>
    <mergeCell ref="B140:G140"/>
    <mergeCell ref="I140:J140"/>
    <mergeCell ref="B141:J141"/>
    <mergeCell ref="B142:G142"/>
    <mergeCell ref="I142:J142"/>
    <mergeCell ref="B143:J143"/>
    <mergeCell ref="A144:G144"/>
    <mergeCell ref="I144:J144"/>
    <mergeCell ref="B146:G146"/>
    <mergeCell ref="I146:J146"/>
    <mergeCell ref="B147:G147"/>
    <mergeCell ref="I147:J147"/>
    <mergeCell ref="B148:J148"/>
    <mergeCell ref="B149:J149"/>
    <mergeCell ref="B150:G150"/>
    <mergeCell ref="I150:J150"/>
    <mergeCell ref="B151:J151"/>
    <mergeCell ref="B152:J152"/>
    <mergeCell ref="B153:G153"/>
    <mergeCell ref="I153:J153"/>
    <mergeCell ref="B154:J154"/>
    <mergeCell ref="B155:J155"/>
    <mergeCell ref="B156:G156"/>
    <mergeCell ref="I156:J156"/>
    <mergeCell ref="B157:J157"/>
    <mergeCell ref="B158:J158"/>
    <mergeCell ref="B159:G159"/>
    <mergeCell ref="I159:J159"/>
    <mergeCell ref="B160:J160"/>
    <mergeCell ref="B161:J161"/>
    <mergeCell ref="B162:G162"/>
    <mergeCell ref="I162:J162"/>
    <mergeCell ref="B163:J163"/>
    <mergeCell ref="B164:J164"/>
    <mergeCell ref="B165:G165"/>
    <mergeCell ref="I165:J165"/>
    <mergeCell ref="B166:J166"/>
    <mergeCell ref="B167:J167"/>
    <mergeCell ref="A168:G168"/>
    <mergeCell ref="I168:J168"/>
    <mergeCell ref="A170:J170"/>
    <mergeCell ref="B171:G171"/>
    <mergeCell ref="I171:J171"/>
    <mergeCell ref="B172:G172"/>
    <mergeCell ref="I172:J172"/>
    <mergeCell ref="B173:G173"/>
    <mergeCell ref="I173:J173"/>
    <mergeCell ref="B174:G174"/>
    <mergeCell ref="I174:J174"/>
    <mergeCell ref="B175:G175"/>
    <mergeCell ref="I175:J175"/>
    <mergeCell ref="B176:G176"/>
    <mergeCell ref="I176:J176"/>
    <mergeCell ref="A177:H177"/>
    <mergeCell ref="I177:J177"/>
    <mergeCell ref="A179:J179"/>
    <mergeCell ref="A181:J181"/>
    <mergeCell ref="B182:G182"/>
    <mergeCell ref="I182:J182"/>
    <mergeCell ref="B183:G183"/>
    <mergeCell ref="I183:J183"/>
    <mergeCell ref="B184:G184"/>
    <mergeCell ref="I184:J184"/>
    <mergeCell ref="B185:G185"/>
    <mergeCell ref="H185:J185"/>
    <mergeCell ref="B186:G186"/>
    <mergeCell ref="H186:J186"/>
    <mergeCell ref="B187:G187"/>
    <mergeCell ref="H187:J187"/>
    <mergeCell ref="B188:G188"/>
    <mergeCell ref="I188:J188"/>
    <mergeCell ref="B189:G189"/>
    <mergeCell ref="I189:J189"/>
    <mergeCell ref="B190:G190"/>
    <mergeCell ref="I190:J190"/>
    <mergeCell ref="A191:H191"/>
    <mergeCell ref="I191:J191"/>
    <mergeCell ref="A193:J193"/>
    <mergeCell ref="B194:G194"/>
    <mergeCell ref="I194:J194"/>
    <mergeCell ref="B195:G195"/>
    <mergeCell ref="I195:J195"/>
    <mergeCell ref="B196:G196"/>
    <mergeCell ref="I196:J196"/>
    <mergeCell ref="B197:G197"/>
    <mergeCell ref="H197:J197"/>
    <mergeCell ref="B198:G198"/>
    <mergeCell ref="H198:J198"/>
    <mergeCell ref="B199:G199"/>
    <mergeCell ref="H199:J199"/>
    <mergeCell ref="B200:G200"/>
    <mergeCell ref="I200:J200"/>
    <mergeCell ref="B201:G201"/>
    <mergeCell ref="I201:J201"/>
    <mergeCell ref="B202:G202"/>
    <mergeCell ref="I202:J202"/>
    <mergeCell ref="A203:H203"/>
    <mergeCell ref="I203:J203"/>
    <mergeCell ref="A205:J205"/>
    <mergeCell ref="B206:G206"/>
    <mergeCell ref="I206:J206"/>
    <mergeCell ref="B207:G207"/>
    <mergeCell ref="I207:J207"/>
    <mergeCell ref="B208:G208"/>
    <mergeCell ref="I208:J208"/>
    <mergeCell ref="B209:G209"/>
    <mergeCell ref="H209:J209"/>
    <mergeCell ref="B210:G210"/>
    <mergeCell ref="H210:J210"/>
    <mergeCell ref="B211:G211"/>
    <mergeCell ref="H211:J211"/>
    <mergeCell ref="B212:G212"/>
    <mergeCell ref="I212:J212"/>
    <mergeCell ref="B213:G213"/>
    <mergeCell ref="I213:J213"/>
    <mergeCell ref="B214:G214"/>
    <mergeCell ref="I214:J214"/>
    <mergeCell ref="A215:H215"/>
    <mergeCell ref="I215:J215"/>
    <mergeCell ref="A217:J217"/>
    <mergeCell ref="B218:G218"/>
    <mergeCell ref="I218:J218"/>
    <mergeCell ref="B219:G219"/>
    <mergeCell ref="I219:J219"/>
    <mergeCell ref="B220:G220"/>
    <mergeCell ref="I220:J220"/>
    <mergeCell ref="B221:G221"/>
    <mergeCell ref="H221:J221"/>
    <mergeCell ref="B222:G222"/>
    <mergeCell ref="H222:J222"/>
    <mergeCell ref="B223:G223"/>
    <mergeCell ref="H223:J223"/>
    <mergeCell ref="B224:G224"/>
    <mergeCell ref="I224:J224"/>
    <mergeCell ref="B225:G225"/>
    <mergeCell ref="I225:J225"/>
    <mergeCell ref="B226:G226"/>
    <mergeCell ref="I226:J226"/>
    <mergeCell ref="A227:H227"/>
    <mergeCell ref="I227:J227"/>
    <mergeCell ref="A229:J229"/>
    <mergeCell ref="B230:G230"/>
    <mergeCell ref="I230:J230"/>
    <mergeCell ref="B231:G231"/>
    <mergeCell ref="I231:J231"/>
    <mergeCell ref="B232:G232"/>
    <mergeCell ref="I232:J232"/>
    <mergeCell ref="B233:G233"/>
    <mergeCell ref="H233:J233"/>
    <mergeCell ref="B234:G234"/>
    <mergeCell ref="H234:J234"/>
    <mergeCell ref="B235:G235"/>
    <mergeCell ref="H235:J235"/>
    <mergeCell ref="B236:G236"/>
    <mergeCell ref="I236:J236"/>
    <mergeCell ref="B237:G237"/>
    <mergeCell ref="I237:J237"/>
    <mergeCell ref="B238:G238"/>
    <mergeCell ref="I238:J238"/>
    <mergeCell ref="A239:H239"/>
    <mergeCell ref="I239:J239"/>
  </mergeCells>
  <hyperlinks>
    <hyperlink ref="K7" location="Início!A7" display="Início"/>
    <hyperlink ref="L7" location="'C. F. P. Caixa-Operador'!A7" display="Voltar"/>
    <hyperlink ref="M7" location="'C. F. P. Supervisor'!A7" display="Avançar"/>
    <hyperlink ref="B128" r:id="rId2" display="Os dados de rotatividade da mão de obra para este estudo foram obtidos no CAGED –&#10;Cadastro Geral de Empregados e Desempregados, e podem ser consultados em: http://bi.mte.gov.br/cagedestabelecimento/pages/consulta.xhtml"/>
  </hyperlinks>
  <printOptions headings="false" gridLines="false" gridLinesSet="true" horizontalCentered="true" verticalCentered="false"/>
  <pageMargins left="0.315277777777778" right="0.315277777777778" top="0.590277777777778" bottom="0.984027777777778" header="0.511805555555555" footer="0.118055555555556"/>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&amp;L&amp;"Times New Roman,Normal"&amp;10C. F. P. - ORIENTADOR DE
TRÁFEGO&amp;C&amp;"Times New Roman,Normal"&amp;10&lt;Inserir nome da empresa&gt;
&lt;Inserir endereço da empresa&gt;
&lt;Inserir telefone da empresa&gt;
&lt;Inserir correio eletrônico da empresa&gt;&amp;R&amp;"Times New Roman,Normal"&amp;10&amp;P/&amp;N</oddFooter>
  </headerFooter>
  <legacyDrawing r:id="rId3"/>
</worksheet>
</file>

<file path=docProps/app.xml><?xml version="1.0" encoding="utf-8"?>
<Properties xmlns="http://schemas.openxmlformats.org/officeDocument/2006/extended-properties" xmlns:vt="http://schemas.openxmlformats.org/officeDocument/2006/docPropsVTypes">
  <Template/>
  <TotalTime>0</TotalTime>
  <Application>LibreOffice/5.2.3.3$Windows_x86 LibreOffice_project/d54a8868f08a7b39642414cf2c8ef2f228f780cf</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2017-10-10T13:15:00Z</dcterms:created>
  <dc:creator>D075</dc:creator>
  <dc:description/>
  <dc:language>pt-BR</dc:language>
  <cp:lastModifiedBy>D075</cp:lastModifiedBy>
  <cp:lastPrinted>2017-11-08T18:44:09Z</cp:lastPrinted>
  <dcterms:modified xsi:type="dcterms:W3CDTF">2018-04-24T18:14:00Z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