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755"/>
  </bookViews>
  <sheets>
    <sheet name="Apresentação" sheetId="4" r:id="rId1"/>
    <sheet name="Uniforme" sheetId="1" r:id="rId2"/>
    <sheet name="Ferramentas" sheetId="13" r:id="rId3"/>
    <sheet name="Aux de Eletricista seg a sab" sheetId="2" r:id="rId4"/>
    <sheet name="Men Cal Aux Eletr seg a sab" sheetId="3" r:id="rId5"/>
    <sheet name="Aux de Mecanica seg a sab" sheetId="6" r:id="rId6"/>
    <sheet name="Men Cal Aux Mec seg a sab" sheetId="5" r:id="rId7"/>
    <sheet name="Mecanico Refrigeracao seg a sab" sheetId="7" r:id="rId8"/>
    <sheet name="Men Cal Mec seg a sab" sheetId="8" r:id="rId9"/>
    <sheet name="Eletricista seg a sab" sheetId="9" r:id="rId10"/>
    <sheet name="Men Cal Eletricista seg a sab" sheetId="10" r:id="rId11"/>
    <sheet name="Encarregado seg a sab" sheetId="11" r:id="rId12"/>
    <sheet name="Men Cal Encarregado seg a sab" sheetId="12" r:id="rId13"/>
  </sheets>
  <definedNames>
    <definedName name="_xlnm.Print_Area" localSheetId="0">Apresentação!$A$1:$F$44</definedName>
    <definedName name="_xlnm.Print_Area" localSheetId="3">'Aux de Eletricista seg a sab'!$A$1:$D$156</definedName>
    <definedName name="_xlnm.Print_Area" localSheetId="2">Ferramentas!$A$2:$G$78</definedName>
    <definedName name="_xlnm.Print_Area" localSheetId="1">Uniforme!$A$1:$F$31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0" i="11" l="1"/>
  <c r="C129" i="11"/>
  <c r="C129" i="9"/>
  <c r="C130" i="9"/>
  <c r="C129" i="7"/>
  <c r="C130" i="7"/>
  <c r="C130" i="6"/>
  <c r="C129" i="6"/>
  <c r="C129" i="2"/>
  <c r="C130" i="2"/>
  <c r="D129" i="2"/>
  <c r="G77" i="13" l="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E74" i="13" l="1"/>
  <c r="G74" i="13" s="1"/>
  <c r="E73" i="13"/>
  <c r="G73" i="13" s="1"/>
  <c r="E72" i="13"/>
  <c r="G72" i="13" s="1"/>
  <c r="E71" i="13"/>
  <c r="G71" i="13" s="1"/>
  <c r="E70" i="13"/>
  <c r="G70" i="13" s="1"/>
  <c r="E69" i="13"/>
  <c r="G69" i="13" s="1"/>
  <c r="E68" i="13"/>
  <c r="G68" i="13" s="1"/>
  <c r="E61" i="13"/>
  <c r="G61" i="13" s="1"/>
  <c r="E60" i="13"/>
  <c r="G60" i="13" s="1"/>
  <c r="E59" i="13"/>
  <c r="G59" i="13" s="1"/>
  <c r="E58" i="13"/>
  <c r="G58" i="13" s="1"/>
  <c r="E57" i="13"/>
  <c r="G57" i="13" s="1"/>
  <c r="E56" i="13"/>
  <c r="G56" i="13" s="1"/>
  <c r="E55" i="13"/>
  <c r="G55" i="13" s="1"/>
  <c r="E54" i="13"/>
  <c r="G54" i="13" s="1"/>
  <c r="E53" i="13"/>
  <c r="G53" i="13" s="1"/>
  <c r="E52" i="13"/>
  <c r="G52" i="13" s="1"/>
  <c r="E51" i="13"/>
  <c r="G51" i="13" s="1"/>
  <c r="E50" i="13"/>
  <c r="G50" i="13" s="1"/>
  <c r="E49" i="13"/>
  <c r="G49" i="13" s="1"/>
  <c r="E48" i="13"/>
  <c r="G48" i="13" s="1"/>
  <c r="E47" i="13"/>
  <c r="G47" i="13" s="1"/>
  <c r="E46" i="13"/>
  <c r="G46" i="13" s="1"/>
  <c r="E45" i="13"/>
  <c r="G45" i="13" s="1"/>
  <c r="E44" i="13"/>
  <c r="G44" i="13" s="1"/>
  <c r="E43" i="13"/>
  <c r="G43" i="13" s="1"/>
  <c r="E42" i="13"/>
  <c r="G42" i="13" s="1"/>
  <c r="E41" i="13"/>
  <c r="G41" i="13" s="1"/>
  <c r="E67" i="13"/>
  <c r="G67" i="13" s="1"/>
  <c r="E40" i="13"/>
  <c r="G40" i="13" s="1"/>
  <c r="E39" i="13"/>
  <c r="G39" i="13" s="1"/>
  <c r="E38" i="13"/>
  <c r="G38" i="13" s="1"/>
  <c r="E37" i="13"/>
  <c r="G37" i="13" s="1"/>
  <c r="E36" i="13"/>
  <c r="G36" i="13" s="1"/>
  <c r="E35" i="13"/>
  <c r="G35" i="13" s="1"/>
  <c r="E34" i="13"/>
  <c r="G34" i="13" s="1"/>
  <c r="E33" i="13"/>
  <c r="G33" i="13" s="1"/>
  <c r="E32" i="13"/>
  <c r="G32" i="13" s="1"/>
  <c r="E31" i="13"/>
  <c r="G31" i="13" s="1"/>
  <c r="E30" i="13"/>
  <c r="G30" i="13" s="1"/>
  <c r="E17" i="13"/>
  <c r="G17" i="13" s="1"/>
  <c r="E16" i="13"/>
  <c r="G16" i="13" s="1"/>
  <c r="E15" i="13"/>
  <c r="G15" i="13" s="1"/>
  <c r="E14" i="13"/>
  <c r="G14" i="13" s="1"/>
  <c r="E13" i="13"/>
  <c r="G13" i="13" s="1"/>
  <c r="E12" i="13"/>
  <c r="G12" i="13" s="1"/>
  <c r="E11" i="13"/>
  <c r="G11" i="13" s="1"/>
  <c r="E10" i="13"/>
  <c r="G10" i="13" s="1"/>
  <c r="E9" i="13"/>
  <c r="G9" i="13" s="1"/>
  <c r="E8" i="13"/>
  <c r="G8" i="13" s="1"/>
  <c r="E7" i="13"/>
  <c r="G7" i="13" s="1"/>
  <c r="E6" i="13"/>
  <c r="G6" i="13" s="1"/>
  <c r="E29" i="13"/>
  <c r="G29" i="13" s="1"/>
  <c r="E22" i="13" l="1"/>
  <c r="G22" i="13" s="1"/>
  <c r="E5" i="13"/>
  <c r="G5" i="13" s="1"/>
  <c r="F41" i="4" l="1"/>
  <c r="E30" i="1"/>
  <c r="F30" i="1" s="1"/>
  <c r="E29" i="1"/>
  <c r="F29" i="1" s="1"/>
  <c r="B29" i="1"/>
  <c r="E28" i="1"/>
  <c r="F28" i="1" s="1"/>
  <c r="B28" i="1"/>
  <c r="E27" i="1"/>
  <c r="F27" i="1" s="1"/>
  <c r="E26" i="1"/>
  <c r="F26" i="1" s="1"/>
  <c r="B26" i="1"/>
  <c r="E25" i="1"/>
  <c r="F25" i="1" s="1"/>
  <c r="B25" i="1"/>
  <c r="E24" i="1"/>
  <c r="F24" i="1" s="1"/>
  <c r="B24" i="1"/>
  <c r="E23" i="1"/>
  <c r="F23" i="1" s="1"/>
  <c r="B23" i="1"/>
  <c r="E22" i="1"/>
  <c r="F22" i="1" s="1"/>
  <c r="E21" i="1"/>
  <c r="F21" i="1" s="1"/>
  <c r="B21" i="1"/>
  <c r="E20" i="1"/>
  <c r="F20" i="1" s="1"/>
  <c r="B20" i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E3" i="1"/>
  <c r="F3" i="1" s="1"/>
  <c r="B14" i="1"/>
  <c r="B13" i="1"/>
  <c r="B11" i="1"/>
  <c r="B9" i="1"/>
  <c r="B8" i="1"/>
  <c r="B7" i="1"/>
  <c r="B6" i="1"/>
  <c r="B4" i="1"/>
  <c r="B3" i="1"/>
  <c r="B64" i="12"/>
  <c r="B42" i="12"/>
  <c r="B64" i="10"/>
  <c r="B42" i="10"/>
  <c r="C6" i="11"/>
  <c r="D12" i="11" s="1"/>
  <c r="B6" i="12" s="1"/>
  <c r="B125" i="12"/>
  <c r="B124" i="12"/>
  <c r="B57" i="12"/>
  <c r="B35" i="12"/>
  <c r="B22" i="12"/>
  <c r="C25" i="12" s="1"/>
  <c r="D53" i="11" s="1"/>
  <c r="B19" i="12"/>
  <c r="B13" i="12"/>
  <c r="B10" i="12"/>
  <c r="B5" i="12"/>
  <c r="C142" i="11"/>
  <c r="D104" i="11"/>
  <c r="D110" i="11" s="1"/>
  <c r="C45" i="11"/>
  <c r="B126" i="12" s="1"/>
  <c r="C5" i="11"/>
  <c r="C5" i="2"/>
  <c r="C5" i="6"/>
  <c r="C5" i="7"/>
  <c r="C5" i="9"/>
  <c r="B125" i="10"/>
  <c r="B124" i="10"/>
  <c r="B57" i="10"/>
  <c r="B35" i="10"/>
  <c r="B22" i="10"/>
  <c r="C25" i="10" s="1"/>
  <c r="D53" i="9" s="1"/>
  <c r="B19" i="10"/>
  <c r="B13" i="10"/>
  <c r="B10" i="10"/>
  <c r="B5" i="10"/>
  <c r="C6" i="9"/>
  <c r="D12" i="9" s="1"/>
  <c r="B6" i="10" s="1"/>
  <c r="C142" i="9"/>
  <c r="D104" i="9"/>
  <c r="D110" i="9" s="1"/>
  <c r="G76" i="13" l="1"/>
  <c r="G78" i="13" s="1"/>
  <c r="C16" i="10"/>
  <c r="D49" i="9" s="1"/>
  <c r="C16" i="12"/>
  <c r="D49" i="11" s="1"/>
  <c r="F31" i="1"/>
  <c r="D57" i="11"/>
  <c r="D14" i="11"/>
  <c r="D13" i="11"/>
  <c r="D13" i="9"/>
  <c r="D14" i="9"/>
  <c r="C45" i="9"/>
  <c r="B126" i="10" s="1"/>
  <c r="D57" i="9"/>
  <c r="B125" i="8"/>
  <c r="B64" i="8"/>
  <c r="B42" i="8"/>
  <c r="C6" i="7"/>
  <c r="D12" i="7" s="1"/>
  <c r="B6" i="8" s="1"/>
  <c r="B124" i="8"/>
  <c r="B57" i="8"/>
  <c r="B35" i="8"/>
  <c r="B22" i="8"/>
  <c r="C25" i="8" s="1"/>
  <c r="D53" i="7" s="1"/>
  <c r="B19" i="8"/>
  <c r="B13" i="8"/>
  <c r="B10" i="8"/>
  <c r="B5" i="8"/>
  <c r="C142" i="7"/>
  <c r="D104" i="7"/>
  <c r="D110" i="7" s="1"/>
  <c r="C45" i="7"/>
  <c r="B126" i="8" s="1"/>
  <c r="C6" i="2"/>
  <c r="D12" i="2" s="1"/>
  <c r="C6" i="6"/>
  <c r="D57" i="6" s="1"/>
  <c r="B124" i="3"/>
  <c r="B124" i="5"/>
  <c r="B125" i="5"/>
  <c r="B64" i="5"/>
  <c r="B42" i="5"/>
  <c r="B57" i="5"/>
  <c r="B35" i="5"/>
  <c r="B22" i="5"/>
  <c r="C25" i="5" s="1"/>
  <c r="D53" i="6" s="1"/>
  <c r="B19" i="5"/>
  <c r="B13" i="5"/>
  <c r="B10" i="5"/>
  <c r="B5" i="5"/>
  <c r="C142" i="6"/>
  <c r="D104" i="6"/>
  <c r="D110" i="6" s="1"/>
  <c r="C45" i="6"/>
  <c r="B126" i="5" s="1"/>
  <c r="D116" i="7" l="1"/>
  <c r="D116" i="6"/>
  <c r="D23" i="11"/>
  <c r="B36" i="12" s="1"/>
  <c r="D120" i="11"/>
  <c r="D120" i="7"/>
  <c r="D120" i="6"/>
  <c r="D120" i="9"/>
  <c r="D120" i="2"/>
  <c r="D61" i="11"/>
  <c r="D67" i="11" s="1"/>
  <c r="D61" i="9"/>
  <c r="D67" i="9" s="1"/>
  <c r="D23" i="9"/>
  <c r="D145" i="9" s="1"/>
  <c r="D12" i="6"/>
  <c r="D57" i="7"/>
  <c r="C16" i="8"/>
  <c r="D49" i="7" s="1"/>
  <c r="D14" i="7"/>
  <c r="D13" i="7"/>
  <c r="D57" i="2"/>
  <c r="B22" i="3"/>
  <c r="C25" i="3" s="1"/>
  <c r="D53" i="2" s="1"/>
  <c r="B19" i="3"/>
  <c r="B64" i="3"/>
  <c r="B42" i="3"/>
  <c r="B125" i="3"/>
  <c r="B57" i="3"/>
  <c r="B35" i="3"/>
  <c r="B13" i="3"/>
  <c r="B10" i="3"/>
  <c r="B5" i="3"/>
  <c r="C142" i="2"/>
  <c r="D104" i="2"/>
  <c r="D110" i="2" s="1"/>
  <c r="C45" i="2"/>
  <c r="B126" i="3" s="1"/>
  <c r="D13" i="2"/>
  <c r="B119" i="12" l="1"/>
  <c r="D29" i="11"/>
  <c r="D145" i="11"/>
  <c r="B58" i="12"/>
  <c r="D32" i="11"/>
  <c r="B7" i="12"/>
  <c r="B49" i="12" s="1"/>
  <c r="C54" i="12" s="1"/>
  <c r="D76" i="11" s="1"/>
  <c r="C76" i="11" s="1"/>
  <c r="D61" i="7"/>
  <c r="D67" i="7" s="1"/>
  <c r="D31" i="11"/>
  <c r="B38" i="12" s="1"/>
  <c r="D29" i="9"/>
  <c r="C29" i="9" s="1"/>
  <c r="D32" i="9"/>
  <c r="C32" i="9" s="1"/>
  <c r="B110" i="12"/>
  <c r="C32" i="11"/>
  <c r="B61" i="12"/>
  <c r="B39" i="12"/>
  <c r="B61" i="10"/>
  <c r="D31" i="9"/>
  <c r="C31" i="9" s="1"/>
  <c r="B58" i="10"/>
  <c r="B36" i="10"/>
  <c r="B7" i="10"/>
  <c r="B119" i="10"/>
  <c r="C29" i="11"/>
  <c r="B37" i="12"/>
  <c r="B120" i="12"/>
  <c r="B121" i="12" s="1"/>
  <c r="C127" i="12" s="1"/>
  <c r="B59" i="12"/>
  <c r="F16" i="1"/>
  <c r="D116" i="2" s="1"/>
  <c r="D124" i="2" s="1"/>
  <c r="D149" i="2" s="1"/>
  <c r="D23" i="7"/>
  <c r="D31" i="7" s="1"/>
  <c r="D14" i="6"/>
  <c r="D13" i="6"/>
  <c r="B6" i="5"/>
  <c r="C16" i="5" s="1"/>
  <c r="D49" i="6" s="1"/>
  <c r="B6" i="3"/>
  <c r="C16" i="3" s="1"/>
  <c r="D49" i="2" s="1"/>
  <c r="D14" i="2"/>
  <c r="D23" i="2" s="1"/>
  <c r="B84" i="12" l="1"/>
  <c r="C90" i="12" s="1"/>
  <c r="D87" i="11" s="1"/>
  <c r="B60" i="12"/>
  <c r="D30" i="11"/>
  <c r="C31" i="11"/>
  <c r="B29" i="12"/>
  <c r="C32" i="12" s="1"/>
  <c r="D73" i="11" s="1"/>
  <c r="D74" i="11" s="1"/>
  <c r="B93" i="12"/>
  <c r="C98" i="12" s="1"/>
  <c r="D88" i="11" s="1"/>
  <c r="B101" i="12"/>
  <c r="C106" i="12" s="1"/>
  <c r="D90" i="11" s="1"/>
  <c r="B77" i="12"/>
  <c r="C81" i="12" s="1"/>
  <c r="D86" i="11" s="1"/>
  <c r="B120" i="10"/>
  <c r="B37" i="10"/>
  <c r="D30" i="9"/>
  <c r="B39" i="10"/>
  <c r="B121" i="10"/>
  <c r="C127" i="10" s="1"/>
  <c r="D23" i="6"/>
  <c r="B7" i="5" s="1"/>
  <c r="B84" i="5" s="1"/>
  <c r="C90" i="5" s="1"/>
  <c r="D87" i="6" s="1"/>
  <c r="B119" i="5"/>
  <c r="B62" i="12"/>
  <c r="C65" i="12" s="1"/>
  <c r="B59" i="10"/>
  <c r="D32" i="7"/>
  <c r="C32" i="7" s="1"/>
  <c r="B101" i="10"/>
  <c r="C106" i="10" s="1"/>
  <c r="D90" i="9" s="1"/>
  <c r="B110" i="10"/>
  <c r="B49" i="10"/>
  <c r="C54" i="10" s="1"/>
  <c r="D76" i="9" s="1"/>
  <c r="C76" i="9" s="1"/>
  <c r="B29" i="10"/>
  <c r="C32" i="10" s="1"/>
  <c r="D73" i="9" s="1"/>
  <c r="B84" i="10"/>
  <c r="C90" i="10" s="1"/>
  <c r="D87" i="9" s="1"/>
  <c r="B77" i="10"/>
  <c r="C81" i="10" s="1"/>
  <c r="D86" i="9" s="1"/>
  <c r="B93" i="10"/>
  <c r="C98" i="10" s="1"/>
  <c r="D88" i="9" s="1"/>
  <c r="D145" i="7"/>
  <c r="B58" i="8"/>
  <c r="B111" i="12"/>
  <c r="B112" i="12" s="1"/>
  <c r="C117" i="12" s="1"/>
  <c r="D96" i="11" s="1"/>
  <c r="D100" i="11" s="1"/>
  <c r="D108" i="11" s="1"/>
  <c r="B119" i="8"/>
  <c r="B7" i="8"/>
  <c r="B77" i="8" s="1"/>
  <c r="C81" i="8" s="1"/>
  <c r="D86" i="7" s="1"/>
  <c r="B36" i="8"/>
  <c r="D29" i="7"/>
  <c r="B120" i="8" s="1"/>
  <c r="B38" i="10"/>
  <c r="B60" i="10"/>
  <c r="B40" i="12"/>
  <c r="D124" i="6"/>
  <c r="D149" i="6" s="1"/>
  <c r="D124" i="7"/>
  <c r="D149" i="7" s="1"/>
  <c r="D116" i="9"/>
  <c r="D124" i="9" s="1"/>
  <c r="D149" i="9" s="1"/>
  <c r="D116" i="11"/>
  <c r="D124" i="11" s="1"/>
  <c r="D149" i="11" s="1"/>
  <c r="C30" i="11"/>
  <c r="D33" i="11"/>
  <c r="D33" i="9"/>
  <c r="C30" i="9"/>
  <c r="D61" i="6"/>
  <c r="D67" i="6" s="1"/>
  <c r="B36" i="5"/>
  <c r="B60" i="8"/>
  <c r="B38" i="8"/>
  <c r="B37" i="8"/>
  <c r="C31" i="7"/>
  <c r="D61" i="2"/>
  <c r="D67" i="2" s="1"/>
  <c r="B58" i="3"/>
  <c r="B36" i="3"/>
  <c r="B7" i="3"/>
  <c r="B119" i="3"/>
  <c r="D32" i="2"/>
  <c r="D31" i="2"/>
  <c r="D145" i="2"/>
  <c r="D29" i="2"/>
  <c r="D93" i="11" l="1"/>
  <c r="D107" i="11" s="1"/>
  <c r="C73" i="11"/>
  <c r="C67" i="12"/>
  <c r="C68" i="12" s="1"/>
  <c r="D78" i="11" s="1"/>
  <c r="C78" i="11" s="1"/>
  <c r="B40" i="10"/>
  <c r="D32" i="6"/>
  <c r="B101" i="5"/>
  <c r="C106" i="5" s="1"/>
  <c r="D90" i="6" s="1"/>
  <c r="B110" i="5"/>
  <c r="B111" i="5" s="1"/>
  <c r="B112" i="5" s="1"/>
  <c r="C117" i="5" s="1"/>
  <c r="D96" i="6" s="1"/>
  <c r="D100" i="6" s="1"/>
  <c r="D108" i="6" s="1"/>
  <c r="D31" i="6"/>
  <c r="B29" i="5"/>
  <c r="C32" i="5" s="1"/>
  <c r="D73" i="6" s="1"/>
  <c r="D74" i="6" s="1"/>
  <c r="D29" i="6"/>
  <c r="C29" i="6" s="1"/>
  <c r="B49" i="5"/>
  <c r="C54" i="5" s="1"/>
  <c r="D76" i="6" s="1"/>
  <c r="C76" i="6" s="1"/>
  <c r="B77" i="5"/>
  <c r="C81" i="5" s="1"/>
  <c r="D86" i="6" s="1"/>
  <c r="D109" i="11"/>
  <c r="D111" i="11" s="1"/>
  <c r="D148" i="11" s="1"/>
  <c r="B93" i="5"/>
  <c r="C98" i="5" s="1"/>
  <c r="D88" i="6" s="1"/>
  <c r="D145" i="6"/>
  <c r="B58" i="5"/>
  <c r="B49" i="8"/>
  <c r="C54" i="8" s="1"/>
  <c r="D76" i="7" s="1"/>
  <c r="C76" i="7" s="1"/>
  <c r="B101" i="8"/>
  <c r="C106" i="8" s="1"/>
  <c r="D90" i="7" s="1"/>
  <c r="B110" i="8"/>
  <c r="B111" i="8" s="1"/>
  <c r="B112" i="8" s="1"/>
  <c r="C117" i="8" s="1"/>
  <c r="D96" i="7" s="1"/>
  <c r="D100" i="7" s="1"/>
  <c r="D108" i="7" s="1"/>
  <c r="D30" i="7"/>
  <c r="D33" i="7" s="1"/>
  <c r="B62" i="10"/>
  <c r="C65" i="10" s="1"/>
  <c r="D93" i="9"/>
  <c r="D107" i="9" s="1"/>
  <c r="B39" i="8"/>
  <c r="B40" i="8" s="1"/>
  <c r="B61" i="8"/>
  <c r="B121" i="8"/>
  <c r="C127" i="8" s="1"/>
  <c r="C43" i="10"/>
  <c r="C45" i="10"/>
  <c r="C43" i="12"/>
  <c r="C45" i="12"/>
  <c r="B59" i="8"/>
  <c r="D74" i="9"/>
  <c r="C73" i="9"/>
  <c r="C29" i="7"/>
  <c r="B93" i="8"/>
  <c r="C98" i="8" s="1"/>
  <c r="D88" i="7" s="1"/>
  <c r="B84" i="8"/>
  <c r="C90" i="8" s="1"/>
  <c r="D87" i="7" s="1"/>
  <c r="B111" i="10"/>
  <c r="B112" i="10" s="1"/>
  <c r="C117" i="10" s="1"/>
  <c r="D96" i="9" s="1"/>
  <c r="D100" i="9" s="1"/>
  <c r="D108" i="9" s="1"/>
  <c r="B29" i="8"/>
  <c r="C32" i="8" s="1"/>
  <c r="D73" i="7" s="1"/>
  <c r="D74" i="7" s="1"/>
  <c r="D65" i="11"/>
  <c r="D44" i="11"/>
  <c r="D37" i="11"/>
  <c r="D39" i="11"/>
  <c r="D42" i="11"/>
  <c r="D41" i="11"/>
  <c r="D38" i="11"/>
  <c r="D43" i="11"/>
  <c r="D40" i="11"/>
  <c r="D65" i="9"/>
  <c r="D44" i="9"/>
  <c r="D37" i="9"/>
  <c r="D39" i="9"/>
  <c r="D43" i="9"/>
  <c r="D40" i="9"/>
  <c r="D42" i="9"/>
  <c r="D41" i="9"/>
  <c r="D38" i="9"/>
  <c r="D30" i="6"/>
  <c r="B38" i="5"/>
  <c r="B60" i="5"/>
  <c r="C31" i="6"/>
  <c r="C32" i="6"/>
  <c r="B39" i="5"/>
  <c r="B61" i="5"/>
  <c r="B38" i="3"/>
  <c r="B60" i="3"/>
  <c r="B110" i="3"/>
  <c r="B49" i="3"/>
  <c r="C54" i="3" s="1"/>
  <c r="D76" i="2" s="1"/>
  <c r="C76" i="2" s="1"/>
  <c r="B77" i="3"/>
  <c r="C81" i="3" s="1"/>
  <c r="D86" i="2" s="1"/>
  <c r="B101" i="3"/>
  <c r="C106" i="3" s="1"/>
  <c r="D90" i="2" s="1"/>
  <c r="B84" i="3"/>
  <c r="C90" i="3" s="1"/>
  <c r="D87" i="2" s="1"/>
  <c r="B29" i="3"/>
  <c r="C32" i="3" s="1"/>
  <c r="D73" i="2" s="1"/>
  <c r="B93" i="3"/>
  <c r="C98" i="3" s="1"/>
  <c r="D88" i="2" s="1"/>
  <c r="B120" i="3"/>
  <c r="B121" i="3" s="1"/>
  <c r="C127" i="3" s="1"/>
  <c r="B59" i="3"/>
  <c r="B37" i="3"/>
  <c r="B61" i="3"/>
  <c r="B39" i="3"/>
  <c r="C31" i="2"/>
  <c r="D30" i="2"/>
  <c r="C29" i="2"/>
  <c r="C32" i="2"/>
  <c r="B37" i="5" l="1"/>
  <c r="B59" i="5"/>
  <c r="B120" i="5"/>
  <c r="B121" i="5" s="1"/>
  <c r="C127" i="5" s="1"/>
  <c r="D109" i="9"/>
  <c r="D111" i="9" s="1"/>
  <c r="D148" i="9" s="1"/>
  <c r="D93" i="6"/>
  <c r="D107" i="6" s="1"/>
  <c r="D109" i="6" s="1"/>
  <c r="D111" i="6" s="1"/>
  <c r="D148" i="6" s="1"/>
  <c r="C73" i="6"/>
  <c r="B62" i="8"/>
  <c r="C65" i="8" s="1"/>
  <c r="C30" i="7"/>
  <c r="C67" i="10"/>
  <c r="C68" i="10" s="1"/>
  <c r="D78" i="9" s="1"/>
  <c r="C78" i="9" s="1"/>
  <c r="C43" i="8"/>
  <c r="C45" i="8"/>
  <c r="C46" i="10"/>
  <c r="D75" i="9" s="1"/>
  <c r="C75" i="9" s="1"/>
  <c r="D93" i="7"/>
  <c r="D107" i="7" s="1"/>
  <c r="D109" i="7" s="1"/>
  <c r="D111" i="7" s="1"/>
  <c r="D148" i="7" s="1"/>
  <c r="C46" i="12"/>
  <c r="D75" i="11" s="1"/>
  <c r="D79" i="11" s="1"/>
  <c r="D147" i="11" s="1"/>
  <c r="B62" i="3"/>
  <c r="C65" i="3" s="1"/>
  <c r="C67" i="8"/>
  <c r="C73" i="7"/>
  <c r="B40" i="5"/>
  <c r="C45" i="5" s="1"/>
  <c r="D45" i="11"/>
  <c r="D66" i="11" s="1"/>
  <c r="D68" i="11" s="1"/>
  <c r="D45" i="9"/>
  <c r="D66" i="9" s="1"/>
  <c r="D68" i="9" s="1"/>
  <c r="B62" i="5"/>
  <c r="D33" i="6"/>
  <c r="C30" i="6"/>
  <c r="D65" i="7"/>
  <c r="D44" i="7"/>
  <c r="D39" i="7"/>
  <c r="D37" i="7"/>
  <c r="D42" i="7"/>
  <c r="D38" i="7"/>
  <c r="D40" i="7"/>
  <c r="D41" i="7"/>
  <c r="D43" i="7"/>
  <c r="B40" i="3"/>
  <c r="C45" i="3" s="1"/>
  <c r="D74" i="2"/>
  <c r="C73" i="2"/>
  <c r="B111" i="3"/>
  <c r="B112" i="3" s="1"/>
  <c r="C117" i="3" s="1"/>
  <c r="D96" i="2" s="1"/>
  <c r="D100" i="2" s="1"/>
  <c r="D108" i="2" s="1"/>
  <c r="D93" i="2"/>
  <c r="D107" i="2" s="1"/>
  <c r="D33" i="2"/>
  <c r="C30" i="2"/>
  <c r="C46" i="8" l="1"/>
  <c r="D75" i="7" s="1"/>
  <c r="C75" i="7" s="1"/>
  <c r="C68" i="8"/>
  <c r="D78" i="7" s="1"/>
  <c r="C78" i="7" s="1"/>
  <c r="C43" i="3"/>
  <c r="C46" i="3" s="1"/>
  <c r="D75" i="2" s="1"/>
  <c r="C67" i="3"/>
  <c r="C68" i="3" s="1"/>
  <c r="D78" i="2" s="1"/>
  <c r="C78" i="2" s="1"/>
  <c r="D79" i="9"/>
  <c r="D147" i="9" s="1"/>
  <c r="C75" i="11"/>
  <c r="C43" i="5"/>
  <c r="C46" i="5" s="1"/>
  <c r="D75" i="6" s="1"/>
  <c r="C75" i="6" s="1"/>
  <c r="D146" i="11"/>
  <c r="D150" i="11" s="1"/>
  <c r="D129" i="11"/>
  <c r="D130" i="11" s="1"/>
  <c r="D131" i="11" s="1"/>
  <c r="D132" i="11" s="1"/>
  <c r="D146" i="9"/>
  <c r="D129" i="9"/>
  <c r="D130" i="9" s="1"/>
  <c r="D131" i="9" s="1"/>
  <c r="D132" i="9" s="1"/>
  <c r="D41" i="6"/>
  <c r="D38" i="6"/>
  <c r="D37" i="6"/>
  <c r="D65" i="6"/>
  <c r="D39" i="6"/>
  <c r="D40" i="6"/>
  <c r="D42" i="6"/>
  <c r="D44" i="6"/>
  <c r="D43" i="6"/>
  <c r="C65" i="5"/>
  <c r="C67" i="5"/>
  <c r="D45" i="7"/>
  <c r="D66" i="7" s="1"/>
  <c r="D68" i="7" s="1"/>
  <c r="D109" i="2"/>
  <c r="D111" i="2" s="1"/>
  <c r="D148" i="2" s="1"/>
  <c r="D65" i="2"/>
  <c r="D40" i="2"/>
  <c r="D43" i="2"/>
  <c r="D41" i="2"/>
  <c r="D42" i="2"/>
  <c r="D44" i="2"/>
  <c r="D37" i="2"/>
  <c r="D39" i="2"/>
  <c r="D38" i="2"/>
  <c r="D79" i="7" l="1"/>
  <c r="D147" i="7" s="1"/>
  <c r="C68" i="5"/>
  <c r="D78" i="6" s="1"/>
  <c r="C78" i="6" s="1"/>
  <c r="D150" i="9"/>
  <c r="D79" i="2"/>
  <c r="D147" i="2" s="1"/>
  <c r="C75" i="2"/>
  <c r="D135" i="11"/>
  <c r="D136" i="11"/>
  <c r="D140" i="11"/>
  <c r="D135" i="9"/>
  <c r="D140" i="9"/>
  <c r="D136" i="9"/>
  <c r="D45" i="6"/>
  <c r="D66" i="6" s="1"/>
  <c r="D68" i="6" s="1"/>
  <c r="D146" i="6" s="1"/>
  <c r="D79" i="6"/>
  <c r="D146" i="7"/>
  <c r="D129" i="7"/>
  <c r="D130" i="7" s="1"/>
  <c r="D131" i="7" s="1"/>
  <c r="D132" i="7" s="1"/>
  <c r="D45" i="2"/>
  <c r="D66" i="2" s="1"/>
  <c r="D68" i="2" s="1"/>
  <c r="D150" i="7" l="1"/>
  <c r="D142" i="9"/>
  <c r="D151" i="9" s="1"/>
  <c r="D153" i="9" s="1"/>
  <c r="F35" i="4" s="1"/>
  <c r="D142" i="11"/>
  <c r="D151" i="11" s="1"/>
  <c r="D153" i="11" s="1"/>
  <c r="F36" i="4" s="1"/>
  <c r="D147" i="6"/>
  <c r="D150" i="6" s="1"/>
  <c r="D129" i="6"/>
  <c r="D130" i="6" s="1"/>
  <c r="D131" i="6" s="1"/>
  <c r="D132" i="6" s="1"/>
  <c r="D135" i="7"/>
  <c r="D136" i="7"/>
  <c r="D140" i="7"/>
  <c r="D146" i="2"/>
  <c r="D150" i="2" s="1"/>
  <c r="D130" i="2"/>
  <c r="D131" i="2" s="1"/>
  <c r="D132" i="2" s="1"/>
  <c r="D135" i="6" l="1"/>
  <c r="D140" i="6"/>
  <c r="D136" i="6"/>
  <c r="D142" i="7"/>
  <c r="D151" i="7" s="1"/>
  <c r="D153" i="7" s="1"/>
  <c r="F34" i="4" s="1"/>
  <c r="D140" i="2"/>
  <c r="D135" i="2"/>
  <c r="D136" i="2"/>
  <c r="D142" i="6" l="1"/>
  <c r="D151" i="6" s="1"/>
  <c r="D153" i="6" s="1"/>
  <c r="F33" i="4" s="1"/>
  <c r="D142" i="2"/>
  <c r="D151" i="2" s="1"/>
  <c r="D153" i="2" s="1"/>
  <c r="F32" i="4" s="1"/>
  <c r="F37" i="4" l="1"/>
  <c r="F43" i="4" l="1"/>
  <c r="F44" i="4" s="1"/>
</calcChain>
</file>

<file path=xl/sharedStrings.xml><?xml version="1.0" encoding="utf-8"?>
<sst xmlns="http://schemas.openxmlformats.org/spreadsheetml/2006/main" count="1960" uniqueCount="359">
  <si>
    <t>Tipo / Especificações</t>
  </si>
  <si>
    <t>Qtd Anual</t>
  </si>
  <si>
    <t>Qtd Semestral</t>
  </si>
  <si>
    <t>Custo  Unitário</t>
  </si>
  <si>
    <t>Custo Mensal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</si>
  <si>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</si>
  <si>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</si>
  <si>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</si>
  <si>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</si>
  <si>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</si>
  <si>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</si>
  <si>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</si>
  <si>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</si>
  <si>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</si>
  <si>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</si>
  <si>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</si>
  <si>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</si>
  <si>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</si>
  <si>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</si>
  <si>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</si>
  <si>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</si>
  <si>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</si>
  <si>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</si>
  <si>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</si>
  <si>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</si>
  <si>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</si>
  <si>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</si>
  <si>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</si>
  <si>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</si>
  <si>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</si>
  <si>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</si>
  <si>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</si>
  <si>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</si>
  <si>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</si>
  <si>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</si>
  <si>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</si>
  <si>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</si>
  <si>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</si>
  <si>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</si>
  <si>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</si>
  <si>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</si>
  <si>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</si>
  <si>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</si>
  <si>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</si>
  <si>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</si>
  <si>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</si>
  <si>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</si>
  <si>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</si>
  <si>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</si>
  <si>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</si>
  <si>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</si>
  <si>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</si>
  <si>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</si>
  <si>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</si>
  <si>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</si>
  <si>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</si>
  <si>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</si>
  <si>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</si>
  <si>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</si>
  <si>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</si>
  <si>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</si>
  <si>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</si>
  <si>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</si>
  <si>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</si>
  <si>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</si>
  <si>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A.1</t>
  </si>
  <si>
    <t>Crédito PIS/COFINS</t>
  </si>
  <si>
    <t>Auxílio-Refeição/Alimentação</t>
  </si>
  <si>
    <t>Assistência Médica e Familiar</t>
  </si>
  <si>
    <t>C.1</t>
  </si>
  <si>
    <t>D.1</t>
  </si>
  <si>
    <t>E.1</t>
  </si>
  <si>
    <t>Outros (Seguro de Vida / Invalidez / Auxílio Funeral)</t>
  </si>
  <si>
    <t>F.1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</si>
  <si>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</si>
  <si>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</si>
  <si>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</si>
  <si>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</si>
  <si>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</si>
  <si>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</si>
  <si>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</si>
  <si>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</si>
  <si>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</si>
  <si>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</si>
  <si>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</si>
  <si>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</si>
  <si>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</si>
  <si>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</si>
  <si>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</si>
  <si>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</si>
  <si>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</si>
  <si>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</si>
  <si>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</si>
  <si>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</si>
  <si>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</si>
  <si>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</si>
  <si>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</si>
  <si>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</si>
  <si>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</si>
  <si>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</si>
  <si>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</si>
  <si>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</si>
  <si>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</si>
  <si>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</si>
  <si>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</si>
  <si>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</si>
  <si>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</si>
  <si>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</si>
  <si>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</si>
  <si>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</si>
  <si>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</si>
  <si>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</si>
  <si>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</si>
  <si>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</si>
  <si>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</si>
  <si>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</si>
  <si>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</si>
  <si>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</si>
  <si>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</si>
  <si>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</si>
  <si>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</si>
  <si>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</si>
  <si>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</si>
  <si>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</si>
  <si>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</si>
  <si>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</si>
  <si>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</si>
  <si>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</si>
  <si>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</si>
  <si>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</si>
  <si>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</si>
  <si>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</si>
  <si>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</si>
  <si>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</si>
  <si>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</si>
  <si>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</si>
  <si>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</si>
  <si>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</si>
  <si>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</si>
  <si>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</si>
  <si>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</si>
  <si>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</si>
  <si>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</si>
  <si>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</si>
  <si>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</si>
  <si>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</si>
  <si>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</si>
  <si>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</si>
  <si>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</si>
  <si>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</si>
  <si>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</si>
  <si>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</si>
  <si>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</si>
  <si>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</si>
  <si>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</si>
  <si>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</si>
  <si>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</si>
  <si>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</si>
  <si>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</si>
  <si>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</si>
  <si>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</si>
  <si>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</si>
  <si>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</si>
  <si>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</si>
  <si>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</si>
  <si>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</si>
  <si>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</si>
  <si>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</si>
  <si>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</si>
  <si>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</si>
  <si>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</si>
  <si>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</si>
  <si>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</si>
  <si>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</si>
  <si>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</si>
  <si>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</si>
  <si>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</si>
  <si>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</si>
  <si>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</si>
  <si>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</si>
  <si>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</si>
  <si>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</si>
  <si>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</si>
  <si>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</si>
  <si>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</si>
  <si>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</si>
  <si>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</si>
  <si>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</si>
  <si>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</si>
  <si>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</si>
  <si>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</si>
  <si>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</si>
  <si>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</si>
  <si>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</si>
  <si>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</si>
  <si>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</si>
  <si>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</si>
  <si>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</si>
  <si>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</si>
  <si>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</si>
  <si>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</si>
  <si>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</si>
  <si>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</si>
  <si>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</si>
  <si>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</si>
  <si>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</si>
  <si>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</si>
  <si>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7156-15</t>
  </si>
  <si>
    <t>MEMORIAL DE CÁLCULO  - AUXILIAR DE ELETRICISTA 44H SEG A SAB</t>
  </si>
  <si>
    <t>Oficiais Eletricistas e Trabalhadores da Ind. De Inst, e Manutenção</t>
  </si>
  <si>
    <t>Auxiliar de Eletricista 44h Seg a Sab (Meio Oficial)</t>
  </si>
  <si>
    <t>Memória de Cálculo Café da Manhã (Módulo 2)</t>
  </si>
  <si>
    <t>Número de Café da Manhã / mês</t>
  </si>
  <si>
    <t>Valor do Café da Manhã / Refeição</t>
  </si>
  <si>
    <t>Auxílio-Café da Manhã (Lei n.º 1.418 de 27 de junho de 1989.)</t>
  </si>
  <si>
    <t>Valor utilizado na estimativa para Seguro de vida Caderno técnico Vol. 18  Manutenção CADTERC SP 2019</t>
  </si>
  <si>
    <t>Auxiliar de Eletricista</t>
  </si>
  <si>
    <t>CBO</t>
  </si>
  <si>
    <t>Processo Administrativo nº.</t>
  </si>
  <si>
    <t>Licitação nº.</t>
  </si>
  <si>
    <t> Discriminação dos Serviços (dados referentes à contratação)</t>
  </si>
  <si>
    <t xml:space="preserve">Data de apresentação da proposta (dia/mês/ano) </t>
  </si>
  <si>
    <t xml:space="preserve">Município/UF </t>
  </si>
  <si>
    <t>Rio de Janeiro/RJ</t>
  </si>
  <si>
    <t>Ano Acordo, Convenção ou Sentença Normativa em Dissídio Coletivo</t>
  </si>
  <si>
    <t>Nº de meses de execução contratual</t>
  </si>
  <si>
    <t>CATEGORIA / CARGO</t>
  </si>
  <si>
    <t>Contribuição Assistencial  Patronal - Cláusula Trigésima Sétima da CCT ( Verificar aliquota variando pelo Capital Social Art. 580 CLT)</t>
  </si>
  <si>
    <t>Total de contratações CAGED período mai 2019 a outt 2019 - 2.440 contratações - 2.392 ( 98,03%) masculinas e 48 (1,97%) femininas - Consulta realizada em 11/11/2019</t>
  </si>
  <si>
    <t>CATSER</t>
  </si>
  <si>
    <t>Auxiliar Mecânico de Refrigeração</t>
  </si>
  <si>
    <t>9112-05</t>
  </si>
  <si>
    <t>MEMORIAL DE CÁLCULO  - AUXILIAR MECÂNICO DE REFRIGERAÇÃO 44H SEG A SAB</t>
  </si>
  <si>
    <t>Auxiliar Mecânico de Refrigeração 44h Seg a Sab (Meio Oficial)</t>
  </si>
  <si>
    <t>Total de contratações CAGED período mai 2019 a outt 2019 - 655 contratações -650 ( 99,24%) masculinas e 5 (0,76%) femininas - Consulta realizada em 11/11/2019</t>
  </si>
  <si>
    <t>MEMORIAL DE CÁLCULO  - MECÂNICO DE REFRIGERAÇÃO 44H SEG A SAB</t>
  </si>
  <si>
    <t>7257-05</t>
  </si>
  <si>
    <t>PISO SALARIAL</t>
  </si>
  <si>
    <t>Periculosidade conforme laudo aprovado no processo 23079.027892/2018-15</t>
  </si>
  <si>
    <t>Total de contratações CAGED período mai 2019 a outt 2019 - 426 contratações - 426 ( 99,06%) masculinas e 4 (0,94%) femininas - Consulta realizada em 11/11/2019</t>
  </si>
  <si>
    <t>Mecânico de Refrigeração</t>
  </si>
  <si>
    <t>9511-06</t>
  </si>
  <si>
    <t>Eletricista de Manutenção</t>
  </si>
  <si>
    <t xml:space="preserve"> Eletricista de Manutenção eletroeletrônica 44h Seg a Sab </t>
  </si>
  <si>
    <t xml:space="preserve"> Mecânico de Refrigeração 44h Seg a Sab </t>
  </si>
  <si>
    <t>MEMORIAL DE CÁLCULO  - ELETRICISTA DE MANUTENÇÃO ELETROELETÔNICA 44H SEG A SAB</t>
  </si>
  <si>
    <t>Total de contratações CAGED período mai 2019 a outt 2019 - 2.124 contratações - 2.124 ( 98,45%) masculinas e 33 (1,55%) femininas - Consulta realizada em 11/11/2019</t>
  </si>
  <si>
    <t>Encarregado Geral</t>
  </si>
  <si>
    <t>7102-06</t>
  </si>
  <si>
    <t xml:space="preserve"> Encarregado Geral - 44h Seg a Sab </t>
  </si>
  <si>
    <t>MEMORIAL DE CÁLCULO  - ENCARREGADO GERAL  44H SEG A SAB</t>
  </si>
  <si>
    <t>Total de contratações CAGED período mai 2019 a outt 2019 - 1.369 contratações -1.321 ( 96,49%) masculinas e 48 (3,51%) femininas - Consulta realizada em 11/11/2019</t>
  </si>
  <si>
    <t>Calça de Brim pesado, 100% algodão, cor cinza, com elástico, cordão para amarrar, 2 bolsos laterais e 1 traseiro</t>
  </si>
  <si>
    <t>Camisa em Brim, manga longa, material 100% algodão cardado, sarja 2/1, dupla costura, fechamento frontal com botão, cor cinza, bolso com logotipo plastificado.</t>
  </si>
  <si>
    <t>Capacete de segurança, material plástico, tipo aba frontal, copa com estrias, dupla suspensão e jugular</t>
  </si>
  <si>
    <t>Avental de proteção frontal impermeável, confeccionado em tecido sintético (malha poliéster revestida com PVC em ambas as faces), com tiras do próprio material para ajuste (uma no pescoço e duas na cintura), soldadas eletronicamente</t>
  </si>
  <si>
    <t>Luva isolante, em borracha natural na cor preta, classe 00 tipo 2, punho preto e orla reforçada.</t>
  </si>
  <si>
    <t>Luva de segurança material malha tricotada 4 fios algodão, 70% algodão; 30% poliéster, palma com pigmento de PVC, cano curto.</t>
  </si>
  <si>
    <t>Luva de segurança tricotada em fios de poliamida (nylon); sem revestimento interno; revestida em poliuretano na palma e dedos; dorso descoberto; punho tricotado em elástico.</t>
  </si>
  <si>
    <t>Bota na cor preta, confeccionada em Policloreto de vinila (PVC) e massa nitrílica, injetado em uma só peça, cano longo, solado antiderrapante.</t>
  </si>
  <si>
    <t>Bota de segurança em couro Nobuck, tecido perfurado em poliéster marrom dublado com manta, biqueira plástica.</t>
  </si>
  <si>
    <t>Respirador reutilizável semifacial tipo Modelo 3M série 6200 completo com cartuchos 6003</t>
  </si>
  <si>
    <t>Mascara descartável contra poeira e névoas</t>
  </si>
  <si>
    <t>Protetor auricular</t>
  </si>
  <si>
    <t>Semestral</t>
  </si>
  <si>
    <t>Auxiliar de Elétrica / Eletricista e Encarregado</t>
  </si>
  <si>
    <t>Mecânico de Refrigeração / Auxiliar Mecânico de Refrigeração</t>
  </si>
  <si>
    <t>QTD</t>
  </si>
  <si>
    <t xml:space="preserve">Valor Mensal </t>
  </si>
  <si>
    <t>Valor Mensal</t>
  </si>
  <si>
    <t>Custos com mão de obra</t>
  </si>
  <si>
    <t>Valor fixo estimado (não permitido lances)</t>
  </si>
  <si>
    <t>Custo mensal com insumos emergenciais</t>
  </si>
  <si>
    <t>Valor total estimado para o contrato</t>
  </si>
  <si>
    <t>Valor mensal total estimado para o contrato</t>
  </si>
  <si>
    <r>
      <t xml:space="preserve">Valor do BDI </t>
    </r>
    <r>
      <rPr>
        <vertAlign val="superscript"/>
        <sz val="8"/>
        <color theme="1"/>
        <rFont val="Spranq eco sans"/>
        <family val="2"/>
      </rPr>
      <t>(*)</t>
    </r>
  </si>
  <si>
    <t>Alicate Amperimetro industrial Ref. FLUKE 376 2000a</t>
  </si>
  <si>
    <t>Alicate Universal (grande)</t>
  </si>
  <si>
    <t>Obs.   Altereda a planilha de custos com a retirada da previsão da multa de 10% em relação ao FGTS em razão da publicação da Lei nº 13.932/2019</t>
  </si>
  <si>
    <t>Valor</t>
  </si>
  <si>
    <t>Vida Útil (anos)</t>
  </si>
  <si>
    <t>Alicate Bico (grande)</t>
  </si>
  <si>
    <t>Alicate de Corte (grande)</t>
  </si>
  <si>
    <t>Alicate Prensa Terminal</t>
  </si>
  <si>
    <t>Chave de Fenda 1/4" x 6"</t>
  </si>
  <si>
    <t>Chave de Fenda 3/16" x 6"</t>
  </si>
  <si>
    <t>Chave de Fenda 1/8" x 6"</t>
  </si>
  <si>
    <t>Chave Philips  1/4" x 6"</t>
  </si>
  <si>
    <t>Chave Philips  5/16" x 6"</t>
  </si>
  <si>
    <t>Chave Philips  3/16" x 6"</t>
  </si>
  <si>
    <t>Chave Philips  1/8" x 6"</t>
  </si>
  <si>
    <t>Canivete Eletricista (Ref. Corneta)</t>
  </si>
  <si>
    <t>Caixa/Bolsa de Ferramenta</t>
  </si>
  <si>
    <t>Ferramentas (uso individual)</t>
  </si>
  <si>
    <t>Depreciação Anual</t>
  </si>
  <si>
    <t>Valor Mensal a pagar</t>
  </si>
  <si>
    <t>Qtd de peças</t>
  </si>
  <si>
    <t>Valor Total Incluindo Tributos</t>
  </si>
  <si>
    <t>Lista de equipamentos e Ferramentas Individuais para Mecânico de Refrigeração e Auxiliar Mecânico</t>
  </si>
  <si>
    <t>Lista de equipamentos e Ferramentas Individuais para Eletricista e Auxiliar de Eletricista</t>
  </si>
  <si>
    <t>Alargador de Tubos de Cobre 1/4" a 1"</t>
  </si>
  <si>
    <t>Alicate bico de papagaio</t>
  </si>
  <si>
    <t>Alicate de bico reto</t>
  </si>
  <si>
    <t>Alicate de bico reto com isolamento</t>
  </si>
  <si>
    <t>Alicate de Corte</t>
  </si>
  <si>
    <t>Obs. Todas as ferramentas com isolamento para Baixa e Média tensão</t>
  </si>
  <si>
    <t>Alicarte de Corte diagonal mod. Sueco com isolamento - 160mm</t>
  </si>
  <si>
    <t>Alicate de pressão</t>
  </si>
  <si>
    <t xml:space="preserve">Alicate para aneis internos pontas fixaz 90º </t>
  </si>
  <si>
    <t>Alicate POP 10"</t>
  </si>
  <si>
    <t>Alicate Universal 8"</t>
  </si>
  <si>
    <t>Alicate Unversal com isolamento 200mm</t>
  </si>
  <si>
    <t>Arco de Serra</t>
  </si>
  <si>
    <t>Bits tipo "TORX" - 5/16" - M4 a M10</t>
  </si>
  <si>
    <t>Caixa de Ferramentas sanfonada com gavetas</t>
  </si>
  <si>
    <t>Jogo de Chave "L" (7/32" - 3/16" - 5/32" - 1/8" - 2,5mm - 2mm - 1mm - 5mm - 3mm</t>
  </si>
  <si>
    <t>Chave ajustável 10"</t>
  </si>
  <si>
    <t>Chave ajustável 12"</t>
  </si>
  <si>
    <t>Chave ajustável 15"</t>
  </si>
  <si>
    <t>Chave ajustável 6"</t>
  </si>
  <si>
    <t>Chave ajustável 8"</t>
  </si>
  <si>
    <t>Jogo de Chave Allen (3mm-5mm-8mm-8mm-10mm-12mm)</t>
  </si>
  <si>
    <t>Jogo de Chave Allen (1/4"-3/8"-7/16"-1/2"-1/8"-5/32"-7/32"-3/4"- 3/16"-7/8"-5/6")</t>
  </si>
  <si>
    <t>Chave de boca estria 1/2"</t>
  </si>
  <si>
    <t>Chave de boca estria 1" x 1/16"</t>
  </si>
  <si>
    <t>Chave de boca estria 1" x 1/18"</t>
  </si>
  <si>
    <t>Chave de boca estria 1" x 1/4"</t>
  </si>
  <si>
    <t>Chave de boca estria 3/16"</t>
  </si>
  <si>
    <t>Chave de boca estria 3/8" x 7/16"</t>
  </si>
  <si>
    <t>Chave de boca estria 3/4"</t>
  </si>
  <si>
    <t>Chave de boca estria 5/16"</t>
  </si>
  <si>
    <t>Chave de Grifo 14"</t>
  </si>
  <si>
    <t>Chave de Grifo 24"</t>
  </si>
  <si>
    <t>Jogo de Chave Combinada (6mm, 7mm, 8mm, 9mm, 10mm, 11mm, 12,2mm, 13,2mm, 14mm, 17mm, 19mm, 22mm)</t>
  </si>
  <si>
    <t>Bomba de Vácuo duplo estágio 12 cfm</t>
  </si>
  <si>
    <t>Manifold r22/r407c/410A corr val/mang 150cv</t>
  </si>
  <si>
    <t>Vacuometro Digital mastercool 98061 ou similar</t>
  </si>
  <si>
    <t>Mangueira de váculo preta 1,8m 3/8" SURHA ou similar</t>
  </si>
  <si>
    <t>Lavadora de Alta pressão EL-1700 220v - Eletropla ou similar</t>
  </si>
  <si>
    <t>Conjunto de solta oxi-acetileno pu</t>
  </si>
  <si>
    <t>Balança digital para gás refrigerante TSDT-12005 ou similar</t>
  </si>
  <si>
    <t>Valor Mensal Ferramentas e Equipamentos</t>
  </si>
  <si>
    <t>Número Total de Empregados</t>
  </si>
  <si>
    <t>Valor Mensal por empregado</t>
  </si>
  <si>
    <t>23079.042065/2019-32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</si>
  <si>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</si>
  <si>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</si>
  <si>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</si>
  <si>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</si>
  <si>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</si>
  <si>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</si>
  <si>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</si>
  <si>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</si>
  <si>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Data:</t>
  </si>
  <si>
    <t>Endereço:</t>
  </si>
  <si>
    <t>RJ000808/2019 de 17/05/2019</t>
  </si>
  <si>
    <t>LEGAL SOLUÇOES CORPORATIVAS LTDA</t>
  </si>
  <si>
    <t>RUA ARAGUAIA, 265 SALA 311 - RIO DE JANEIRO/RJ</t>
  </si>
  <si>
    <t>Dia 02/02/2020 às 14:05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</si>
</sst>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 &quot;#,##0.00_);\(&quot;R$ &quot;#,##0.00\)"/>
    <numFmt numFmtId="165" formatCode="#,##0_ ;\-#,##0\ "/>
    <numFmt numFmtId="167" formatCode="0.0000%"/>
    <numFmt numFmtId="169" formatCode="dd/mm/yy;@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color theme="1"/>
      <name val="Spranq eco sans"/>
      <family val="2"/>
    </font>
    <font>
      <sz val="10"/>
      <name val="Spranq eco sans"/>
      <family val="2"/>
    </font>
    <font>
      <sz val="8"/>
      <name val="Spranq eco sans"/>
      <family val="2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3"/>
      <color theme="1"/>
      <name val="Spranq eco sans"/>
      <family val="2"/>
    </font>
    <font>
      <sz val="12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vertAlign val="superscript"/>
      <sz val="8"/>
      <color theme="1"/>
      <name val="Spranq eco sans"/>
      <family val="2"/>
    </font>
    <font>
      <b/>
      <sz val="8"/>
      <color theme="1"/>
      <name val="Spranq eco sans"/>
      <family val="2"/>
    </font>
    <font>
      <b/>
      <sz val="8"/>
      <color theme="0"/>
      <name val="Spranq eco sans"/>
      <family val="2"/>
    </font>
    <font>
      <b/>
      <sz val="12"/>
      <color theme="1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10"/>
      <color rgb="FF000000"/>
      <name val="Spranq eco sans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44" fontId="3" fillId="0" borderId="1" xfId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4" fontId="3" fillId="0" borderId="1" xfId="1" applyFont="1" applyBorder="1" applyAlignment="1">
      <alignment horizontal="right" vertical="center"/>
    </xf>
    <xf numFmtId="0" fontId="3" fillId="0" borderId="1" xfId="0" applyFont="1" applyBorder="1" applyAlignment="1">
      <alignment vertical="top" wrapText="1"/>
    </xf>
    <xf numFmtId="44" fontId="3" fillId="0" borderId="0" xfId="1" applyFont="1"/>
    <xf numFmtId="44" fontId="3" fillId="0" borderId="1" xfId="1" applyFont="1" applyBorder="1"/>
    <xf numFmtId="0" fontId="4" fillId="0" borderId="0" xfId="0" applyFont="1" applyFill="1" applyBorder="1" applyAlignment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horizontal="right" vertical="center"/>
    </xf>
    <xf numFmtId="0" fontId="0" fillId="2" borderId="3" xfId="0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4" fontId="0" fillId="0" borderId="1" xfId="1" applyNumberFormat="1" applyFont="1" applyBorder="1" applyAlignment="1">
      <alignment horizontal="right" vertical="center"/>
    </xf>
    <xf numFmtId="0" fontId="0" fillId="0" borderId="3" xfId="0" applyBorder="1" applyAlignment="1">
      <alignment vertical="center"/>
    </xf>
    <xf numFmtId="9" fontId="0" fillId="0" borderId="1" xfId="2" applyFont="1" applyBorder="1" applyAlignment="1">
      <alignment vertical="center"/>
    </xf>
    <xf numFmtId="44" fontId="0" fillId="0" borderId="0" xfId="0" applyNumberFormat="1"/>
    <xf numFmtId="44" fontId="0" fillId="0" borderId="1" xfId="1" applyNumberFormat="1" applyFont="1" applyFill="1" applyBorder="1" applyAlignment="1">
      <alignment horizontal="right" vertical="center"/>
    </xf>
    <xf numFmtId="44" fontId="0" fillId="0" borderId="1" xfId="1" applyNumberFormat="1" applyFont="1" applyBorder="1"/>
    <xf numFmtId="39" fontId="3" fillId="0" borderId="0" xfId="1" quotePrefix="1" applyNumberFormat="1" applyFont="1" applyBorder="1"/>
    <xf numFmtId="44" fontId="4" fillId="2" borderId="1" xfId="1" applyNumberFormat="1" applyFont="1" applyFill="1" applyBorder="1"/>
    <xf numFmtId="0" fontId="4" fillId="2" borderId="5" xfId="0" applyFont="1" applyFill="1" applyBorder="1"/>
    <xf numFmtId="0" fontId="4" fillId="2" borderId="1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1" xfId="0" applyBorder="1"/>
    <xf numFmtId="10" fontId="0" fillId="0" borderId="1" xfId="2" applyNumberFormat="1" applyFont="1" applyFill="1" applyBorder="1"/>
    <xf numFmtId="0" fontId="6" fillId="5" borderId="1" xfId="0" applyFont="1" applyFill="1" applyBorder="1" applyAlignment="1">
      <alignment horizontal="left" vertical="center"/>
    </xf>
    <xf numFmtId="0" fontId="0" fillId="5" borderId="1" xfId="0" applyFont="1" applyFill="1" applyBorder="1"/>
    <xf numFmtId="10" fontId="7" fillId="5" borderId="1" xfId="2" applyNumberFormat="1" applyFont="1" applyFill="1" applyBorder="1"/>
    <xf numFmtId="44" fontId="7" fillId="5" borderId="1" xfId="1" applyNumberFormat="1" applyFont="1" applyFill="1" applyBorder="1"/>
    <xf numFmtId="0" fontId="6" fillId="0" borderId="1" xfId="0" applyFont="1" applyBorder="1"/>
    <xf numFmtId="10" fontId="6" fillId="0" borderId="1" xfId="2" applyNumberFormat="1" applyFont="1" applyFill="1" applyBorder="1"/>
    <xf numFmtId="44" fontId="6" fillId="0" borderId="1" xfId="1" applyNumberFormat="1" applyFont="1" applyBorder="1"/>
    <xf numFmtId="0" fontId="4" fillId="2" borderId="5" xfId="0" applyFont="1" applyFill="1" applyBorder="1" applyAlignment="1">
      <alignment vertical="center"/>
    </xf>
    <xf numFmtId="10" fontId="0" fillId="0" borderId="1" xfId="2" applyNumberFormat="1" applyFont="1" applyBorder="1"/>
    <xf numFmtId="44" fontId="0" fillId="0" borderId="1" xfId="0" applyNumberFormat="1" applyBorder="1"/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10" fontId="4" fillId="2" borderId="1" xfId="2" applyNumberFormat="1" applyFont="1" applyFill="1" applyBorder="1" applyAlignment="1">
      <alignment horizontal="left" vertical="center"/>
    </xf>
    <xf numFmtId="44" fontId="4" fillId="2" borderId="1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 vertical="center"/>
    </xf>
    <xf numFmtId="10" fontId="0" fillId="6" borderId="1" xfId="2" applyNumberFormat="1" applyFont="1" applyFill="1" applyBorder="1"/>
    <xf numFmtId="0" fontId="0" fillId="0" borderId="8" xfId="0" applyFill="1" applyBorder="1" applyAlignment="1">
      <alignment horizontal="left" vertical="center"/>
    </xf>
    <xf numFmtId="0" fontId="0" fillId="0" borderId="1" xfId="0" applyFill="1" applyBorder="1"/>
    <xf numFmtId="8" fontId="0" fillId="0" borderId="1" xfId="0" applyNumberFormat="1" applyFill="1" applyBorder="1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10" fontId="0" fillId="0" borderId="0" xfId="2" applyNumberFormat="1" applyFont="1" applyFill="1" applyBorder="1"/>
    <xf numFmtId="164" fontId="9" fillId="0" borderId="0" xfId="0" applyNumberFormat="1" applyFont="1" applyBorder="1" applyAlignment="1">
      <alignment vertical="center" wrapText="1"/>
    </xf>
    <xf numFmtId="10" fontId="4" fillId="2" borderId="1" xfId="2" applyNumberFormat="1" applyFont="1" applyFill="1" applyBorder="1" applyAlignment="1">
      <alignment vertical="center"/>
    </xf>
    <xf numFmtId="8" fontId="4" fillId="2" borderId="1" xfId="1" applyNumberFormat="1" applyFont="1" applyFill="1" applyBorder="1"/>
    <xf numFmtId="0" fontId="4" fillId="4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8" fontId="0" fillId="0" borderId="1" xfId="0" applyNumberFormat="1" applyBorder="1"/>
    <xf numFmtId="44" fontId="4" fillId="4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44" fontId="0" fillId="0" borderId="1" xfId="0" applyNumberFormat="1" applyFill="1" applyBorder="1"/>
    <xf numFmtId="0" fontId="0" fillId="6" borderId="1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vertical="center"/>
    </xf>
    <xf numFmtId="44" fontId="0" fillId="6" borderId="1" xfId="1" applyNumberFormat="1" applyFont="1" applyFill="1" applyBorder="1"/>
    <xf numFmtId="44" fontId="4" fillId="2" borderId="1" xfId="0" applyNumberFormat="1" applyFont="1" applyFill="1" applyBorder="1"/>
    <xf numFmtId="44" fontId="0" fillId="0" borderId="1" xfId="1" applyNumberFormat="1" applyFont="1" applyFill="1" applyBorder="1"/>
    <xf numFmtId="10" fontId="0" fillId="0" borderId="0" xfId="2" applyNumberFormat="1" applyFont="1"/>
    <xf numFmtId="44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4" borderId="1" xfId="0" applyFont="1" applyFill="1" applyBorder="1" applyAlignment="1">
      <alignment horizontal="left"/>
    </xf>
    <xf numFmtId="0" fontId="0" fillId="7" borderId="1" xfId="0" applyFill="1" applyBorder="1"/>
    <xf numFmtId="44" fontId="4" fillId="7" borderId="1" xfId="1" applyNumberFormat="1" applyFont="1" applyFill="1" applyBorder="1"/>
    <xf numFmtId="0" fontId="4" fillId="4" borderId="1" xfId="0" applyFont="1" applyFill="1" applyBorder="1" applyAlignment="1">
      <alignment horizontal="left"/>
    </xf>
    <xf numFmtId="44" fontId="4" fillId="4" borderId="1" xfId="0" applyNumberFormat="1" applyFont="1" applyFill="1" applyBorder="1"/>
    <xf numFmtId="0" fontId="4" fillId="2" borderId="2" xfId="0" applyFont="1" applyFill="1" applyBorder="1" applyAlignment="1">
      <alignment horizontal="center" vertical="center"/>
    </xf>
    <xf numFmtId="44" fontId="4" fillId="7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0" fontId="9" fillId="0" borderId="0" xfId="0" applyNumberFormat="1" applyFont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vertical="center"/>
    </xf>
    <xf numFmtId="44" fontId="4" fillId="0" borderId="1" xfId="1" applyNumberFormat="1" applyFont="1" applyBorder="1"/>
    <xf numFmtId="44" fontId="12" fillId="9" borderId="1" xfId="0" applyNumberFormat="1" applyFont="1" applyFill="1" applyBorder="1"/>
    <xf numFmtId="44" fontId="4" fillId="4" borderId="1" xfId="1" applyNumberFormat="1" applyFont="1" applyFill="1" applyBorder="1"/>
    <xf numFmtId="0" fontId="0" fillId="0" borderId="0" xfId="0" applyBorder="1" applyAlignment="1"/>
    <xf numFmtId="39" fontId="7" fillId="0" borderId="1" xfId="1" applyNumberFormat="1" applyFont="1" applyBorder="1"/>
    <xf numFmtId="0" fontId="0" fillId="0" borderId="1" xfId="0" applyFont="1" applyBorder="1"/>
    <xf numFmtId="0" fontId="6" fillId="0" borderId="1" xfId="0" applyFont="1" applyFill="1" applyBorder="1"/>
    <xf numFmtId="44" fontId="6" fillId="0" borderId="1" xfId="0" applyNumberFormat="1" applyFont="1" applyBorder="1"/>
    <xf numFmtId="44" fontId="4" fillId="7" borderId="1" xfId="0" applyNumberFormat="1" applyFont="1" applyFill="1" applyBorder="1"/>
    <xf numFmtId="165" fontId="0" fillId="0" borderId="1" xfId="0" applyNumberFormat="1" applyBorder="1"/>
    <xf numFmtId="0" fontId="0" fillId="0" borderId="0" xfId="0" applyAlignment="1">
      <alignment vertical="top" wrapText="1"/>
    </xf>
    <xf numFmtId="0" fontId="0" fillId="10" borderId="1" xfId="0" applyFill="1" applyBorder="1"/>
    <xf numFmtId="44" fontId="0" fillId="10" borderId="1" xfId="0" applyNumberFormat="1" applyFill="1" applyBorder="1"/>
    <xf numFmtId="10" fontId="0" fillId="10" borderId="1" xfId="2" applyNumberFormat="1" applyFont="1" applyFill="1" applyBorder="1"/>
    <xf numFmtId="0" fontId="9" fillId="0" borderId="1" xfId="0" applyFont="1" applyBorder="1" applyAlignment="1">
      <alignment horizontal="left" vertical="center" wrapText="1"/>
    </xf>
    <xf numFmtId="3" fontId="2" fillId="0" borderId="0" xfId="0" applyNumberFormat="1" applyFont="1"/>
    <xf numFmtId="0" fontId="15" fillId="0" borderId="1" xfId="0" applyFont="1" applyFill="1" applyBorder="1" applyAlignment="1">
      <alignment horizontal="center" vertical="center" wrapText="1"/>
    </xf>
    <xf numFmtId="44" fontId="15" fillId="0" borderId="1" xfId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44" fontId="15" fillId="0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0" fillId="10" borderId="1" xfId="0" applyFill="1" applyBorder="1" applyAlignment="1">
      <alignment wrapText="1"/>
    </xf>
    <xf numFmtId="164" fontId="8" fillId="10" borderId="1" xfId="0" applyNumberFormat="1" applyFont="1" applyFill="1" applyBorder="1" applyAlignment="1">
      <alignment vertical="center" wrapText="1"/>
    </xf>
    <xf numFmtId="44" fontId="0" fillId="10" borderId="1" xfId="1" applyNumberFormat="1" applyFont="1" applyFill="1" applyBorder="1"/>
    <xf numFmtId="0" fontId="0" fillId="10" borderId="1" xfId="0" applyFont="1" applyFill="1" applyBorder="1" applyAlignment="1">
      <alignment horizontal="left" wrapText="1"/>
    </xf>
    <xf numFmtId="0" fontId="0" fillId="10" borderId="1" xfId="0" applyFill="1" applyBorder="1" applyAlignment="1">
      <alignment horizontal="left" wrapText="1"/>
    </xf>
    <xf numFmtId="9" fontId="0" fillId="0" borderId="0" xfId="2" applyFont="1"/>
    <xf numFmtId="0" fontId="0" fillId="10" borderId="7" xfId="0" applyFill="1" applyBorder="1" applyAlignment="1">
      <alignment horizontal="left" vertical="center"/>
    </xf>
    <xf numFmtId="0" fontId="0" fillId="12" borderId="1" xfId="0" applyFill="1" applyBorder="1" applyAlignment="1">
      <alignment horizontal="left" vertical="center"/>
    </xf>
    <xf numFmtId="0" fontId="0" fillId="12" borderId="1" xfId="0" applyFill="1" applyBorder="1" applyAlignment="1">
      <alignment vertical="center"/>
    </xf>
    <xf numFmtId="0" fontId="0" fillId="13" borderId="1" xfId="0" applyFill="1" applyBorder="1" applyAlignment="1">
      <alignment horizontal="left" vertical="center"/>
    </xf>
    <xf numFmtId="0" fontId="0" fillId="13" borderId="1" xfId="0" applyFill="1" applyBorder="1" applyAlignment="1">
      <alignment vertical="center"/>
    </xf>
    <xf numFmtId="0" fontId="0" fillId="11" borderId="1" xfId="0" applyFill="1" applyBorder="1" applyAlignment="1">
      <alignment horizontal="left" vertical="center"/>
    </xf>
    <xf numFmtId="0" fontId="0" fillId="11" borderId="1" xfId="0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0" fontId="3" fillId="13" borderId="1" xfId="2" applyNumberFormat="1" applyFont="1" applyFill="1" applyBorder="1"/>
    <xf numFmtId="44" fontId="3" fillId="13" borderId="1" xfId="0" applyNumberFormat="1" applyFont="1" applyFill="1" applyBorder="1"/>
    <xf numFmtId="0" fontId="15" fillId="11" borderId="3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center" wrapText="1"/>
    </xf>
    <xf numFmtId="44" fontId="15" fillId="11" borderId="1" xfId="1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vertical="center" wrapText="1"/>
    </xf>
    <xf numFmtId="0" fontId="3" fillId="11" borderId="1" xfId="0" applyFont="1" applyFill="1" applyBorder="1"/>
    <xf numFmtId="44" fontId="3" fillId="11" borderId="1" xfId="0" applyNumberFormat="1" applyFont="1" applyFill="1" applyBorder="1"/>
    <xf numFmtId="0" fontId="18" fillId="11" borderId="1" xfId="0" applyFont="1" applyFill="1" applyBorder="1"/>
    <xf numFmtId="44" fontId="18" fillId="11" borderId="1" xfId="1" applyFont="1" applyFill="1" applyBorder="1"/>
    <xf numFmtId="44" fontId="3" fillId="13" borderId="5" xfId="1" applyFont="1" applyFill="1" applyBorder="1"/>
    <xf numFmtId="44" fontId="19" fillId="14" borderId="1" xfId="0" applyNumberFormat="1" applyFont="1" applyFill="1" applyBorder="1"/>
    <xf numFmtId="44" fontId="19" fillId="14" borderId="1" xfId="1" applyFont="1" applyFill="1" applyBorder="1"/>
    <xf numFmtId="10" fontId="0" fillId="3" borderId="1" xfId="2" applyNumberFormat="1" applyFont="1" applyFill="1" applyBorder="1"/>
    <xf numFmtId="9" fontId="3" fillId="0" borderId="0" xfId="2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1" xfId="0" applyFont="1" applyBorder="1"/>
    <xf numFmtId="9" fontId="3" fillId="0" borderId="1" xfId="2" applyFont="1" applyBorder="1"/>
    <xf numFmtId="0" fontId="3" fillId="0" borderId="7" xfId="0" applyFont="1" applyBorder="1" applyAlignment="1">
      <alignment horizontal="center" vertical="center" wrapText="1"/>
    </xf>
    <xf numFmtId="9" fontId="3" fillId="0" borderId="7" xfId="2" applyFont="1" applyBorder="1" applyAlignment="1">
      <alignment horizontal="center" vertical="center" wrapText="1"/>
    </xf>
    <xf numFmtId="4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6" fillId="11" borderId="1" xfId="0" applyFont="1" applyFill="1" applyBorder="1" applyAlignment="1"/>
    <xf numFmtId="0" fontId="16" fillId="13" borderId="1" xfId="0" applyFont="1" applyFill="1" applyBorder="1" applyAlignment="1"/>
    <xf numFmtId="0" fontId="1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23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/>
    <xf numFmtId="0" fontId="9" fillId="10" borderId="1" xfId="0" applyFont="1" applyFill="1" applyBorder="1" applyAlignment="1" applyProtection="1">
      <alignment vertical="center" wrapText="1"/>
      <protection locked="0"/>
    </xf>
    <xf numFmtId="0" fontId="0" fillId="10" borderId="1" xfId="0" applyFill="1" applyBorder="1" applyAlignment="1">
      <alignment horizontal="left" vertical="center" wrapText="1"/>
    </xf>
    <xf numFmtId="44" fontId="9" fillId="10" borderId="1" xfId="1" applyFont="1" applyFill="1" applyBorder="1" applyAlignment="1">
      <alignment horizontal="left" vertical="center" wrapText="1"/>
    </xf>
    <xf numFmtId="44" fontId="3" fillId="10" borderId="1" xfId="1" applyFont="1" applyFill="1" applyBorder="1" applyAlignment="1">
      <alignment horizontal="right" vertical="center"/>
    </xf>
    <xf numFmtId="44" fontId="3" fillId="10" borderId="7" xfId="1" applyFont="1" applyFill="1" applyBorder="1" applyAlignment="1">
      <alignment horizontal="center" vertical="center"/>
    </xf>
    <xf numFmtId="44" fontId="3" fillId="10" borderId="1" xfId="1" applyFont="1" applyFill="1" applyBorder="1"/>
    <xf numFmtId="44" fontId="3" fillId="10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9" fillId="10" borderId="1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3" fontId="15" fillId="0" borderId="3" xfId="0" applyNumberFormat="1" applyFont="1" applyBorder="1" applyAlignment="1">
      <alignment horizontal="center" vertical="top" wrapText="1"/>
    </xf>
    <xf numFmtId="3" fontId="15" fillId="0" borderId="2" xfId="0" applyNumberFormat="1" applyFont="1" applyBorder="1" applyAlignment="1">
      <alignment horizontal="center" vertical="top" wrapText="1"/>
    </xf>
    <xf numFmtId="3" fontId="15" fillId="0" borderId="3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10" borderId="3" xfId="0" applyFont="1" applyFill="1" applyBorder="1" applyAlignment="1">
      <alignment horizontal="left" vertical="center" wrapText="1"/>
    </xf>
    <xf numFmtId="0" fontId="15" fillId="10" borderId="4" xfId="0" applyFont="1" applyFill="1" applyBorder="1" applyAlignment="1">
      <alignment horizontal="left" vertical="center" wrapText="1"/>
    </xf>
    <xf numFmtId="0" fontId="15" fillId="1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11" borderId="3" xfId="0" applyFont="1" applyFill="1" applyBorder="1" applyAlignment="1">
      <alignment horizontal="center" vertical="center" wrapText="1"/>
    </xf>
    <xf numFmtId="0" fontId="15" fillId="11" borderId="2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13" borderId="3" xfId="0" applyFont="1" applyFill="1" applyBorder="1" applyAlignment="1">
      <alignment horizontal="left"/>
    </xf>
    <xf numFmtId="0" fontId="3" fillId="13" borderId="2" xfId="0" applyFont="1" applyFill="1" applyBorder="1" applyAlignment="1">
      <alignment horizontal="left"/>
    </xf>
    <xf numFmtId="0" fontId="3" fillId="13" borderId="14" xfId="0" applyFont="1" applyFill="1" applyBorder="1" applyAlignment="1">
      <alignment horizontal="left"/>
    </xf>
    <xf numFmtId="0" fontId="3" fillId="13" borderId="6" xfId="0" applyFont="1" applyFill="1" applyBorder="1" applyAlignment="1">
      <alignment horizontal="left"/>
    </xf>
    <xf numFmtId="0" fontId="19" fillId="14" borderId="3" xfId="0" applyFont="1" applyFill="1" applyBorder="1" applyAlignment="1">
      <alignment horizontal="left"/>
    </xf>
    <xf numFmtId="0" fontId="19" fillId="14" borderId="2" xfId="0" applyFont="1" applyFill="1" applyBorder="1" applyAlignment="1">
      <alignment horizontal="left"/>
    </xf>
    <xf numFmtId="44" fontId="3" fillId="0" borderId="1" xfId="1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2" fillId="9" borderId="0" xfId="0" applyFont="1" applyFill="1" applyAlignment="1">
      <alignment horizontal="left"/>
    </xf>
    <xf numFmtId="0" fontId="4" fillId="7" borderId="3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8" borderId="0" xfId="0" applyFont="1" applyFill="1" applyAlignment="1">
      <alignment horizont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4" fillId="7" borderId="3" xfId="0" applyFont="1" applyFill="1" applyBorder="1" applyAlignment="1">
      <alignment horizontal="left"/>
    </xf>
    <xf numFmtId="0" fontId="4" fillId="7" borderId="2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17" fontId="0" fillId="3" borderId="3" xfId="0" applyNumberFormat="1" applyFill="1" applyBorder="1" applyAlignment="1">
      <alignment horizontal="right" vertical="center"/>
    </xf>
    <xf numFmtId="0" fontId="0" fillId="3" borderId="2" xfId="0" applyFill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3" borderId="3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right" vertical="center"/>
    </xf>
    <xf numFmtId="44" fontId="0" fillId="3" borderId="1" xfId="1" applyNumberFormat="1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left" wrapText="1"/>
    </xf>
    <xf numFmtId="0" fontId="4" fillId="4" borderId="4" xfId="0" applyFont="1" applyFill="1" applyBorder="1" applyAlignment="1">
      <alignment horizontal="left" wrapText="1"/>
    </xf>
    <xf numFmtId="0" fontId="4" fillId="4" borderId="2" xfId="0" applyFont="1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3" fillId="3" borderId="0" xfId="0" applyFont="1" applyFill="1" applyAlignment="1">
      <alignment horizontal="center"/>
    </xf>
    <xf numFmtId="0" fontId="0" fillId="12" borderId="3" xfId="0" applyFill="1" applyBorder="1" applyAlignment="1">
      <alignment horizontal="left" vertical="center" wrapText="1"/>
    </xf>
    <xf numFmtId="0" fontId="0" fillId="12" borderId="2" xfId="0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0" fillId="12" borderId="3" xfId="0" applyFill="1" applyBorder="1" applyAlignment="1">
      <alignment horizontal="right" vertical="center"/>
    </xf>
    <xf numFmtId="0" fontId="0" fillId="12" borderId="2" xfId="0" applyFill="1" applyBorder="1" applyAlignment="1">
      <alignment horizontal="right" vertical="center"/>
    </xf>
    <xf numFmtId="44" fontId="0" fillId="12" borderId="1" xfId="1" applyNumberFormat="1" applyFont="1" applyFill="1" applyBorder="1" applyAlignment="1">
      <alignment horizontal="left" vertical="center"/>
    </xf>
    <xf numFmtId="17" fontId="0" fillId="12" borderId="3" xfId="0" applyNumberFormat="1" applyFill="1" applyBorder="1" applyAlignment="1">
      <alignment horizontal="right" vertical="center"/>
    </xf>
    <xf numFmtId="0" fontId="13" fillId="12" borderId="0" xfId="0" applyFont="1" applyFill="1" applyAlignment="1">
      <alignment horizontal="center" wrapText="1"/>
    </xf>
    <xf numFmtId="0" fontId="0" fillId="11" borderId="3" xfId="0" applyFill="1" applyBorder="1" applyAlignment="1">
      <alignment horizontal="left" vertical="center" wrapText="1"/>
    </xf>
    <xf numFmtId="0" fontId="0" fillId="11" borderId="2" xfId="0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0" fillId="11" borderId="3" xfId="0" applyFill="1" applyBorder="1" applyAlignment="1">
      <alignment horizontal="right" vertical="center"/>
    </xf>
    <xf numFmtId="0" fontId="0" fillId="11" borderId="2" xfId="0" applyFill="1" applyBorder="1" applyAlignment="1">
      <alignment horizontal="right" vertical="center"/>
    </xf>
    <xf numFmtId="44" fontId="0" fillId="11" borderId="1" xfId="1" applyNumberFormat="1" applyFont="1" applyFill="1" applyBorder="1" applyAlignment="1">
      <alignment horizontal="left" vertical="center"/>
    </xf>
    <xf numFmtId="17" fontId="0" fillId="11" borderId="3" xfId="0" applyNumberFormat="1" applyFill="1" applyBorder="1" applyAlignment="1">
      <alignment horizontal="right" vertical="center"/>
    </xf>
    <xf numFmtId="0" fontId="13" fillId="11" borderId="0" xfId="0" applyFont="1" applyFill="1" applyAlignment="1">
      <alignment horizontal="center" vertical="center" wrapText="1"/>
    </xf>
    <xf numFmtId="0" fontId="0" fillId="13" borderId="3" xfId="0" applyFill="1" applyBorder="1" applyAlignment="1">
      <alignment horizontal="left" vertical="center" wrapText="1"/>
    </xf>
    <xf numFmtId="0" fontId="0" fillId="13" borderId="2" xfId="0" applyFill="1" applyBorder="1" applyAlignment="1">
      <alignment horizontal="left" vertical="center" wrapText="1"/>
    </xf>
    <xf numFmtId="0" fontId="4" fillId="13" borderId="3" xfId="0" applyFont="1" applyFill="1" applyBorder="1" applyAlignment="1">
      <alignment horizontal="center" vertical="center" wrapText="1"/>
    </xf>
    <xf numFmtId="0" fontId="4" fillId="13" borderId="2" xfId="0" applyFont="1" applyFill="1" applyBorder="1" applyAlignment="1">
      <alignment horizontal="center" vertical="center" wrapText="1"/>
    </xf>
    <xf numFmtId="0" fontId="0" fillId="13" borderId="3" xfId="0" applyFill="1" applyBorder="1" applyAlignment="1">
      <alignment horizontal="right" vertical="center"/>
    </xf>
    <xf numFmtId="0" fontId="0" fillId="13" borderId="2" xfId="0" applyFill="1" applyBorder="1" applyAlignment="1">
      <alignment horizontal="right" vertical="center"/>
    </xf>
    <xf numFmtId="44" fontId="0" fillId="13" borderId="1" xfId="1" applyNumberFormat="1" applyFont="1" applyFill="1" applyBorder="1" applyAlignment="1">
      <alignment horizontal="left" vertical="center"/>
    </xf>
    <xf numFmtId="17" fontId="0" fillId="13" borderId="3" xfId="0" applyNumberFormat="1" applyFill="1" applyBorder="1" applyAlignment="1">
      <alignment horizontal="right" vertical="center"/>
    </xf>
    <xf numFmtId="0" fontId="13" fillId="13" borderId="0" xfId="0" applyFont="1" applyFill="1" applyAlignment="1">
      <alignment horizontal="center" vertical="center" wrapText="1"/>
    </xf>
    <xf numFmtId="167" fontId="0" fillId="10" borderId="1" xfId="2" applyNumberFormat="1" applyFont="1" applyFill="1" applyBorder="1"/>
    <xf numFmtId="169" fontId="9" fillId="10" borderId="1" xfId="0" applyNumberFormat="1" applyFont="1" applyFill="1" applyBorder="1" applyAlignment="1" applyProtection="1">
      <alignment vertical="center" wrapText="1"/>
      <protection locked="0"/>
    </xf>
  </cellXfs>
  <cellStyles count="4">
    <cellStyle name="Moeda" xfId="1" builtinId="4"/>
    <cellStyle name="Moeda 3" xfId="3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topLeftCell="A22" zoomScale="80" zoomScaleNormal="80" workbookViewId="0">
      <selection activeCell="D44" sqref="D44:E44"/>
    </sheetView>
  </sheetViews>
  <sheetFormatPr defaultRowHeight="14.25"/>
  <cols>
    <col min="1" max="1" width="22.5703125" style="1" customWidth="1"/>
    <col min="2" max="3" width="9.140625" style="1"/>
    <col min="4" max="4" width="26.5703125" style="1" customWidth="1"/>
    <col min="5" max="5" width="17.28515625" style="1" customWidth="1"/>
    <col min="6" max="6" width="16.42578125" style="1" customWidth="1"/>
    <col min="7" max="16384" width="9.140625" style="1"/>
  </cols>
  <sheetData>
    <row r="1" spans="1:8">
      <c r="A1" s="170" t="s">
        <v>218</v>
      </c>
      <c r="B1" s="170"/>
      <c r="C1" s="104"/>
      <c r="D1" s="171" t="s">
        <v>344</v>
      </c>
      <c r="E1" s="171"/>
      <c r="F1" s="171"/>
    </row>
    <row r="2" spans="1:8">
      <c r="A2" s="170" t="s">
        <v>219</v>
      </c>
      <c r="B2" s="170"/>
      <c r="C2" s="104"/>
      <c r="D2" s="171"/>
      <c r="E2" s="171"/>
      <c r="F2" s="171"/>
    </row>
    <row r="3" spans="1:8">
      <c r="A3" s="172" t="s">
        <v>358</v>
      </c>
      <c r="B3" s="172"/>
      <c r="C3" s="172"/>
      <c r="D3" s="172"/>
      <c r="E3" s="172"/>
      <c r="F3" s="172"/>
    </row>
    <row r="4" spans="1:8">
      <c r="B4" s="105"/>
    </row>
    <row r="5" spans="1:8">
      <c r="B5" s="105"/>
    </row>
    <row r="6" spans="1:8">
      <c r="B6" s="105"/>
    </row>
    <row r="7" spans="1:8" ht="18">
      <c r="A7" s="175" t="s">
        <v>345</v>
      </c>
      <c r="B7" s="175"/>
      <c r="C7" s="175"/>
      <c r="D7" s="175"/>
      <c r="E7" s="175"/>
      <c r="F7" s="175"/>
      <c r="G7" s="175"/>
      <c r="H7" s="175"/>
    </row>
    <row r="8" spans="1:8">
      <c r="A8" s="177" t="s">
        <v>346</v>
      </c>
      <c r="B8" s="177"/>
      <c r="C8" s="177"/>
      <c r="D8" s="177"/>
      <c r="E8" s="177"/>
      <c r="F8" s="177"/>
      <c r="G8" s="158"/>
      <c r="H8" s="158"/>
    </row>
    <row r="9" spans="1:8" ht="15" customHeight="1">
      <c r="A9" s="176" t="s">
        <v>347</v>
      </c>
      <c r="B9" s="176"/>
      <c r="C9" s="176"/>
      <c r="D9" s="164"/>
      <c r="E9" s="178" t="s">
        <v>348</v>
      </c>
      <c r="F9" s="178"/>
      <c r="G9" s="159"/>
      <c r="H9" s="159"/>
    </row>
    <row r="10" spans="1:8">
      <c r="A10" s="177" t="s">
        <v>349</v>
      </c>
      <c r="B10" s="177"/>
      <c r="C10" s="177"/>
      <c r="D10" s="177"/>
      <c r="E10" s="177"/>
      <c r="F10" s="177"/>
      <c r="G10" s="158"/>
      <c r="H10" s="158"/>
    </row>
    <row r="11" spans="1:8">
      <c r="A11" s="177" t="s">
        <v>350</v>
      </c>
      <c r="B11" s="177"/>
      <c r="C11" s="177"/>
      <c r="D11" s="177"/>
      <c r="E11" s="177"/>
      <c r="F11" s="177"/>
      <c r="G11" s="158"/>
      <c r="H11" s="158"/>
    </row>
    <row r="12" spans="1:8" ht="27" customHeight="1">
      <c r="A12" s="176" t="s">
        <v>351</v>
      </c>
      <c r="B12" s="176"/>
      <c r="C12" s="176"/>
      <c r="D12" s="176"/>
      <c r="E12" s="176"/>
      <c r="F12" s="176"/>
      <c r="G12" s="160"/>
      <c r="H12" s="160"/>
    </row>
    <row r="14" spans="1:8" ht="19.5" customHeight="1">
      <c r="A14" s="163" t="s">
        <v>352</v>
      </c>
      <c r="B14" s="179" t="s">
        <v>356</v>
      </c>
      <c r="C14" s="179"/>
      <c r="D14" s="179"/>
      <c r="E14" s="179"/>
      <c r="F14" s="179"/>
      <c r="G14" s="161"/>
    </row>
    <row r="15" spans="1:8" ht="19.5" customHeight="1">
      <c r="A15" s="163" t="s">
        <v>354</v>
      </c>
      <c r="B15" s="179" t="s">
        <v>357</v>
      </c>
      <c r="C15" s="179"/>
      <c r="D15" s="179"/>
      <c r="E15" s="163" t="s">
        <v>353</v>
      </c>
      <c r="F15" s="309">
        <v>44014</v>
      </c>
      <c r="G15" s="161"/>
    </row>
    <row r="16" spans="1:8">
      <c r="B16" s="105"/>
      <c r="G16" s="162"/>
    </row>
    <row r="17" spans="1:6">
      <c r="B17" s="105"/>
    </row>
    <row r="18" spans="1:6">
      <c r="A18" s="173" t="s">
        <v>220</v>
      </c>
      <c r="B18" s="174"/>
      <c r="C18" s="174"/>
      <c r="D18" s="174"/>
      <c r="E18" s="174"/>
      <c r="F18" s="174"/>
    </row>
    <row r="19" spans="1:6">
      <c r="A19" s="110" t="s">
        <v>17</v>
      </c>
      <c r="B19" s="180" t="s">
        <v>221</v>
      </c>
      <c r="C19" s="181"/>
      <c r="D19" s="181"/>
      <c r="E19" s="181"/>
      <c r="F19" s="182"/>
    </row>
    <row r="20" spans="1:6" ht="22.5" customHeight="1">
      <c r="A20" s="110" t="s">
        <v>19</v>
      </c>
      <c r="B20" s="187" t="s">
        <v>222</v>
      </c>
      <c r="C20" s="188"/>
      <c r="D20" s="191" t="s">
        <v>223</v>
      </c>
      <c r="E20" s="191"/>
      <c r="F20" s="191"/>
    </row>
    <row r="21" spans="1:6" ht="132.75" customHeight="1">
      <c r="A21" s="111" t="s">
        <v>21</v>
      </c>
      <c r="B21" s="189" t="s">
        <v>224</v>
      </c>
      <c r="C21" s="190"/>
      <c r="D21" s="192" t="s">
        <v>355</v>
      </c>
      <c r="E21" s="193"/>
      <c r="F21" s="194"/>
    </row>
    <row r="22" spans="1:6">
      <c r="A22" s="110" t="s">
        <v>23</v>
      </c>
      <c r="B22" s="195" t="s">
        <v>225</v>
      </c>
      <c r="C22" s="195"/>
      <c r="D22" s="195"/>
      <c r="E22" s="195"/>
      <c r="F22" s="106">
        <v>6</v>
      </c>
    </row>
    <row r="23" spans="1:6" ht="24" customHeight="1">
      <c r="A23" s="196"/>
      <c r="B23" s="108" t="s">
        <v>229</v>
      </c>
      <c r="C23" s="183" t="s">
        <v>226</v>
      </c>
      <c r="D23" s="184"/>
      <c r="E23" s="106" t="s">
        <v>217</v>
      </c>
      <c r="F23" s="109" t="s">
        <v>237</v>
      </c>
    </row>
    <row r="24" spans="1:6" ht="15" customHeight="1">
      <c r="A24" s="196"/>
      <c r="B24" s="126">
        <v>5380</v>
      </c>
      <c r="C24" s="185" t="s">
        <v>216</v>
      </c>
      <c r="D24" s="186"/>
      <c r="E24" s="127" t="s">
        <v>207</v>
      </c>
      <c r="F24" s="165">
        <v>1309.47</v>
      </c>
    </row>
    <row r="25" spans="1:6">
      <c r="A25" s="196"/>
      <c r="B25" s="126">
        <v>5380</v>
      </c>
      <c r="C25" s="185" t="s">
        <v>230</v>
      </c>
      <c r="D25" s="186"/>
      <c r="E25" s="127" t="s">
        <v>231</v>
      </c>
      <c r="F25" s="165">
        <v>1309.47</v>
      </c>
    </row>
    <row r="26" spans="1:6">
      <c r="A26" s="196"/>
      <c r="B26" s="126">
        <v>5380</v>
      </c>
      <c r="C26" s="185" t="s">
        <v>240</v>
      </c>
      <c r="D26" s="186"/>
      <c r="E26" s="127" t="s">
        <v>236</v>
      </c>
      <c r="F26" s="165">
        <v>1811.88</v>
      </c>
    </row>
    <row r="27" spans="1:6">
      <c r="A27" s="196"/>
      <c r="B27" s="126">
        <v>5380</v>
      </c>
      <c r="C27" s="185" t="s">
        <v>242</v>
      </c>
      <c r="D27" s="186"/>
      <c r="E27" s="127" t="s">
        <v>241</v>
      </c>
      <c r="F27" s="165">
        <v>1811.88</v>
      </c>
    </row>
    <row r="28" spans="1:6">
      <c r="A28" s="196"/>
      <c r="B28" s="126">
        <v>5380</v>
      </c>
      <c r="C28" s="185" t="s">
        <v>247</v>
      </c>
      <c r="D28" s="186"/>
      <c r="E28" s="127" t="s">
        <v>248</v>
      </c>
      <c r="F28" s="165">
        <v>3027.13</v>
      </c>
    </row>
    <row r="30" spans="1:6" ht="15">
      <c r="B30" s="154"/>
      <c r="C30" s="154" t="s">
        <v>270</v>
      </c>
      <c r="D30" s="154"/>
      <c r="E30" s="154"/>
      <c r="F30" s="154"/>
    </row>
    <row r="31" spans="1:6">
      <c r="B31" s="130" t="s">
        <v>229</v>
      </c>
      <c r="C31" s="197" t="s">
        <v>226</v>
      </c>
      <c r="D31" s="198"/>
      <c r="E31" s="131" t="s">
        <v>267</v>
      </c>
      <c r="F31" s="132" t="s">
        <v>268</v>
      </c>
    </row>
    <row r="32" spans="1:6">
      <c r="B32" s="133">
        <v>5380</v>
      </c>
      <c r="C32" s="199" t="s">
        <v>216</v>
      </c>
      <c r="D32" s="199"/>
      <c r="E32" s="134">
        <v>1</v>
      </c>
      <c r="F32" s="135">
        <f>+'Aux de Eletricista seg a sab'!D153</f>
        <v>3976.74</v>
      </c>
    </row>
    <row r="33" spans="2:6">
      <c r="B33" s="133">
        <v>5380</v>
      </c>
      <c r="C33" s="199" t="s">
        <v>230</v>
      </c>
      <c r="D33" s="199"/>
      <c r="E33" s="134">
        <v>1</v>
      </c>
      <c r="F33" s="135">
        <f>+'Aux de Mecanica seg a sab'!D153</f>
        <v>3936.24</v>
      </c>
    </row>
    <row r="34" spans="2:6">
      <c r="B34" s="133">
        <v>5380</v>
      </c>
      <c r="C34" s="199" t="s">
        <v>240</v>
      </c>
      <c r="D34" s="199"/>
      <c r="E34" s="134">
        <v>1</v>
      </c>
      <c r="F34" s="135">
        <f>+'Mecanico Refrigeracao seg a sab'!D153</f>
        <v>5155.33</v>
      </c>
    </row>
    <row r="35" spans="2:6">
      <c r="B35" s="133">
        <v>5380</v>
      </c>
      <c r="C35" s="199" t="s">
        <v>242</v>
      </c>
      <c r="D35" s="199"/>
      <c r="E35" s="134">
        <v>1</v>
      </c>
      <c r="F35" s="135">
        <f>+'Eletricista seg a sab'!D153</f>
        <v>5195.8100000000004</v>
      </c>
    </row>
    <row r="36" spans="2:6">
      <c r="B36" s="133">
        <v>5380</v>
      </c>
      <c r="C36" s="199" t="s">
        <v>247</v>
      </c>
      <c r="D36" s="199"/>
      <c r="E36" s="134">
        <v>1</v>
      </c>
      <c r="F36" s="135">
        <f>+'Encarregado seg a sab'!D153</f>
        <v>8144.65</v>
      </c>
    </row>
    <row r="37" spans="2:6">
      <c r="B37" s="2"/>
      <c r="C37" s="2"/>
      <c r="D37" s="2"/>
      <c r="E37" s="136" t="s">
        <v>269</v>
      </c>
      <c r="F37" s="137">
        <f>SUM(F32:F36)</f>
        <v>26408.769999999997</v>
      </c>
    </row>
    <row r="38" spans="2:6" ht="15">
      <c r="B38" s="155"/>
      <c r="C38" s="155" t="s">
        <v>272</v>
      </c>
      <c r="D38" s="155"/>
      <c r="E38" s="155"/>
      <c r="F38" s="155"/>
    </row>
    <row r="39" spans="2:6" s="2" customFormat="1" ht="11.25">
      <c r="D39" s="203" t="s">
        <v>271</v>
      </c>
      <c r="E39" s="204"/>
      <c r="F39" s="138">
        <v>5000</v>
      </c>
    </row>
    <row r="40" spans="2:6" s="2" customFormat="1" ht="11.25">
      <c r="D40" s="201" t="s">
        <v>275</v>
      </c>
      <c r="E40" s="202"/>
      <c r="F40" s="128">
        <v>0.1668</v>
      </c>
    </row>
    <row r="41" spans="2:6" s="2" customFormat="1" ht="11.25">
      <c r="F41" s="129">
        <f>+(F40*F39)+F39</f>
        <v>5834</v>
      </c>
    </row>
    <row r="42" spans="2:6" s="2" customFormat="1" ht="11.25"/>
    <row r="43" spans="2:6" s="2" customFormat="1" ht="11.25">
      <c r="D43" s="205" t="s">
        <v>274</v>
      </c>
      <c r="E43" s="206"/>
      <c r="F43" s="139">
        <f>+F41+F37</f>
        <v>32242.769999999997</v>
      </c>
    </row>
    <row r="44" spans="2:6" s="2" customFormat="1" ht="11.25">
      <c r="D44" s="205" t="s">
        <v>273</v>
      </c>
      <c r="E44" s="206"/>
      <c r="F44" s="140">
        <f>+F43*F22</f>
        <v>193456.62</v>
      </c>
    </row>
    <row r="45" spans="2:6" s="2" customFormat="1" ht="11.25">
      <c r="B45" s="157"/>
    </row>
    <row r="46" spans="2:6" s="2" customFormat="1" ht="11.25">
      <c r="B46" s="156"/>
    </row>
    <row r="47" spans="2:6" s="2" customFormat="1" ht="11.25">
      <c r="B47" s="157"/>
    </row>
    <row r="48" spans="2:6" s="2" customFormat="1" ht="11.25">
      <c r="B48" s="157"/>
    </row>
    <row r="49" spans="1:6" s="2" customFormat="1" ht="11.25">
      <c r="B49" s="157"/>
    </row>
    <row r="50" spans="1:6" s="2" customFormat="1" ht="11.25">
      <c r="B50" s="157"/>
    </row>
    <row r="51" spans="1:6">
      <c r="A51" s="200" t="s">
        <v>278</v>
      </c>
      <c r="B51" s="200"/>
      <c r="C51" s="200"/>
      <c r="D51" s="200"/>
      <c r="E51" s="200"/>
      <c r="F51" s="200"/>
    </row>
    <row r="52" spans="1:6">
      <c r="A52" s="200"/>
      <c r="B52" s="200"/>
      <c r="C52" s="200"/>
      <c r="D52" s="200"/>
      <c r="E52" s="200"/>
      <c r="F52" s="200"/>
    </row>
    <row r="55" spans="1:6" ht="15">
      <c r="F55" s="308">
        <v>3.3953999999999998E-2</v>
      </c>
    </row>
    <row r="56" spans="1:6" ht="15">
      <c r="F56" s="308">
        <v>3.3953999999999998E-2</v>
      </c>
    </row>
  </sheetData>
  <mergeCells count="38">
    <mergeCell ref="C33:D33"/>
    <mergeCell ref="C34:D34"/>
    <mergeCell ref="C35:D35"/>
    <mergeCell ref="C36:D36"/>
    <mergeCell ref="A51:F52"/>
    <mergeCell ref="D40:E40"/>
    <mergeCell ref="D39:E39"/>
    <mergeCell ref="D43:E43"/>
    <mergeCell ref="D44:E44"/>
    <mergeCell ref="C27:D27"/>
    <mergeCell ref="C28:D28"/>
    <mergeCell ref="A23:A28"/>
    <mergeCell ref="C31:D31"/>
    <mergeCell ref="C32:D32"/>
    <mergeCell ref="B19:F19"/>
    <mergeCell ref="C23:D23"/>
    <mergeCell ref="C24:D24"/>
    <mergeCell ref="C25:D25"/>
    <mergeCell ref="C26:D26"/>
    <mergeCell ref="B20:C20"/>
    <mergeCell ref="B21:C21"/>
    <mergeCell ref="D20:F20"/>
    <mergeCell ref="D21:F21"/>
    <mergeCell ref="B22:E22"/>
    <mergeCell ref="A1:B1"/>
    <mergeCell ref="D1:F2"/>
    <mergeCell ref="A2:B2"/>
    <mergeCell ref="A3:F3"/>
    <mergeCell ref="A18:F18"/>
    <mergeCell ref="A7:H7"/>
    <mergeCell ref="A9:C9"/>
    <mergeCell ref="A8:F8"/>
    <mergeCell ref="E9:F9"/>
    <mergeCell ref="A10:F10"/>
    <mergeCell ref="A11:F11"/>
    <mergeCell ref="A12:F12"/>
    <mergeCell ref="B14:F14"/>
    <mergeCell ref="B15:D15"/>
  </mergeCells>
  <pageMargins left="0.86614173228346458" right="7.874015748031496E-2" top="0.78740157480314965" bottom="0.78740157480314965" header="0.31496062992125984" footer="0.31496062992125984"/>
  <pageSetup paperSize="9" scale="92" fitToHeight="0" orientation="portrait" r:id="rId1"/>
  <headerFoot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G167"/>
  <sheetViews>
    <sheetView zoomScale="80" zoomScaleNormal="80" workbookViewId="0">
      <selection sqref="A1:D1"/>
    </sheetView>
  </sheetViews>
  <sheetFormatPr defaultRowHeight="1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>
      <c r="A1" s="251" t="s">
        <v>6</v>
      </c>
      <c r="B1" s="252"/>
      <c r="C1" s="252"/>
      <c r="D1" s="253"/>
      <c r="E1" s="12"/>
      <c r="F1" s="12"/>
    </row>
    <row r="3" spans="1:6">
      <c r="A3" s="217" t="s">
        <v>7</v>
      </c>
      <c r="B3" s="218"/>
      <c r="C3" s="218"/>
      <c r="D3" s="229"/>
    </row>
    <row r="4" spans="1:6" s="15" customFormat="1" ht="51" customHeight="1">
      <c r="A4" s="121">
        <v>1</v>
      </c>
      <c r="B4" s="122" t="s">
        <v>8</v>
      </c>
      <c r="C4" s="301" t="s">
        <v>243</v>
      </c>
      <c r="D4" s="302"/>
    </row>
    <row r="5" spans="1:6" s="15" customFormat="1">
      <c r="A5" s="121">
        <v>2</v>
      </c>
      <c r="B5" s="122" t="s">
        <v>9</v>
      </c>
      <c r="C5" s="303" t="str">
        <f>+Apresentação!E27</f>
        <v>9511-06</v>
      </c>
      <c r="D5" s="304"/>
    </row>
    <row r="6" spans="1:6" s="15" customFormat="1">
      <c r="A6" s="121">
        <v>3</v>
      </c>
      <c r="B6" s="122" t="s">
        <v>10</v>
      </c>
      <c r="C6" s="305">
        <f>+Apresentação!F27</f>
        <v>1811.88</v>
      </c>
      <c r="D6" s="305"/>
    </row>
    <row r="7" spans="1:6" s="15" customFormat="1" ht="48.75" customHeight="1">
      <c r="A7" s="121">
        <v>4</v>
      </c>
      <c r="B7" s="122" t="s">
        <v>11</v>
      </c>
      <c r="C7" s="299" t="s">
        <v>209</v>
      </c>
      <c r="D7" s="300"/>
    </row>
    <row r="8" spans="1:6" s="15" customFormat="1" ht="21" customHeight="1">
      <c r="A8" s="121">
        <v>5</v>
      </c>
      <c r="B8" s="122" t="s">
        <v>12</v>
      </c>
      <c r="C8" s="306">
        <v>43524</v>
      </c>
      <c r="D8" s="304"/>
    </row>
    <row r="9" spans="1:6">
      <c r="D9" s="16"/>
    </row>
    <row r="10" spans="1:6">
      <c r="A10" s="222" t="s">
        <v>13</v>
      </c>
      <c r="B10" s="223"/>
      <c r="C10" s="223"/>
      <c r="D10" s="223"/>
    </row>
    <row r="11" spans="1:6">
      <c r="A11" s="17">
        <v>1</v>
      </c>
      <c r="B11" s="18" t="s">
        <v>14</v>
      </c>
      <c r="C11" s="19" t="s">
        <v>15</v>
      </c>
      <c r="D11" s="20" t="s">
        <v>16</v>
      </c>
    </row>
    <row r="12" spans="1:6">
      <c r="A12" s="22" t="s">
        <v>17</v>
      </c>
      <c r="B12" s="230" t="s">
        <v>18</v>
      </c>
      <c r="C12" s="230"/>
      <c r="D12" s="107">
        <f>+C6</f>
        <v>1811.88</v>
      </c>
    </row>
    <row r="13" spans="1:6">
      <c r="A13" s="22" t="s">
        <v>19</v>
      </c>
      <c r="B13" s="24" t="s">
        <v>20</v>
      </c>
      <c r="C13" s="25">
        <v>0.3</v>
      </c>
      <c r="D13" s="23">
        <f>+C13*D12</f>
        <v>543.56399999999996</v>
      </c>
      <c r="E13" s="26"/>
    </row>
    <row r="14" spans="1:6">
      <c r="A14" s="22" t="s">
        <v>21</v>
      </c>
      <c r="B14" s="24" t="s">
        <v>22</v>
      </c>
      <c r="C14" s="25"/>
      <c r="D14" s="23">
        <f>+C14*D12</f>
        <v>0</v>
      </c>
    </row>
    <row r="15" spans="1:6">
      <c r="A15" s="22" t="s">
        <v>23</v>
      </c>
      <c r="B15" s="230" t="s">
        <v>24</v>
      </c>
      <c r="C15" s="230"/>
      <c r="D15" s="23"/>
    </row>
    <row r="16" spans="1:6">
      <c r="A16" s="22" t="s">
        <v>25</v>
      </c>
      <c r="B16" s="230" t="s">
        <v>26</v>
      </c>
      <c r="C16" s="230"/>
      <c r="D16" s="23"/>
    </row>
    <row r="17" spans="1:6">
      <c r="A17" s="22" t="s">
        <v>27</v>
      </c>
      <c r="B17" s="247" t="s">
        <v>28</v>
      </c>
      <c r="C17" s="248"/>
      <c r="D17" s="23"/>
    </row>
    <row r="18" spans="1:6">
      <c r="A18" s="22" t="s">
        <v>29</v>
      </c>
      <c r="B18" s="230" t="s">
        <v>30</v>
      </c>
      <c r="C18" s="230"/>
      <c r="D18" s="23"/>
    </row>
    <row r="19" spans="1:6">
      <c r="A19" s="22" t="s">
        <v>31</v>
      </c>
      <c r="B19" s="247" t="s">
        <v>32</v>
      </c>
      <c r="C19" s="248"/>
      <c r="D19" s="27"/>
    </row>
    <row r="20" spans="1:6">
      <c r="A20" s="22" t="s">
        <v>33</v>
      </c>
      <c r="B20" s="24" t="s">
        <v>34</v>
      </c>
      <c r="C20" s="25"/>
      <c r="D20" s="23"/>
    </row>
    <row r="21" spans="1:6">
      <c r="A21" s="22" t="s">
        <v>35</v>
      </c>
      <c r="B21" s="230" t="s">
        <v>36</v>
      </c>
      <c r="C21" s="230"/>
      <c r="D21" s="28"/>
      <c r="F21" s="29"/>
    </row>
    <row r="22" spans="1:6">
      <c r="A22" s="22" t="s">
        <v>37</v>
      </c>
      <c r="B22" s="230" t="s">
        <v>38</v>
      </c>
      <c r="C22" s="230"/>
      <c r="D22" s="28"/>
    </row>
    <row r="23" spans="1:6">
      <c r="A23" s="231" t="s">
        <v>39</v>
      </c>
      <c r="B23" s="231"/>
      <c r="C23" s="231"/>
      <c r="D23" s="30">
        <f>SUM(D12:D22)</f>
        <v>2355.444</v>
      </c>
    </row>
    <row r="25" spans="1:6">
      <c r="A25" s="222" t="s">
        <v>40</v>
      </c>
      <c r="B25" s="223"/>
      <c r="C25" s="223"/>
      <c r="D25" s="223"/>
    </row>
    <row r="27" spans="1:6">
      <c r="A27" s="222" t="s">
        <v>41</v>
      </c>
      <c r="B27" s="223"/>
      <c r="C27" s="223"/>
      <c r="D27" s="223"/>
    </row>
    <row r="28" spans="1:6">
      <c r="A28" s="31" t="s">
        <v>42</v>
      </c>
      <c r="B28" s="32" t="s">
        <v>43</v>
      </c>
      <c r="C28" s="33" t="s">
        <v>15</v>
      </c>
      <c r="D28" s="34" t="s">
        <v>16</v>
      </c>
    </row>
    <row r="29" spans="1:6">
      <c r="A29" s="22" t="s">
        <v>17</v>
      </c>
      <c r="B29" s="35" t="s">
        <v>44</v>
      </c>
      <c r="C29" s="36">
        <f>ROUND(+D29/$D$23,4)</f>
        <v>8.3299999999999999E-2</v>
      </c>
      <c r="D29" s="28">
        <f>ROUND(+D23/12,2)</f>
        <v>196.29</v>
      </c>
    </row>
    <row r="30" spans="1:6">
      <c r="A30" s="37" t="s">
        <v>19</v>
      </c>
      <c r="B30" s="38" t="s">
        <v>45</v>
      </c>
      <c r="C30" s="39">
        <f>ROUND(+D30/$D$23,4)</f>
        <v>0.1111</v>
      </c>
      <c r="D30" s="40">
        <f>+D31+D32</f>
        <v>261.72000000000003</v>
      </c>
    </row>
    <row r="31" spans="1:6">
      <c r="A31" s="22" t="s">
        <v>46</v>
      </c>
      <c r="B31" s="41" t="s">
        <v>47</v>
      </c>
      <c r="C31" s="42">
        <f>ROUND(+D31/$D$23,4)</f>
        <v>8.3299999999999999E-2</v>
      </c>
      <c r="D31" s="43">
        <f>ROUND(+D23/12,2)</f>
        <v>196.29</v>
      </c>
    </row>
    <row r="32" spans="1:6">
      <c r="A32" s="22" t="s">
        <v>48</v>
      </c>
      <c r="B32" s="41" t="s">
        <v>49</v>
      </c>
      <c r="C32" s="42">
        <f>ROUND(+D32/$D$23,4)</f>
        <v>2.7799999999999998E-2</v>
      </c>
      <c r="D32" s="43">
        <f>ROUND(+(D23*1/3)/12,2)</f>
        <v>65.430000000000007</v>
      </c>
    </row>
    <row r="33" spans="1:4">
      <c r="A33" s="231" t="s">
        <v>39</v>
      </c>
      <c r="B33" s="231"/>
      <c r="C33" s="231"/>
      <c r="D33" s="30">
        <f>+D30+D29</f>
        <v>458.01</v>
      </c>
    </row>
    <row r="35" spans="1:4" ht="27.75" customHeight="1">
      <c r="A35" s="241" t="s">
        <v>50</v>
      </c>
      <c r="B35" s="242"/>
      <c r="C35" s="242"/>
      <c r="D35" s="242"/>
    </row>
    <row r="36" spans="1:4">
      <c r="A36" s="31" t="s">
        <v>51</v>
      </c>
      <c r="B36" s="44" t="s">
        <v>52</v>
      </c>
      <c r="C36" s="33" t="s">
        <v>15</v>
      </c>
      <c r="D36" s="34" t="s">
        <v>16</v>
      </c>
    </row>
    <row r="37" spans="1:4">
      <c r="A37" s="22" t="s">
        <v>17</v>
      </c>
      <c r="B37" s="35" t="s">
        <v>53</v>
      </c>
      <c r="C37" s="45">
        <v>0.2</v>
      </c>
      <c r="D37" s="46">
        <f>ROUND(C37*($D$23+$D$33),2)</f>
        <v>562.69000000000005</v>
      </c>
    </row>
    <row r="38" spans="1:4">
      <c r="A38" s="22" t="s">
        <v>19</v>
      </c>
      <c r="B38" s="35" t="s">
        <v>54</v>
      </c>
      <c r="C38" s="45">
        <v>2.5000000000000001E-2</v>
      </c>
      <c r="D38" s="46">
        <f>ROUND(C38*($D$23+$D$33),2)</f>
        <v>70.34</v>
      </c>
    </row>
    <row r="39" spans="1:4">
      <c r="A39" s="22" t="s">
        <v>21</v>
      </c>
      <c r="B39" s="35" t="s">
        <v>55</v>
      </c>
      <c r="C39" s="45">
        <v>0.01</v>
      </c>
      <c r="D39" s="46">
        <f t="shared" ref="D39:D43" si="0">ROUND(C39*($D$23+$D$33),2)</f>
        <v>28.13</v>
      </c>
    </row>
    <row r="40" spans="1:4">
      <c r="A40" s="22" t="s">
        <v>23</v>
      </c>
      <c r="B40" s="35" t="s">
        <v>56</v>
      </c>
      <c r="C40" s="45">
        <v>1.4999999999999999E-2</v>
      </c>
      <c r="D40" s="46">
        <f t="shared" si="0"/>
        <v>42.2</v>
      </c>
    </row>
    <row r="41" spans="1:4">
      <c r="A41" s="22" t="s">
        <v>25</v>
      </c>
      <c r="B41" s="35" t="s">
        <v>57</v>
      </c>
      <c r="C41" s="45">
        <v>0.01</v>
      </c>
      <c r="D41" s="46">
        <f t="shared" si="0"/>
        <v>28.13</v>
      </c>
    </row>
    <row r="42" spans="1:4">
      <c r="A42" s="22" t="s">
        <v>27</v>
      </c>
      <c r="B42" s="35" t="s">
        <v>58</v>
      </c>
      <c r="C42" s="45">
        <v>6.0000000000000001E-3</v>
      </c>
      <c r="D42" s="46">
        <f t="shared" si="0"/>
        <v>16.88</v>
      </c>
    </row>
    <row r="43" spans="1:4">
      <c r="A43" s="22" t="s">
        <v>29</v>
      </c>
      <c r="B43" s="35" t="s">
        <v>59</v>
      </c>
      <c r="C43" s="45">
        <v>2E-3</v>
      </c>
      <c r="D43" s="46">
        <f t="shared" si="0"/>
        <v>5.63</v>
      </c>
    </row>
    <row r="44" spans="1:4">
      <c r="A44" s="22" t="s">
        <v>31</v>
      </c>
      <c r="B44" s="35" t="s">
        <v>60</v>
      </c>
      <c r="C44" s="45">
        <v>0.08</v>
      </c>
      <c r="D44" s="46">
        <f>ROUND(C44*($D$23+$D$33),2)</f>
        <v>225.08</v>
      </c>
    </row>
    <row r="45" spans="1:4">
      <c r="A45" s="47" t="s">
        <v>39</v>
      </c>
      <c r="B45" s="48"/>
      <c r="C45" s="49">
        <f>SUM(C37:C44)</f>
        <v>0.34800000000000003</v>
      </c>
      <c r="D45" s="50">
        <f>SUM(D37:D44)</f>
        <v>979.08000000000015</v>
      </c>
    </row>
    <row r="46" spans="1:4">
      <c r="A46" s="51"/>
      <c r="B46" s="51"/>
      <c r="C46" s="51"/>
      <c r="D46" s="51"/>
    </row>
    <row r="47" spans="1:4">
      <c r="A47" s="241" t="s">
        <v>61</v>
      </c>
      <c r="B47" s="242"/>
      <c r="C47" s="242"/>
      <c r="D47" s="242"/>
    </row>
    <row r="48" spans="1:4">
      <c r="A48" s="31" t="s">
        <v>62</v>
      </c>
      <c r="B48" s="44" t="s">
        <v>63</v>
      </c>
      <c r="C48" s="33"/>
      <c r="D48" s="34" t="s">
        <v>16</v>
      </c>
    </row>
    <row r="49" spans="1:6">
      <c r="A49" s="52" t="s">
        <v>17</v>
      </c>
      <c r="B49" s="35" t="s">
        <v>64</v>
      </c>
      <c r="C49" s="53"/>
      <c r="D49" s="46">
        <f>+'Men Cal Eletricista seg a sab'!C16</f>
        <v>102.61</v>
      </c>
    </row>
    <row r="50" spans="1:6" s="57" customFormat="1">
      <c r="A50" s="54" t="s">
        <v>65</v>
      </c>
      <c r="B50" s="55" t="s">
        <v>66</v>
      </c>
      <c r="C50" s="36"/>
      <c r="D50" s="56"/>
      <c r="F50" s="58"/>
    </row>
    <row r="51" spans="1:6">
      <c r="A51" s="118" t="s">
        <v>19</v>
      </c>
      <c r="B51" s="101" t="s">
        <v>67</v>
      </c>
      <c r="C51" s="53"/>
      <c r="D51" s="102">
        <v>260</v>
      </c>
      <c r="F51" s="59"/>
    </row>
    <row r="52" spans="1:6" s="57" customFormat="1">
      <c r="A52" s="54" t="s">
        <v>46</v>
      </c>
      <c r="B52" s="55" t="s">
        <v>66</v>
      </c>
      <c r="C52" s="36"/>
      <c r="D52" s="56"/>
      <c r="F52" s="60"/>
    </row>
    <row r="53" spans="1:6" s="57" customFormat="1">
      <c r="A53" s="55" t="s">
        <v>21</v>
      </c>
      <c r="B53" s="55" t="s">
        <v>214</v>
      </c>
      <c r="C53" s="53"/>
      <c r="D53" s="70">
        <f>+'Men Cal Eletricista seg a sab'!C25</f>
        <v>54.79</v>
      </c>
      <c r="F53" s="60"/>
    </row>
    <row r="54" spans="1:6" s="57" customFormat="1">
      <c r="A54" s="54" t="s">
        <v>69</v>
      </c>
      <c r="B54" s="55" t="s">
        <v>66</v>
      </c>
      <c r="C54" s="36"/>
      <c r="D54" s="56"/>
      <c r="F54" s="60"/>
    </row>
    <row r="55" spans="1:6">
      <c r="A55" s="101" t="s">
        <v>23</v>
      </c>
      <c r="B55" s="101" t="s">
        <v>68</v>
      </c>
      <c r="C55" s="53"/>
      <c r="D55" s="102"/>
      <c r="F55" s="59"/>
    </row>
    <row r="56" spans="1:6">
      <c r="A56" s="54" t="s">
        <v>70</v>
      </c>
      <c r="B56" s="55" t="s">
        <v>66</v>
      </c>
      <c r="C56" s="36"/>
      <c r="D56" s="56"/>
      <c r="F56" s="59"/>
    </row>
    <row r="57" spans="1:6" ht="45">
      <c r="A57" s="101" t="s">
        <v>25</v>
      </c>
      <c r="B57" s="112" t="s">
        <v>227</v>
      </c>
      <c r="C57" s="53"/>
      <c r="D57" s="113">
        <f>+(C6*0.8%)/12</f>
        <v>1.2079200000000001</v>
      </c>
      <c r="F57" s="61"/>
    </row>
    <row r="58" spans="1:6">
      <c r="A58" s="54" t="s">
        <v>71</v>
      </c>
      <c r="B58" s="55" t="s">
        <v>66</v>
      </c>
      <c r="C58" s="36"/>
      <c r="D58" s="56"/>
    </row>
    <row r="59" spans="1:6">
      <c r="A59" s="101" t="s">
        <v>27</v>
      </c>
      <c r="B59" s="243" t="s">
        <v>72</v>
      </c>
      <c r="C59" s="243"/>
      <c r="D59" s="102">
        <v>4.8</v>
      </c>
    </row>
    <row r="60" spans="1:6">
      <c r="A60" s="54" t="s">
        <v>73</v>
      </c>
      <c r="B60" s="55" t="s">
        <v>66</v>
      </c>
      <c r="C60" s="36"/>
      <c r="D60" s="56"/>
    </row>
    <row r="61" spans="1:6">
      <c r="A61" s="217" t="s">
        <v>39</v>
      </c>
      <c r="B61" s="229"/>
      <c r="C61" s="62"/>
      <c r="D61" s="63">
        <f>SUM(D49:D60)</f>
        <v>423.40792000000005</v>
      </c>
    </row>
    <row r="63" spans="1:6">
      <c r="A63" s="222" t="s">
        <v>74</v>
      </c>
      <c r="B63" s="223"/>
      <c r="C63" s="223"/>
      <c r="D63" s="223"/>
    </row>
    <row r="64" spans="1:6">
      <c r="A64" s="64">
        <v>2</v>
      </c>
      <c r="B64" s="240" t="s">
        <v>75</v>
      </c>
      <c r="C64" s="240"/>
      <c r="D64" s="65" t="s">
        <v>16</v>
      </c>
    </row>
    <row r="65" spans="1:4">
      <c r="A65" s="66" t="s">
        <v>42</v>
      </c>
      <c r="B65" s="244" t="s">
        <v>43</v>
      </c>
      <c r="C65" s="244"/>
      <c r="D65" s="46">
        <f>+D33</f>
        <v>458.01</v>
      </c>
    </row>
    <row r="66" spans="1:4">
      <c r="A66" s="66" t="s">
        <v>51</v>
      </c>
      <c r="B66" s="244" t="s">
        <v>52</v>
      </c>
      <c r="C66" s="244"/>
      <c r="D66" s="46">
        <f>+D45</f>
        <v>979.08000000000015</v>
      </c>
    </row>
    <row r="67" spans="1:4">
      <c r="A67" s="66" t="s">
        <v>62</v>
      </c>
      <c r="B67" s="244" t="s">
        <v>63</v>
      </c>
      <c r="C67" s="244"/>
      <c r="D67" s="67">
        <f>+D61</f>
        <v>423.40792000000005</v>
      </c>
    </row>
    <row r="68" spans="1:4">
      <c r="A68" s="240" t="s">
        <v>39</v>
      </c>
      <c r="B68" s="240"/>
      <c r="C68" s="240"/>
      <c r="D68" s="68">
        <f>SUM(D65:D67)</f>
        <v>1860.4979200000002</v>
      </c>
    </row>
    <row r="70" spans="1:4">
      <c r="A70" s="222" t="s">
        <v>76</v>
      </c>
      <c r="B70" s="223"/>
      <c r="C70" s="223"/>
      <c r="D70" s="223"/>
    </row>
    <row r="72" spans="1:4">
      <c r="A72" s="69">
        <v>3</v>
      </c>
      <c r="B72" s="32" t="s">
        <v>77</v>
      </c>
      <c r="C72" s="19" t="s">
        <v>15</v>
      </c>
      <c r="D72" s="19" t="s">
        <v>16</v>
      </c>
    </row>
    <row r="73" spans="1:4">
      <c r="A73" s="22" t="s">
        <v>17</v>
      </c>
      <c r="B73" s="55" t="s">
        <v>78</v>
      </c>
      <c r="C73" s="36">
        <f>+D73/$D$23</f>
        <v>8.3338852462635487E-3</v>
      </c>
      <c r="D73" s="70">
        <f>+'Men Cal Eletricista seg a sab'!C32</f>
        <v>19.63</v>
      </c>
    </row>
    <row r="74" spans="1:4">
      <c r="A74" s="22" t="s">
        <v>19</v>
      </c>
      <c r="B74" s="35" t="s">
        <v>79</v>
      </c>
      <c r="C74" s="71"/>
      <c r="D74" s="28">
        <f>ROUND(+D73*$C$44,2)</f>
        <v>1.57</v>
      </c>
    </row>
    <row r="75" spans="1:4" ht="30">
      <c r="A75" s="22" t="s">
        <v>21</v>
      </c>
      <c r="B75" s="72" t="s">
        <v>80</v>
      </c>
      <c r="C75" s="45">
        <f>+D75/$D$23</f>
        <v>3.8209356707270478E-3</v>
      </c>
      <c r="D75" s="28">
        <f>+'Men Cal Eletricista seg a sab'!C46</f>
        <v>9</v>
      </c>
    </row>
    <row r="76" spans="1:4">
      <c r="A76" s="73" t="s">
        <v>23</v>
      </c>
      <c r="B76" s="35" t="s">
        <v>81</v>
      </c>
      <c r="C76" s="45">
        <f>+D76/$D$23</f>
        <v>1.9444317079922089E-3</v>
      </c>
      <c r="D76" s="28">
        <f>+'Men Cal Eletricista seg a sab'!C54</f>
        <v>4.58</v>
      </c>
    </row>
    <row r="77" spans="1:4" ht="30">
      <c r="A77" s="73" t="s">
        <v>25</v>
      </c>
      <c r="B77" s="72" t="s">
        <v>82</v>
      </c>
      <c r="C77" s="71"/>
      <c r="D77" s="74"/>
    </row>
    <row r="78" spans="1:4" ht="30">
      <c r="A78" s="73" t="s">
        <v>27</v>
      </c>
      <c r="B78" s="72" t="s">
        <v>83</v>
      </c>
      <c r="C78" s="45">
        <f>+D78/$D$23</f>
        <v>3.8209356707270478E-3</v>
      </c>
      <c r="D78" s="46">
        <f>+'Men Cal Eletricista seg a sab'!C68</f>
        <v>9</v>
      </c>
    </row>
    <row r="79" spans="1:4">
      <c r="A79" s="217" t="s">
        <v>39</v>
      </c>
      <c r="B79" s="218"/>
      <c r="C79" s="229"/>
      <c r="D79" s="75">
        <f>SUM(D73:D78)</f>
        <v>43.78</v>
      </c>
    </row>
    <row r="81" spans="1:4">
      <c r="A81" s="222" t="s">
        <v>84</v>
      </c>
      <c r="B81" s="223"/>
      <c r="C81" s="223"/>
      <c r="D81" s="223"/>
    </row>
    <row r="83" spans="1:4">
      <c r="A83" s="237" t="s">
        <v>85</v>
      </c>
      <c r="B83" s="237"/>
      <c r="C83" s="237"/>
      <c r="D83" s="237"/>
    </row>
    <row r="84" spans="1:4">
      <c r="A84" s="69" t="s">
        <v>86</v>
      </c>
      <c r="B84" s="217" t="s">
        <v>87</v>
      </c>
      <c r="C84" s="229"/>
      <c r="D84" s="19" t="s">
        <v>16</v>
      </c>
    </row>
    <row r="85" spans="1:4">
      <c r="A85" s="35" t="s">
        <v>17</v>
      </c>
      <c r="B85" s="224" t="s">
        <v>88</v>
      </c>
      <c r="C85" s="225"/>
      <c r="D85" s="28"/>
    </row>
    <row r="86" spans="1:4">
      <c r="A86" s="55" t="s">
        <v>19</v>
      </c>
      <c r="B86" s="238" t="s">
        <v>87</v>
      </c>
      <c r="C86" s="239"/>
      <c r="D86" s="76">
        <f>+'Men Cal Eletricista seg a sab'!C81</f>
        <v>6.54</v>
      </c>
    </row>
    <row r="87" spans="1:4" s="57" customFormat="1">
      <c r="A87" s="55" t="s">
        <v>21</v>
      </c>
      <c r="B87" s="238" t="s">
        <v>89</v>
      </c>
      <c r="C87" s="239"/>
      <c r="D87" s="76">
        <f>+'Men Cal Eletricista seg a sab'!C90</f>
        <v>0.48</v>
      </c>
    </row>
    <row r="88" spans="1:4" s="57" customFormat="1">
      <c r="A88" s="55" t="s">
        <v>23</v>
      </c>
      <c r="B88" s="238" t="s">
        <v>90</v>
      </c>
      <c r="C88" s="239"/>
      <c r="D88" s="76">
        <f>+'Men Cal Eletricista seg a sab'!C98</f>
        <v>7.85</v>
      </c>
    </row>
    <row r="89" spans="1:4" s="57" customFormat="1">
      <c r="A89" s="55" t="s">
        <v>25</v>
      </c>
      <c r="B89" s="238" t="s">
        <v>91</v>
      </c>
      <c r="C89" s="239"/>
      <c r="D89" s="76"/>
    </row>
    <row r="90" spans="1:4" s="57" customFormat="1">
      <c r="A90" s="55" t="s">
        <v>27</v>
      </c>
      <c r="B90" s="238" t="s">
        <v>92</v>
      </c>
      <c r="C90" s="239"/>
      <c r="D90" s="76">
        <f>+'Men Cal Eletricista seg a sab'!C106</f>
        <v>13.09</v>
      </c>
    </row>
    <row r="91" spans="1:4">
      <c r="A91" s="35" t="s">
        <v>29</v>
      </c>
      <c r="B91" s="224" t="s">
        <v>38</v>
      </c>
      <c r="C91" s="225"/>
      <c r="D91" s="28"/>
    </row>
    <row r="92" spans="1:4">
      <c r="A92" s="35" t="s">
        <v>31</v>
      </c>
      <c r="B92" s="224" t="s">
        <v>93</v>
      </c>
      <c r="C92" s="225"/>
      <c r="D92" s="74"/>
    </row>
    <row r="93" spans="1:4">
      <c r="A93" s="231" t="s">
        <v>39</v>
      </c>
      <c r="B93" s="231"/>
      <c r="C93" s="231"/>
      <c r="D93" s="30">
        <f>SUM(D85:D92)</f>
        <v>27.96</v>
      </c>
    </row>
    <row r="94" spans="1:4">
      <c r="D94" s="77"/>
    </row>
    <row r="95" spans="1:4">
      <c r="A95" s="69" t="s">
        <v>94</v>
      </c>
      <c r="B95" s="217" t="s">
        <v>95</v>
      </c>
      <c r="C95" s="229"/>
      <c r="D95" s="19" t="s">
        <v>16</v>
      </c>
    </row>
    <row r="96" spans="1:4" s="57" customFormat="1">
      <c r="A96" s="55" t="s">
        <v>17</v>
      </c>
      <c r="B96" s="232" t="s">
        <v>96</v>
      </c>
      <c r="C96" s="233"/>
      <c r="D96" s="76">
        <f>+'Men Cal Eletricista seg a sab'!C117</f>
        <v>0.03</v>
      </c>
    </row>
    <row r="97" spans="1:4" s="57" customFormat="1" ht="36.75" customHeight="1">
      <c r="A97" s="55" t="s">
        <v>19</v>
      </c>
      <c r="B97" s="234" t="s">
        <v>97</v>
      </c>
      <c r="C97" s="235"/>
      <c r="D97" s="74"/>
    </row>
    <row r="98" spans="1:4" s="57" customFormat="1" ht="28.5" customHeight="1">
      <c r="A98" s="55" t="s">
        <v>21</v>
      </c>
      <c r="B98" s="234" t="s">
        <v>98</v>
      </c>
      <c r="C98" s="235"/>
      <c r="D98" s="74"/>
    </row>
    <row r="99" spans="1:4">
      <c r="A99" s="35" t="s">
        <v>23</v>
      </c>
      <c r="B99" s="224" t="s">
        <v>38</v>
      </c>
      <c r="C99" s="225"/>
      <c r="D99" s="28"/>
    </row>
    <row r="100" spans="1:4">
      <c r="A100" s="231" t="s">
        <v>39</v>
      </c>
      <c r="B100" s="231"/>
      <c r="C100" s="231"/>
      <c r="D100" s="30">
        <f>SUM(D96:D99)</f>
        <v>0.03</v>
      </c>
    </row>
    <row r="101" spans="1:4">
      <c r="D101" s="77"/>
    </row>
    <row r="102" spans="1:4">
      <c r="A102" s="69" t="s">
        <v>99</v>
      </c>
      <c r="B102" s="231" t="s">
        <v>100</v>
      </c>
      <c r="C102" s="231"/>
      <c r="D102" s="19" t="s">
        <v>16</v>
      </c>
    </row>
    <row r="103" spans="1:4" s="79" customFormat="1">
      <c r="A103" s="73" t="s">
        <v>17</v>
      </c>
      <c r="B103" s="236" t="s">
        <v>101</v>
      </c>
      <c r="C103" s="236"/>
      <c r="D103" s="78"/>
    </row>
    <row r="104" spans="1:4">
      <c r="A104" s="231" t="s">
        <v>39</v>
      </c>
      <c r="B104" s="231"/>
      <c r="C104" s="231"/>
      <c r="D104" s="30">
        <f>SUM(D103:D103)</f>
        <v>0</v>
      </c>
    </row>
    <row r="106" spans="1:4">
      <c r="A106" s="83" t="s">
        <v>102</v>
      </c>
      <c r="B106" s="83"/>
      <c r="C106" s="83"/>
      <c r="D106" s="83"/>
    </row>
    <row r="107" spans="1:4">
      <c r="A107" s="35" t="s">
        <v>86</v>
      </c>
      <c r="B107" s="224" t="s">
        <v>87</v>
      </c>
      <c r="C107" s="225"/>
      <c r="D107" s="46">
        <f>+D93</f>
        <v>27.96</v>
      </c>
    </row>
    <row r="108" spans="1:4">
      <c r="A108" s="35" t="s">
        <v>94</v>
      </c>
      <c r="B108" s="224" t="s">
        <v>95</v>
      </c>
      <c r="C108" s="225"/>
      <c r="D108" s="46">
        <f>+D100</f>
        <v>0.03</v>
      </c>
    </row>
    <row r="109" spans="1:4">
      <c r="A109" s="81"/>
      <c r="B109" s="226" t="s">
        <v>103</v>
      </c>
      <c r="C109" s="227"/>
      <c r="D109" s="82">
        <f>+D108+D107</f>
        <v>27.990000000000002</v>
      </c>
    </row>
    <row r="110" spans="1:4">
      <c r="A110" s="35" t="s">
        <v>99</v>
      </c>
      <c r="B110" s="224" t="s">
        <v>100</v>
      </c>
      <c r="C110" s="225"/>
      <c r="D110" s="46">
        <f>+D104</f>
        <v>0</v>
      </c>
    </row>
    <row r="111" spans="1:4">
      <c r="A111" s="228" t="s">
        <v>39</v>
      </c>
      <c r="B111" s="228"/>
      <c r="C111" s="228"/>
      <c r="D111" s="84">
        <f>+D110+D109</f>
        <v>27.990000000000002</v>
      </c>
    </row>
    <row r="113" spans="1:4">
      <c r="A113" s="222" t="s">
        <v>104</v>
      </c>
      <c r="B113" s="223"/>
      <c r="C113" s="223"/>
      <c r="D113" s="223"/>
    </row>
    <row r="115" spans="1:4">
      <c r="A115" s="69">
        <v>5</v>
      </c>
      <c r="B115" s="217" t="s">
        <v>105</v>
      </c>
      <c r="C115" s="229"/>
      <c r="D115" s="19" t="s">
        <v>16</v>
      </c>
    </row>
    <row r="116" spans="1:4">
      <c r="A116" s="35" t="s">
        <v>17</v>
      </c>
      <c r="B116" s="230" t="s">
        <v>106</v>
      </c>
      <c r="C116" s="230"/>
      <c r="D116" s="28">
        <f>+Uniforme!F16</f>
        <v>126.36</v>
      </c>
    </row>
    <row r="117" spans="1:4">
      <c r="A117" s="35" t="s">
        <v>65</v>
      </c>
      <c r="B117" s="55" t="s">
        <v>66</v>
      </c>
      <c r="C117" s="36"/>
      <c r="D117" s="56"/>
    </row>
    <row r="118" spans="1:4">
      <c r="A118" s="35" t="s">
        <v>19</v>
      </c>
      <c r="B118" s="230" t="s">
        <v>107</v>
      </c>
      <c r="C118" s="230"/>
      <c r="D118" s="28"/>
    </row>
    <row r="119" spans="1:4">
      <c r="A119" s="35" t="s">
        <v>46</v>
      </c>
      <c r="B119" s="55" t="s">
        <v>66</v>
      </c>
      <c r="C119" s="36"/>
      <c r="D119" s="56"/>
    </row>
    <row r="120" spans="1:4">
      <c r="A120" s="35" t="s">
        <v>21</v>
      </c>
      <c r="B120" s="230" t="s">
        <v>108</v>
      </c>
      <c r="C120" s="230"/>
      <c r="D120" s="28">
        <f>+Ferramentas!$G$78</f>
        <v>25.69</v>
      </c>
    </row>
    <row r="121" spans="1:4">
      <c r="A121" s="35" t="s">
        <v>69</v>
      </c>
      <c r="B121" s="55" t="s">
        <v>66</v>
      </c>
      <c r="C121" s="36"/>
      <c r="D121" s="56"/>
    </row>
    <row r="122" spans="1:4">
      <c r="A122" s="35" t="s">
        <v>23</v>
      </c>
      <c r="B122" s="230" t="s">
        <v>38</v>
      </c>
      <c r="C122" s="230"/>
      <c r="D122" s="28"/>
    </row>
    <row r="123" spans="1:4">
      <c r="A123" s="35" t="s">
        <v>70</v>
      </c>
      <c r="B123" s="55" t="s">
        <v>66</v>
      </c>
      <c r="C123" s="36"/>
      <c r="D123" s="56"/>
    </row>
    <row r="124" spans="1:4">
      <c r="A124" s="231" t="s">
        <v>39</v>
      </c>
      <c r="B124" s="231"/>
      <c r="C124" s="231"/>
      <c r="D124" s="30">
        <f>SUM(D116:D122)</f>
        <v>152.05000000000001</v>
      </c>
    </row>
    <row r="126" spans="1:4">
      <c r="A126" s="222" t="s">
        <v>109</v>
      </c>
      <c r="B126" s="223"/>
      <c r="C126" s="223"/>
      <c r="D126" s="223"/>
    </row>
    <row r="128" spans="1:4">
      <c r="A128" s="69">
        <v>6</v>
      </c>
      <c r="B128" s="32" t="s">
        <v>110</v>
      </c>
      <c r="C128" s="85" t="s">
        <v>15</v>
      </c>
      <c r="D128" s="19" t="s">
        <v>16</v>
      </c>
    </row>
    <row r="129" spans="1:7">
      <c r="A129" s="101" t="s">
        <v>17</v>
      </c>
      <c r="B129" s="101" t="s">
        <v>111</v>
      </c>
      <c r="C129" s="308">
        <f>Apresentação!F55</f>
        <v>3.3953999999999998E-2</v>
      </c>
      <c r="D129" s="102">
        <f>($D$124+$D$111+$D$79+$D$68+$D$23)*C129</f>
        <v>150.74767623168003</v>
      </c>
    </row>
    <row r="130" spans="1:7">
      <c r="A130" s="101" t="s">
        <v>19</v>
      </c>
      <c r="B130" s="101" t="s">
        <v>112</v>
      </c>
      <c r="C130" s="308">
        <f>Apresentação!F56</f>
        <v>3.3953999999999998E-2</v>
      </c>
      <c r="D130" s="102">
        <f>($D$124+$D$111+$D$79+$D$68+$D$23+D129)*C130</f>
        <v>155.86616283045049</v>
      </c>
    </row>
    <row r="131" spans="1:7" s="87" customFormat="1" ht="12.75">
      <c r="A131" s="211" t="s">
        <v>113</v>
      </c>
      <c r="B131" s="212"/>
      <c r="C131" s="213"/>
      <c r="D131" s="86">
        <f>++D130+D129+D124+D111+D79+D68+D23</f>
        <v>4746.3757590621308</v>
      </c>
    </row>
    <row r="132" spans="1:7" s="87" customFormat="1" ht="33" customHeight="1">
      <c r="A132" s="214" t="s">
        <v>114</v>
      </c>
      <c r="B132" s="215"/>
      <c r="C132" s="216"/>
      <c r="D132" s="86">
        <f>ROUND(D131/(1-(C135+C136+C138+C140+C141)),2)</f>
        <v>5195.8100000000004</v>
      </c>
    </row>
    <row r="133" spans="1:7">
      <c r="A133" s="35" t="s">
        <v>21</v>
      </c>
      <c r="B133" s="35" t="s">
        <v>115</v>
      </c>
      <c r="C133" s="45"/>
      <c r="D133" s="35"/>
    </row>
    <row r="134" spans="1:7">
      <c r="A134" s="35" t="s">
        <v>69</v>
      </c>
      <c r="B134" s="35" t="s">
        <v>116</v>
      </c>
      <c r="C134" s="45"/>
      <c r="D134" s="35"/>
    </row>
    <row r="135" spans="1:7">
      <c r="A135" s="101" t="s">
        <v>117</v>
      </c>
      <c r="B135" s="101" t="s">
        <v>118</v>
      </c>
      <c r="C135" s="103">
        <v>6.4999999999999997E-3</v>
      </c>
      <c r="D135" s="102">
        <f>ROUND(C135*$D$132,2)</f>
        <v>33.770000000000003</v>
      </c>
      <c r="G135" s="88"/>
    </row>
    <row r="136" spans="1:7">
      <c r="A136" s="101" t="s">
        <v>119</v>
      </c>
      <c r="B136" s="101" t="s">
        <v>120</v>
      </c>
      <c r="C136" s="103">
        <v>0.03</v>
      </c>
      <c r="D136" s="102">
        <f>ROUND(C136*$D$132,2)</f>
        <v>155.87</v>
      </c>
      <c r="G136" s="88"/>
    </row>
    <row r="137" spans="1:7">
      <c r="A137" s="35" t="s">
        <v>121</v>
      </c>
      <c r="B137" s="35" t="s">
        <v>122</v>
      </c>
      <c r="C137" s="45"/>
      <c r="D137" s="46"/>
      <c r="G137" s="88"/>
    </row>
    <row r="138" spans="1:7">
      <c r="A138" s="35" t="s">
        <v>123</v>
      </c>
      <c r="B138" s="35" t="s">
        <v>124</v>
      </c>
      <c r="C138" s="45"/>
      <c r="D138" s="35"/>
      <c r="G138" s="88"/>
    </row>
    <row r="139" spans="1:7">
      <c r="A139" s="35" t="s">
        <v>125</v>
      </c>
      <c r="B139" s="35" t="s">
        <v>126</v>
      </c>
      <c r="C139" s="45"/>
      <c r="D139" s="35"/>
    </row>
    <row r="140" spans="1:7">
      <c r="A140" s="101" t="s">
        <v>127</v>
      </c>
      <c r="B140" s="101" t="s">
        <v>128</v>
      </c>
      <c r="C140" s="103">
        <v>0.05</v>
      </c>
      <c r="D140" s="102">
        <f>ROUND(C140*$D$132,2)</f>
        <v>259.79000000000002</v>
      </c>
    </row>
    <row r="141" spans="1:7">
      <c r="A141" s="35" t="s">
        <v>129</v>
      </c>
      <c r="B141" s="35" t="s">
        <v>130</v>
      </c>
      <c r="C141" s="45"/>
      <c r="D141" s="35"/>
    </row>
    <row r="142" spans="1:7">
      <c r="A142" s="217" t="s">
        <v>39</v>
      </c>
      <c r="B142" s="218"/>
      <c r="C142" s="89">
        <f>+C141+C140+C138+C136+C135+C130+C129</f>
        <v>0.15440799999999999</v>
      </c>
      <c r="D142" s="30">
        <f>+D140+D138+D136+D135+D130+D129</f>
        <v>756.04383906213047</v>
      </c>
    </row>
    <row r="144" spans="1:7">
      <c r="A144" s="219" t="s">
        <v>131</v>
      </c>
      <c r="B144" s="219"/>
      <c r="C144" s="219"/>
      <c r="D144" s="219"/>
    </row>
    <row r="145" spans="1:5">
      <c r="A145" s="35" t="s">
        <v>17</v>
      </c>
      <c r="B145" s="220" t="s">
        <v>132</v>
      </c>
      <c r="C145" s="220"/>
      <c r="D145" s="28">
        <f>+D23</f>
        <v>2355.444</v>
      </c>
    </row>
    <row r="146" spans="1:5">
      <c r="A146" s="35" t="s">
        <v>133</v>
      </c>
      <c r="B146" s="220" t="s">
        <v>134</v>
      </c>
      <c r="C146" s="220"/>
      <c r="D146" s="28">
        <f>+D68</f>
        <v>1860.4979200000002</v>
      </c>
    </row>
    <row r="147" spans="1:5">
      <c r="A147" s="35" t="s">
        <v>21</v>
      </c>
      <c r="B147" s="220" t="s">
        <v>135</v>
      </c>
      <c r="C147" s="220"/>
      <c r="D147" s="28">
        <f>+D79</f>
        <v>43.78</v>
      </c>
    </row>
    <row r="148" spans="1:5">
      <c r="A148" s="35" t="s">
        <v>23</v>
      </c>
      <c r="B148" s="220" t="s">
        <v>136</v>
      </c>
      <c r="C148" s="220"/>
      <c r="D148" s="28">
        <f>+D111</f>
        <v>27.990000000000002</v>
      </c>
    </row>
    <row r="149" spans="1:5">
      <c r="A149" s="35" t="s">
        <v>25</v>
      </c>
      <c r="B149" s="220" t="s">
        <v>137</v>
      </c>
      <c r="C149" s="220"/>
      <c r="D149" s="28">
        <f>+D124</f>
        <v>152.05000000000001</v>
      </c>
    </row>
    <row r="150" spans="1:5">
      <c r="B150" s="221" t="s">
        <v>138</v>
      </c>
      <c r="C150" s="221"/>
      <c r="D150" s="90">
        <f>SUM(D145:D149)</f>
        <v>4439.7619199999999</v>
      </c>
    </row>
    <row r="151" spans="1:5">
      <c r="A151" s="35" t="s">
        <v>27</v>
      </c>
      <c r="B151" s="220" t="s">
        <v>139</v>
      </c>
      <c r="C151" s="220"/>
      <c r="D151" s="28">
        <f>+D142</f>
        <v>756.04383906213047</v>
      </c>
    </row>
    <row r="153" spans="1:5">
      <c r="A153" s="210" t="s">
        <v>140</v>
      </c>
      <c r="B153" s="210"/>
      <c r="C153" s="210"/>
      <c r="D153" s="91">
        <f>ROUND(+D151+D150,2)</f>
        <v>5195.8100000000004</v>
      </c>
    </row>
    <row r="155" spans="1:5">
      <c r="A155" s="93" t="s">
        <v>215</v>
      </c>
      <c r="B155" s="93"/>
      <c r="C155" s="93"/>
      <c r="D155" s="93"/>
      <c r="E155" s="93"/>
    </row>
    <row r="156" spans="1:5">
      <c r="A156" s="93" t="s">
        <v>238</v>
      </c>
      <c r="B156" s="93"/>
      <c r="C156" s="93"/>
      <c r="D156" s="93"/>
      <c r="E156" s="93"/>
    </row>
    <row r="157" spans="1:5">
      <c r="A157" s="93"/>
      <c r="B157" s="93"/>
      <c r="C157" s="93"/>
      <c r="D157" s="93"/>
      <c r="E157" s="93"/>
    </row>
    <row r="158" spans="1:5">
      <c r="A158" s="93"/>
      <c r="B158" s="93"/>
      <c r="C158" s="93"/>
      <c r="D158" s="93"/>
      <c r="E158" s="93"/>
    </row>
    <row r="159" spans="1:5">
      <c r="A159" s="93"/>
      <c r="B159" s="93"/>
      <c r="C159" s="93"/>
      <c r="D159" s="93"/>
      <c r="E159" s="93"/>
    </row>
    <row r="160" spans="1:5">
      <c r="A160" s="93"/>
      <c r="B160" s="93"/>
      <c r="C160" s="93"/>
      <c r="D160" s="93"/>
      <c r="E160" s="93"/>
    </row>
    <row r="161" spans="1:5">
      <c r="A161" s="93"/>
      <c r="B161" s="93"/>
      <c r="C161" s="93"/>
      <c r="D161" s="93"/>
      <c r="E161" s="93"/>
    </row>
    <row r="162" spans="1:5">
      <c r="A162" s="93"/>
      <c r="B162" s="93"/>
      <c r="C162" s="93"/>
      <c r="D162" s="93"/>
      <c r="E162" s="93"/>
    </row>
    <row r="163" spans="1:5">
      <c r="A163" s="93"/>
      <c r="B163" s="93"/>
      <c r="C163" s="93"/>
      <c r="D163" s="93"/>
      <c r="E163" s="93"/>
    </row>
    <row r="164" spans="1:5">
      <c r="A164" s="93"/>
      <c r="B164" s="93"/>
      <c r="C164" s="93"/>
      <c r="D164" s="93"/>
      <c r="E164" s="93"/>
    </row>
    <row r="165" spans="1:5">
      <c r="A165" s="93"/>
      <c r="B165" s="93"/>
      <c r="C165" s="93"/>
      <c r="D165" s="93"/>
      <c r="E165" s="93"/>
    </row>
    <row r="166" spans="1:5">
      <c r="A166" s="93"/>
      <c r="B166" s="93"/>
      <c r="C166" s="93"/>
      <c r="D166" s="93"/>
      <c r="E166" s="93"/>
    </row>
    <row r="167" spans="1:5">
      <c r="A167" s="93"/>
      <c r="B167" s="93"/>
      <c r="C167" s="93"/>
      <c r="D167" s="93"/>
      <c r="E167" s="93"/>
    </row>
  </sheetData>
  <mergeCells count="78"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C7:D7"/>
    <mergeCell ref="A1:D1"/>
    <mergeCell ref="A3:D3"/>
    <mergeCell ref="C4:D4"/>
    <mergeCell ref="C5:D5"/>
    <mergeCell ref="C6:D6"/>
  </mergeCells>
  <pageMargins left="1.6" right="0.51181102362204722" top="0.34" bottom="0.53" header="0.31496062992125984" footer="0.31496062992125984"/>
  <pageSetup paperSize="9" scale="80" orientation="portrait" r:id="rId1"/>
  <headerFoot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C132"/>
  <sheetViews>
    <sheetView workbookViewId="0">
      <selection sqref="A1:C1"/>
    </sheetView>
  </sheetViews>
  <sheetFormatPr defaultRowHeight="15"/>
  <cols>
    <col min="1" max="1" width="73.7109375" customWidth="1"/>
    <col min="2" max="2" width="14" bestFit="1" customWidth="1"/>
    <col min="3" max="3" width="13.7109375" bestFit="1" customWidth="1"/>
    <col min="4" max="4" width="10.7109375" bestFit="1" customWidth="1"/>
    <col min="5" max="5" width="79" customWidth="1"/>
  </cols>
  <sheetData>
    <row r="1" spans="1:3" ht="38.25" customHeight="1">
      <c r="A1" s="307" t="s">
        <v>245</v>
      </c>
      <c r="B1" s="307"/>
      <c r="C1" s="307"/>
    </row>
    <row r="3" spans="1:3">
      <c r="A3" s="35" t="s">
        <v>141</v>
      </c>
      <c r="B3" s="35">
        <v>220</v>
      </c>
    </row>
    <row r="4" spans="1:3">
      <c r="A4" s="35" t="s">
        <v>142</v>
      </c>
      <c r="B4" s="35">
        <v>365.25</v>
      </c>
    </row>
    <row r="5" spans="1:3">
      <c r="A5" s="35" t="s">
        <v>143</v>
      </c>
      <c r="B5" s="94">
        <f>(365.25/12)/(7/6)</f>
        <v>26.089285714285712</v>
      </c>
    </row>
    <row r="6" spans="1:3">
      <c r="A6" s="55" t="s">
        <v>18</v>
      </c>
      <c r="B6" s="46">
        <f>+'Eletricista seg a sab'!D12</f>
        <v>1811.88</v>
      </c>
    </row>
    <row r="7" spans="1:3">
      <c r="A7" s="55" t="s">
        <v>144</v>
      </c>
      <c r="B7" s="46">
        <f>+'Eletricista seg a sab'!D23</f>
        <v>2355.444</v>
      </c>
    </row>
    <row r="9" spans="1:3">
      <c r="A9" s="262" t="s">
        <v>145</v>
      </c>
      <c r="B9" s="263"/>
      <c r="C9" s="264"/>
    </row>
    <row r="10" spans="1:3">
      <c r="A10" s="35" t="s">
        <v>146</v>
      </c>
      <c r="B10" s="35">
        <f>+$B$4</f>
        <v>365.25</v>
      </c>
      <c r="C10" s="71"/>
    </row>
    <row r="11" spans="1:3">
      <c r="A11" s="35" t="s">
        <v>147</v>
      </c>
      <c r="B11" s="55">
        <v>12</v>
      </c>
      <c r="C11" s="71"/>
    </row>
    <row r="12" spans="1:3">
      <c r="A12" s="35" t="s">
        <v>148</v>
      </c>
      <c r="B12" s="45">
        <v>1</v>
      </c>
      <c r="C12" s="71"/>
    </row>
    <row r="13" spans="1:3">
      <c r="A13" s="55" t="s">
        <v>149</v>
      </c>
      <c r="B13" s="94">
        <f>(365.25/12)/(7/6)</f>
        <v>26.089285714285712</v>
      </c>
      <c r="C13" s="71"/>
    </row>
    <row r="14" spans="1:3">
      <c r="A14" s="101" t="s">
        <v>150</v>
      </c>
      <c r="B14" s="114">
        <v>4.05</v>
      </c>
      <c r="C14" s="71"/>
    </row>
    <row r="15" spans="1:3">
      <c r="A15" s="35" t="s">
        <v>151</v>
      </c>
      <c r="B15" s="45">
        <v>0.06</v>
      </c>
      <c r="C15" s="71"/>
    </row>
    <row r="16" spans="1:3">
      <c r="A16" s="258" t="s">
        <v>152</v>
      </c>
      <c r="B16" s="260"/>
      <c r="C16" s="92">
        <f>ROUND((B13*(B14*2)-($B$6*B15)),2)</f>
        <v>102.61</v>
      </c>
    </row>
    <row r="18" spans="1:3">
      <c r="A18" s="262" t="s">
        <v>211</v>
      </c>
      <c r="B18" s="263"/>
      <c r="C18" s="264"/>
    </row>
    <row r="19" spans="1:3">
      <c r="A19" s="35" t="s">
        <v>146</v>
      </c>
      <c r="B19" s="35">
        <f>+$B$4</f>
        <v>365.25</v>
      </c>
      <c r="C19" s="71"/>
    </row>
    <row r="20" spans="1:3">
      <c r="A20" s="35" t="s">
        <v>147</v>
      </c>
      <c r="B20" s="55">
        <v>12</v>
      </c>
      <c r="C20" s="71"/>
    </row>
    <row r="21" spans="1:3">
      <c r="A21" s="35" t="s">
        <v>148</v>
      </c>
      <c r="B21" s="45">
        <v>1</v>
      </c>
      <c r="C21" s="71"/>
    </row>
    <row r="22" spans="1:3">
      <c r="A22" s="55" t="s">
        <v>212</v>
      </c>
      <c r="B22" s="94">
        <f>(365.25/12)/(7/6)</f>
        <v>26.089285714285712</v>
      </c>
      <c r="C22" s="71"/>
    </row>
    <row r="23" spans="1:3">
      <c r="A23" s="101" t="s">
        <v>213</v>
      </c>
      <c r="B23" s="114">
        <v>2.1</v>
      </c>
      <c r="C23" s="71"/>
    </row>
    <row r="24" spans="1:3">
      <c r="A24" s="35" t="s">
        <v>154</v>
      </c>
      <c r="B24" s="45">
        <v>0</v>
      </c>
      <c r="C24" s="71"/>
    </row>
    <row r="25" spans="1:3">
      <c r="A25" s="258" t="s">
        <v>153</v>
      </c>
      <c r="B25" s="260"/>
      <c r="C25" s="92">
        <f>ROUND((B22*(B23)-((B22*B23)*B24)),2)</f>
        <v>54.79</v>
      </c>
    </row>
    <row r="28" spans="1:3">
      <c r="A28" s="262" t="s">
        <v>155</v>
      </c>
      <c r="B28" s="263"/>
      <c r="C28" s="264"/>
    </row>
    <row r="29" spans="1:3">
      <c r="A29" s="35" t="s">
        <v>156</v>
      </c>
      <c r="B29" s="46">
        <f>+B7</f>
        <v>2355.444</v>
      </c>
      <c r="C29" s="71"/>
    </row>
    <row r="30" spans="1:3">
      <c r="A30" s="35" t="s">
        <v>157</v>
      </c>
      <c r="B30" s="35">
        <v>12</v>
      </c>
      <c r="C30" s="71"/>
    </row>
    <row r="31" spans="1:3">
      <c r="A31" s="101" t="s">
        <v>158</v>
      </c>
      <c r="B31" s="103">
        <v>0.1</v>
      </c>
      <c r="C31" s="71"/>
    </row>
    <row r="32" spans="1:3">
      <c r="A32" s="258" t="s">
        <v>159</v>
      </c>
      <c r="B32" s="260"/>
      <c r="C32" s="92">
        <f>ROUND(+(B29/B30)*B31,2)</f>
        <v>19.63</v>
      </c>
    </row>
    <row r="34" spans="1:3">
      <c r="A34" s="265" t="s">
        <v>160</v>
      </c>
      <c r="B34" s="266"/>
      <c r="C34" s="267"/>
    </row>
    <row r="35" spans="1:3" s="57" customFormat="1">
      <c r="A35" s="115" t="s">
        <v>161</v>
      </c>
      <c r="B35" s="103">
        <f>+B31</f>
        <v>0.1</v>
      </c>
      <c r="C35" s="71"/>
    </row>
    <row r="36" spans="1:3">
      <c r="A36" s="35" t="s">
        <v>162</v>
      </c>
      <c r="B36" s="46">
        <f>+'Eletricista seg a sab'!$D$23</f>
        <v>2355.444</v>
      </c>
      <c r="C36" s="71"/>
    </row>
    <row r="37" spans="1:3">
      <c r="A37" s="35" t="s">
        <v>44</v>
      </c>
      <c r="B37" s="46">
        <f>+'Eletricista seg a sab'!$D$29</f>
        <v>196.29</v>
      </c>
      <c r="C37" s="71"/>
    </row>
    <row r="38" spans="1:3">
      <c r="A38" s="95" t="s">
        <v>47</v>
      </c>
      <c r="B38" s="46">
        <f>+'Eletricista seg a sab'!$D$31</f>
        <v>196.29</v>
      </c>
      <c r="C38" s="71"/>
    </row>
    <row r="39" spans="1:3">
      <c r="A39" s="95" t="s">
        <v>49</v>
      </c>
      <c r="B39" s="46">
        <f>+'Eletricista seg a sab'!$D$32</f>
        <v>65.430000000000007</v>
      </c>
      <c r="C39" s="71"/>
    </row>
    <row r="40" spans="1:3">
      <c r="A40" s="96" t="s">
        <v>163</v>
      </c>
      <c r="B40" s="97">
        <f>SUM(B36:B39)</f>
        <v>2813.4539999999997</v>
      </c>
      <c r="C40" s="71"/>
    </row>
    <row r="41" spans="1:3">
      <c r="A41" s="66" t="s">
        <v>164</v>
      </c>
      <c r="B41" s="45">
        <v>0.4</v>
      </c>
      <c r="C41" s="71"/>
    </row>
    <row r="42" spans="1:3">
      <c r="A42" s="66" t="s">
        <v>165</v>
      </c>
      <c r="B42" s="45">
        <f>+'Eletricista seg a sab'!$C$44</f>
        <v>0.08</v>
      </c>
      <c r="C42" s="71"/>
    </row>
    <row r="43" spans="1:3">
      <c r="A43" s="226" t="s">
        <v>166</v>
      </c>
      <c r="B43" s="227"/>
      <c r="C43" s="82">
        <f>ROUND(+B40*B41*B42*B35,2)</f>
        <v>9</v>
      </c>
    </row>
    <row r="44" spans="1:3">
      <c r="A44" s="66" t="s">
        <v>167</v>
      </c>
      <c r="B44" s="141">
        <v>0</v>
      </c>
      <c r="C44" s="71"/>
    </row>
    <row r="45" spans="1:3">
      <c r="A45" s="226" t="s">
        <v>168</v>
      </c>
      <c r="B45" s="227"/>
      <c r="C45" s="98">
        <f>ROUND(B44*B42*B40*B35,2)</f>
        <v>0</v>
      </c>
    </row>
    <row r="46" spans="1:3">
      <c r="A46" s="258" t="s">
        <v>169</v>
      </c>
      <c r="B46" s="260"/>
      <c r="C46" s="84">
        <f>+C45+C43</f>
        <v>9</v>
      </c>
    </row>
    <row r="48" spans="1:3">
      <c r="A48" s="262" t="s">
        <v>170</v>
      </c>
      <c r="B48" s="263"/>
      <c r="C48" s="264"/>
    </row>
    <row r="49" spans="1:3">
      <c r="A49" s="35" t="s">
        <v>156</v>
      </c>
      <c r="B49" s="46">
        <f>+B7</f>
        <v>2355.444</v>
      </c>
      <c r="C49" s="71"/>
    </row>
    <row r="50" spans="1:3">
      <c r="A50" s="35" t="s">
        <v>171</v>
      </c>
      <c r="B50" s="99">
        <v>30</v>
      </c>
      <c r="C50" s="71"/>
    </row>
    <row r="51" spans="1:3">
      <c r="A51" s="35" t="s">
        <v>157</v>
      </c>
      <c r="B51" s="35">
        <v>12</v>
      </c>
      <c r="C51" s="71"/>
    </row>
    <row r="52" spans="1:3">
      <c r="A52" s="35" t="s">
        <v>172</v>
      </c>
      <c r="B52" s="35">
        <v>7</v>
      </c>
      <c r="C52" s="71"/>
    </row>
    <row r="53" spans="1:3">
      <c r="A53" s="101" t="s">
        <v>173</v>
      </c>
      <c r="B53" s="103">
        <v>0.1</v>
      </c>
      <c r="C53" s="71"/>
    </row>
    <row r="54" spans="1:3">
      <c r="A54" s="258" t="s">
        <v>174</v>
      </c>
      <c r="B54" s="260"/>
      <c r="C54" s="92">
        <f>+ROUND(((B49/B50/B51)*B52)*B53,2)</f>
        <v>4.58</v>
      </c>
    </row>
    <row r="56" spans="1:3">
      <c r="A56" s="265" t="s">
        <v>175</v>
      </c>
      <c r="B56" s="266"/>
      <c r="C56" s="267"/>
    </row>
    <row r="57" spans="1:3">
      <c r="A57" s="116" t="s">
        <v>176</v>
      </c>
      <c r="B57" s="103">
        <f>+B53</f>
        <v>0.1</v>
      </c>
      <c r="C57" s="71"/>
    </row>
    <row r="58" spans="1:3">
      <c r="A58" s="35" t="s">
        <v>162</v>
      </c>
      <c r="B58" s="46">
        <f>+'Eletricista seg a sab'!$D$23</f>
        <v>2355.444</v>
      </c>
      <c r="C58" s="71"/>
    </row>
    <row r="59" spans="1:3">
      <c r="A59" s="35" t="s">
        <v>44</v>
      </c>
      <c r="B59" s="46">
        <f>+'Eletricista seg a sab'!$D$29</f>
        <v>196.29</v>
      </c>
      <c r="C59" s="71"/>
    </row>
    <row r="60" spans="1:3">
      <c r="A60" s="95" t="s">
        <v>47</v>
      </c>
      <c r="B60" s="46">
        <f>+'Eletricista seg a sab'!$D$31</f>
        <v>196.29</v>
      </c>
      <c r="C60" s="71"/>
    </row>
    <row r="61" spans="1:3">
      <c r="A61" s="95" t="s">
        <v>49</v>
      </c>
      <c r="B61" s="46">
        <f>+'Eletricista seg a sab'!$D$32</f>
        <v>65.430000000000007</v>
      </c>
      <c r="C61" s="71"/>
    </row>
    <row r="62" spans="1:3">
      <c r="A62" s="96" t="s">
        <v>163</v>
      </c>
      <c r="B62" s="97">
        <f>SUM(B58:B61)</f>
        <v>2813.4539999999997</v>
      </c>
      <c r="C62" s="71"/>
    </row>
    <row r="63" spans="1:3">
      <c r="A63" s="66" t="s">
        <v>164</v>
      </c>
      <c r="B63" s="45">
        <v>0.4</v>
      </c>
      <c r="C63" s="71"/>
    </row>
    <row r="64" spans="1:3">
      <c r="A64" s="66" t="s">
        <v>165</v>
      </c>
      <c r="B64" s="45">
        <f>+'Eletricista seg a sab'!$C$44</f>
        <v>0.08</v>
      </c>
      <c r="C64" s="71"/>
    </row>
    <row r="65" spans="1:3">
      <c r="A65" s="226" t="s">
        <v>166</v>
      </c>
      <c r="B65" s="227"/>
      <c r="C65" s="82">
        <f>ROUND(+B62*B63*B64*B57,2)</f>
        <v>9</v>
      </c>
    </row>
    <row r="66" spans="1:3">
      <c r="A66" s="66" t="s">
        <v>167</v>
      </c>
      <c r="B66" s="141">
        <v>0</v>
      </c>
      <c r="C66" s="71"/>
    </row>
    <row r="67" spans="1:3">
      <c r="A67" s="226" t="s">
        <v>168</v>
      </c>
      <c r="B67" s="227"/>
      <c r="C67" s="98">
        <f>ROUND(B66*B64*B62*B57,2)</f>
        <v>0</v>
      </c>
    </row>
    <row r="68" spans="1:3">
      <c r="A68" s="258" t="s">
        <v>177</v>
      </c>
      <c r="B68" s="260"/>
      <c r="C68" s="84">
        <f>+C67+C65</f>
        <v>9</v>
      </c>
    </row>
    <row r="70" spans="1:3">
      <c r="A70" s="265" t="s">
        <v>178</v>
      </c>
      <c r="B70" s="266"/>
      <c r="C70" s="267"/>
    </row>
    <row r="71" spans="1:3">
      <c r="A71" s="271" t="s">
        <v>179</v>
      </c>
      <c r="B71" s="272"/>
      <c r="C71" s="273"/>
    </row>
    <row r="72" spans="1:3">
      <c r="A72" s="274"/>
      <c r="B72" s="275"/>
      <c r="C72" s="276"/>
    </row>
    <row r="73" spans="1:3">
      <c r="A73" s="274"/>
      <c r="B73" s="275"/>
      <c r="C73" s="276"/>
    </row>
    <row r="74" spans="1:3">
      <c r="A74" s="277"/>
      <c r="B74" s="278"/>
      <c r="C74" s="279"/>
    </row>
    <row r="75" spans="1:3">
      <c r="A75" s="100"/>
      <c r="B75" s="100"/>
      <c r="C75" s="100"/>
    </row>
    <row r="76" spans="1:3">
      <c r="A76" s="265" t="s">
        <v>180</v>
      </c>
      <c r="B76" s="266"/>
      <c r="C76" s="267"/>
    </row>
    <row r="77" spans="1:3">
      <c r="A77" s="35" t="s">
        <v>181</v>
      </c>
      <c r="B77" s="46">
        <f>+$B$7</f>
        <v>2355.444</v>
      </c>
      <c r="C77" s="71"/>
    </row>
    <row r="78" spans="1:3">
      <c r="A78" s="35" t="s">
        <v>147</v>
      </c>
      <c r="B78" s="35">
        <v>30</v>
      </c>
      <c r="C78" s="71"/>
    </row>
    <row r="79" spans="1:3">
      <c r="A79" s="35" t="s">
        <v>182</v>
      </c>
      <c r="B79" s="35">
        <v>12</v>
      </c>
      <c r="C79" s="71"/>
    </row>
    <row r="80" spans="1:3">
      <c r="A80" s="101" t="s">
        <v>183</v>
      </c>
      <c r="B80" s="101">
        <v>1</v>
      </c>
      <c r="C80" s="71"/>
    </row>
    <row r="81" spans="1:3">
      <c r="A81" s="258" t="s">
        <v>184</v>
      </c>
      <c r="B81" s="260"/>
      <c r="C81" s="64">
        <f>+ROUND((B77/B78/B79)*B80,2)</f>
        <v>6.54</v>
      </c>
    </row>
    <row r="83" spans="1:3">
      <c r="A83" s="265" t="s">
        <v>185</v>
      </c>
      <c r="B83" s="266"/>
      <c r="C83" s="267"/>
    </row>
    <row r="84" spans="1:3">
      <c r="A84" s="35" t="s">
        <v>181</v>
      </c>
      <c r="B84" s="46">
        <f>+$B$7</f>
        <v>2355.444</v>
      </c>
      <c r="C84" s="71"/>
    </row>
    <row r="85" spans="1:3">
      <c r="A85" s="35" t="s">
        <v>147</v>
      </c>
      <c r="B85" s="35">
        <v>30</v>
      </c>
      <c r="C85" s="71"/>
    </row>
    <row r="86" spans="1:3">
      <c r="A86" s="35" t="s">
        <v>182</v>
      </c>
      <c r="B86" s="35">
        <v>12</v>
      </c>
      <c r="C86" s="71"/>
    </row>
    <row r="87" spans="1:3">
      <c r="A87" s="55" t="s">
        <v>186</v>
      </c>
      <c r="B87" s="35">
        <v>5</v>
      </c>
      <c r="C87" s="71"/>
    </row>
    <row r="88" spans="1:3">
      <c r="A88" s="101" t="s">
        <v>187</v>
      </c>
      <c r="B88" s="103">
        <v>1.4999999999999999E-2</v>
      </c>
      <c r="C88" s="71"/>
    </row>
    <row r="89" spans="1:3">
      <c r="A89" s="101" t="s">
        <v>188</v>
      </c>
      <c r="B89" s="103">
        <v>0.98450000000000004</v>
      </c>
      <c r="C89" s="71"/>
    </row>
    <row r="90" spans="1:3">
      <c r="A90" s="258" t="s">
        <v>189</v>
      </c>
      <c r="B90" s="260"/>
      <c r="C90" s="92">
        <f>ROUND(+B84/B85/B86*B87*B88*B89,2)</f>
        <v>0.48</v>
      </c>
    </row>
    <row r="92" spans="1:3">
      <c r="A92" s="265" t="s">
        <v>190</v>
      </c>
      <c r="B92" s="266"/>
      <c r="C92" s="267"/>
    </row>
    <row r="93" spans="1:3">
      <c r="A93" s="35" t="s">
        <v>181</v>
      </c>
      <c r="B93" s="46">
        <f>+$B$7</f>
        <v>2355.444</v>
      </c>
      <c r="C93" s="71"/>
    </row>
    <row r="94" spans="1:3">
      <c r="A94" s="35" t="s">
        <v>147</v>
      </c>
      <c r="B94" s="35">
        <v>30</v>
      </c>
      <c r="C94" s="71"/>
    </row>
    <row r="95" spans="1:3">
      <c r="A95" s="35" t="s">
        <v>182</v>
      </c>
      <c r="B95" s="35">
        <v>12</v>
      </c>
      <c r="C95" s="71"/>
    </row>
    <row r="96" spans="1:3">
      <c r="A96" s="55" t="s">
        <v>191</v>
      </c>
      <c r="B96" s="35">
        <v>15</v>
      </c>
      <c r="C96" s="71"/>
    </row>
    <row r="97" spans="1:3">
      <c r="A97" s="101" t="s">
        <v>192</v>
      </c>
      <c r="B97" s="103">
        <v>0.08</v>
      </c>
      <c r="C97" s="71"/>
    </row>
    <row r="98" spans="1:3">
      <c r="A98" s="258" t="s">
        <v>193</v>
      </c>
      <c r="B98" s="260"/>
      <c r="C98" s="92">
        <f>ROUND(+B93/B94/B95*B96*B97,2)</f>
        <v>7.85</v>
      </c>
    </row>
    <row r="100" spans="1:3">
      <c r="A100" s="265" t="s">
        <v>194</v>
      </c>
      <c r="B100" s="266"/>
      <c r="C100" s="267"/>
    </row>
    <row r="101" spans="1:3">
      <c r="A101" s="35" t="s">
        <v>181</v>
      </c>
      <c r="B101" s="46">
        <f>+$B$7</f>
        <v>2355.444</v>
      </c>
      <c r="C101" s="71"/>
    </row>
    <row r="102" spans="1:3">
      <c r="A102" s="35" t="s">
        <v>147</v>
      </c>
      <c r="B102" s="35">
        <v>30</v>
      </c>
      <c r="C102" s="71"/>
    </row>
    <row r="103" spans="1:3">
      <c r="A103" s="35" t="s">
        <v>182</v>
      </c>
      <c r="B103" s="35">
        <v>12</v>
      </c>
      <c r="C103" s="71"/>
    </row>
    <row r="104" spans="1:3">
      <c r="A104" s="55" t="s">
        <v>191</v>
      </c>
      <c r="B104" s="35">
        <v>5</v>
      </c>
      <c r="C104" s="71"/>
    </row>
    <row r="105" spans="1:3">
      <c r="A105" s="101" t="s">
        <v>195</v>
      </c>
      <c r="B105" s="103">
        <v>0.4</v>
      </c>
      <c r="C105" s="71"/>
    </row>
    <row r="106" spans="1:3">
      <c r="A106" s="258" t="s">
        <v>196</v>
      </c>
      <c r="B106" s="260"/>
      <c r="C106" s="92">
        <f>ROUND(+B101/B102/B103*B104*B105,2)</f>
        <v>13.09</v>
      </c>
    </row>
    <row r="108" spans="1:3">
      <c r="A108" s="265" t="s">
        <v>197</v>
      </c>
      <c r="B108" s="266"/>
      <c r="C108" s="267"/>
    </row>
    <row r="109" spans="1:3">
      <c r="A109" s="268" t="s">
        <v>198</v>
      </c>
      <c r="B109" s="269"/>
      <c r="C109" s="270"/>
    </row>
    <row r="110" spans="1:3">
      <c r="A110" s="35" t="s">
        <v>181</v>
      </c>
      <c r="B110" s="46">
        <f>+$B$7</f>
        <v>2355.444</v>
      </c>
      <c r="C110" s="71"/>
    </row>
    <row r="111" spans="1:3">
      <c r="A111" s="35" t="s">
        <v>199</v>
      </c>
      <c r="B111" s="46">
        <f>+B110*(1/3)</f>
        <v>785.14799999999991</v>
      </c>
      <c r="C111" s="71"/>
    </row>
    <row r="112" spans="1:3">
      <c r="A112" s="96" t="s">
        <v>163</v>
      </c>
      <c r="B112" s="97">
        <f>SUM(B110:B111)</f>
        <v>3140.5919999999996</v>
      </c>
      <c r="C112" s="71"/>
    </row>
    <row r="113" spans="1:3">
      <c r="A113" s="35" t="s">
        <v>200</v>
      </c>
      <c r="B113" s="35">
        <v>4</v>
      </c>
      <c r="C113" s="71"/>
    </row>
    <row r="114" spans="1:3">
      <c r="A114" s="35" t="s">
        <v>182</v>
      </c>
      <c r="B114" s="35">
        <v>12</v>
      </c>
      <c r="C114" s="71"/>
    </row>
    <row r="115" spans="1:3">
      <c r="A115" s="101" t="s">
        <v>201</v>
      </c>
      <c r="B115" s="103">
        <v>0.02</v>
      </c>
      <c r="C115" s="71"/>
    </row>
    <row r="116" spans="1:3">
      <c r="A116" s="101" t="s">
        <v>202</v>
      </c>
      <c r="B116" s="103">
        <v>1.55E-2</v>
      </c>
      <c r="C116" s="71"/>
    </row>
    <row r="117" spans="1:3">
      <c r="A117" s="258" t="s">
        <v>203</v>
      </c>
      <c r="B117" s="260"/>
      <c r="C117" s="92">
        <f>ROUND((((+B112*(B113/B114)/B114)*B115)*B116),2)</f>
        <v>0.03</v>
      </c>
    </row>
    <row r="118" spans="1:3">
      <c r="A118" s="258" t="s">
        <v>204</v>
      </c>
      <c r="B118" s="259"/>
      <c r="C118" s="260"/>
    </row>
    <row r="119" spans="1:3">
      <c r="A119" s="35" t="s">
        <v>181</v>
      </c>
      <c r="B119" s="46">
        <f>+'Eletricista seg a sab'!D23</f>
        <v>2355.444</v>
      </c>
      <c r="C119" s="71"/>
    </row>
    <row r="120" spans="1:3">
      <c r="A120" s="35" t="s">
        <v>44</v>
      </c>
      <c r="B120" s="46">
        <f>+'Eletricista seg a sab'!D29</f>
        <v>196.29</v>
      </c>
      <c r="C120" s="71"/>
    </row>
    <row r="121" spans="1:3">
      <c r="A121" s="96" t="s">
        <v>163</v>
      </c>
      <c r="B121" s="97">
        <f>SUM(B119:B120)</f>
        <v>2551.7339999999999</v>
      </c>
      <c r="C121" s="71"/>
    </row>
    <row r="122" spans="1:3">
      <c r="A122" s="35" t="s">
        <v>200</v>
      </c>
      <c r="B122" s="35">
        <v>4</v>
      </c>
      <c r="C122" s="71"/>
    </row>
    <row r="123" spans="1:3">
      <c r="A123" s="35" t="s">
        <v>182</v>
      </c>
      <c r="B123" s="35">
        <v>12</v>
      </c>
      <c r="C123" s="71"/>
    </row>
    <row r="124" spans="1:3">
      <c r="A124" s="101" t="s">
        <v>201</v>
      </c>
      <c r="B124" s="103">
        <f>+B115</f>
        <v>0.02</v>
      </c>
      <c r="C124" s="71"/>
    </row>
    <row r="125" spans="1:3">
      <c r="A125" s="101" t="s">
        <v>202</v>
      </c>
      <c r="B125" s="103">
        <f>+B116</f>
        <v>1.55E-2</v>
      </c>
      <c r="C125" s="71"/>
    </row>
    <row r="126" spans="1:3">
      <c r="A126" s="55" t="s">
        <v>205</v>
      </c>
      <c r="B126" s="45">
        <f>+'Eletricista seg a sab'!C45</f>
        <v>0.34800000000000003</v>
      </c>
      <c r="C126" s="71"/>
    </row>
    <row r="127" spans="1:3">
      <c r="A127" s="258" t="s">
        <v>206</v>
      </c>
      <c r="B127" s="260"/>
      <c r="C127" s="84">
        <f>ROUND((((B121*(B122/B123)*B124)*B125)*B126),2)</f>
        <v>0.09</v>
      </c>
    </row>
    <row r="129" spans="1:3" ht="30.75" customHeight="1">
      <c r="A129" s="261" t="s">
        <v>246</v>
      </c>
      <c r="B129" s="261"/>
      <c r="C129" s="261"/>
    </row>
    <row r="130" spans="1:3">
      <c r="C130" s="77"/>
    </row>
    <row r="131" spans="1:3">
      <c r="C131" s="77"/>
    </row>
    <row r="132" spans="1:3">
      <c r="C132" s="77"/>
    </row>
  </sheetData>
  <mergeCells count="33">
    <mergeCell ref="A118:C118"/>
    <mergeCell ref="A127:B127"/>
    <mergeCell ref="A129:C129"/>
    <mergeCell ref="A98:B98"/>
    <mergeCell ref="A100:C100"/>
    <mergeCell ref="A106:B106"/>
    <mergeCell ref="A108:C108"/>
    <mergeCell ref="A109:C109"/>
    <mergeCell ref="A117:B117"/>
    <mergeCell ref="A92:C92"/>
    <mergeCell ref="A54:B54"/>
    <mergeCell ref="A56:C56"/>
    <mergeCell ref="A65:B65"/>
    <mergeCell ref="A67:B67"/>
    <mergeCell ref="A68:B68"/>
    <mergeCell ref="A70:C70"/>
    <mergeCell ref="A71:C74"/>
    <mergeCell ref="A76:C76"/>
    <mergeCell ref="A81:B81"/>
    <mergeCell ref="A83:C83"/>
    <mergeCell ref="A90:B90"/>
    <mergeCell ref="A48:C48"/>
    <mergeCell ref="A1:C1"/>
    <mergeCell ref="A9:C9"/>
    <mergeCell ref="A16:B16"/>
    <mergeCell ref="A18:C18"/>
    <mergeCell ref="A25:B25"/>
    <mergeCell ref="A28:C28"/>
    <mergeCell ref="A32:B32"/>
    <mergeCell ref="A34:C34"/>
    <mergeCell ref="A43:B43"/>
    <mergeCell ref="A45:B45"/>
    <mergeCell ref="A46:B46"/>
  </mergeCells>
  <pageMargins left="1.0900000000000001" right="0.11811023622047245" top="0.39370078740157483" bottom="0.55118110236220474" header="0.31496062992125984" footer="0.31496062992125984"/>
  <pageSetup paperSize="9" scale="80" orientation="portrait" r:id="rId1"/>
  <headerFoot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G167"/>
  <sheetViews>
    <sheetView zoomScale="80" zoomScaleNormal="80" workbookViewId="0">
      <selection sqref="A1:D1"/>
    </sheetView>
  </sheetViews>
  <sheetFormatPr defaultRowHeight="1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>
      <c r="A1" s="251" t="s">
        <v>6</v>
      </c>
      <c r="B1" s="252"/>
      <c r="C1" s="252"/>
      <c r="D1" s="253"/>
      <c r="E1" s="12"/>
      <c r="F1" s="12"/>
    </row>
    <row r="3" spans="1:6">
      <c r="A3" s="217" t="s">
        <v>7</v>
      </c>
      <c r="B3" s="218"/>
      <c r="C3" s="218"/>
      <c r="D3" s="229"/>
    </row>
    <row r="4" spans="1:6" s="15" customFormat="1" ht="51" customHeight="1">
      <c r="A4" s="121">
        <v>1</v>
      </c>
      <c r="B4" s="122" t="s">
        <v>8</v>
      </c>
      <c r="C4" s="301" t="s">
        <v>249</v>
      </c>
      <c r="D4" s="302"/>
    </row>
    <row r="5" spans="1:6" s="15" customFormat="1">
      <c r="A5" s="121">
        <v>2</v>
      </c>
      <c r="B5" s="122" t="s">
        <v>9</v>
      </c>
      <c r="C5" s="303" t="str">
        <f>+Apresentação!E27</f>
        <v>9511-06</v>
      </c>
      <c r="D5" s="304"/>
    </row>
    <row r="6" spans="1:6" s="15" customFormat="1">
      <c r="A6" s="121">
        <v>3</v>
      </c>
      <c r="B6" s="122" t="s">
        <v>10</v>
      </c>
      <c r="C6" s="305">
        <f>+Apresentação!F28</f>
        <v>3027.13</v>
      </c>
      <c r="D6" s="305"/>
    </row>
    <row r="7" spans="1:6" s="15" customFormat="1" ht="48.75" customHeight="1">
      <c r="A7" s="121">
        <v>4</v>
      </c>
      <c r="B7" s="122" t="s">
        <v>11</v>
      </c>
      <c r="C7" s="299" t="s">
        <v>209</v>
      </c>
      <c r="D7" s="300"/>
    </row>
    <row r="8" spans="1:6" s="15" customFormat="1" ht="21" customHeight="1">
      <c r="A8" s="121">
        <v>5</v>
      </c>
      <c r="B8" s="122" t="s">
        <v>12</v>
      </c>
      <c r="C8" s="306">
        <v>43524</v>
      </c>
      <c r="D8" s="304"/>
    </row>
    <row r="9" spans="1:6">
      <c r="D9" s="16"/>
    </row>
    <row r="10" spans="1:6">
      <c r="A10" s="222" t="s">
        <v>13</v>
      </c>
      <c r="B10" s="223"/>
      <c r="C10" s="223"/>
      <c r="D10" s="223"/>
    </row>
    <row r="11" spans="1:6">
      <c r="A11" s="17">
        <v>1</v>
      </c>
      <c r="B11" s="18" t="s">
        <v>14</v>
      </c>
      <c r="C11" s="19" t="s">
        <v>15</v>
      </c>
      <c r="D11" s="20" t="s">
        <v>16</v>
      </c>
    </row>
    <row r="12" spans="1:6">
      <c r="A12" s="22" t="s">
        <v>17</v>
      </c>
      <c r="B12" s="230" t="s">
        <v>18</v>
      </c>
      <c r="C12" s="230"/>
      <c r="D12" s="107">
        <f>+C6</f>
        <v>3027.13</v>
      </c>
    </row>
    <row r="13" spans="1:6">
      <c r="A13" s="22" t="s">
        <v>19</v>
      </c>
      <c r="B13" s="24" t="s">
        <v>20</v>
      </c>
      <c r="C13" s="25">
        <v>0.3</v>
      </c>
      <c r="D13" s="23">
        <f>+C13*D12</f>
        <v>908.13900000000001</v>
      </c>
      <c r="E13" s="26"/>
    </row>
    <row r="14" spans="1:6">
      <c r="A14" s="22" t="s">
        <v>21</v>
      </c>
      <c r="B14" s="24" t="s">
        <v>22</v>
      </c>
      <c r="C14" s="25"/>
      <c r="D14" s="23">
        <f>+C14*D12</f>
        <v>0</v>
      </c>
    </row>
    <row r="15" spans="1:6">
      <c r="A15" s="22" t="s">
        <v>23</v>
      </c>
      <c r="B15" s="230" t="s">
        <v>24</v>
      </c>
      <c r="C15" s="230"/>
      <c r="D15" s="23"/>
    </row>
    <row r="16" spans="1:6">
      <c r="A16" s="22" t="s">
        <v>25</v>
      </c>
      <c r="B16" s="230" t="s">
        <v>26</v>
      </c>
      <c r="C16" s="230"/>
      <c r="D16" s="23"/>
    </row>
    <row r="17" spans="1:6">
      <c r="A17" s="22" t="s">
        <v>27</v>
      </c>
      <c r="B17" s="247" t="s">
        <v>28</v>
      </c>
      <c r="C17" s="248"/>
      <c r="D17" s="23"/>
    </row>
    <row r="18" spans="1:6">
      <c r="A18" s="22" t="s">
        <v>29</v>
      </c>
      <c r="B18" s="230" t="s">
        <v>30</v>
      </c>
      <c r="C18" s="230"/>
      <c r="D18" s="23"/>
    </row>
    <row r="19" spans="1:6">
      <c r="A19" s="22" t="s">
        <v>31</v>
      </c>
      <c r="B19" s="247" t="s">
        <v>32</v>
      </c>
      <c r="C19" s="248"/>
      <c r="D19" s="27"/>
    </row>
    <row r="20" spans="1:6">
      <c r="A20" s="22" t="s">
        <v>33</v>
      </c>
      <c r="B20" s="24" t="s">
        <v>34</v>
      </c>
      <c r="C20" s="25"/>
      <c r="D20" s="23"/>
    </row>
    <row r="21" spans="1:6">
      <c r="A21" s="22" t="s">
        <v>35</v>
      </c>
      <c r="B21" s="230" t="s">
        <v>36</v>
      </c>
      <c r="C21" s="230"/>
      <c r="D21" s="28"/>
      <c r="F21" s="29"/>
    </row>
    <row r="22" spans="1:6">
      <c r="A22" s="22" t="s">
        <v>37</v>
      </c>
      <c r="B22" s="230" t="s">
        <v>38</v>
      </c>
      <c r="C22" s="230"/>
      <c r="D22" s="28"/>
    </row>
    <row r="23" spans="1:6">
      <c r="A23" s="231" t="s">
        <v>39</v>
      </c>
      <c r="B23" s="231"/>
      <c r="C23" s="231"/>
      <c r="D23" s="30">
        <f>SUM(D12:D22)</f>
        <v>3935.2690000000002</v>
      </c>
    </row>
    <row r="25" spans="1:6">
      <c r="A25" s="222" t="s">
        <v>40</v>
      </c>
      <c r="B25" s="223"/>
      <c r="C25" s="223"/>
      <c r="D25" s="223"/>
    </row>
    <row r="27" spans="1:6">
      <c r="A27" s="222" t="s">
        <v>41</v>
      </c>
      <c r="B27" s="223"/>
      <c r="C27" s="223"/>
      <c r="D27" s="223"/>
    </row>
    <row r="28" spans="1:6">
      <c r="A28" s="31" t="s">
        <v>42</v>
      </c>
      <c r="B28" s="32" t="s">
        <v>43</v>
      </c>
      <c r="C28" s="33" t="s">
        <v>15</v>
      </c>
      <c r="D28" s="34" t="s">
        <v>16</v>
      </c>
    </row>
    <row r="29" spans="1:6">
      <c r="A29" s="22" t="s">
        <v>17</v>
      </c>
      <c r="B29" s="35" t="s">
        <v>44</v>
      </c>
      <c r="C29" s="36">
        <f>ROUND(+D29/$D$23,4)</f>
        <v>8.3299999999999999E-2</v>
      </c>
      <c r="D29" s="28">
        <f>ROUND(+D23/12,2)</f>
        <v>327.94</v>
      </c>
    </row>
    <row r="30" spans="1:6">
      <c r="A30" s="37" t="s">
        <v>19</v>
      </c>
      <c r="B30" s="38" t="s">
        <v>45</v>
      </c>
      <c r="C30" s="39">
        <f>ROUND(+D30/$D$23,4)</f>
        <v>0.1111</v>
      </c>
      <c r="D30" s="40">
        <f>+D31+D32</f>
        <v>437.25</v>
      </c>
    </row>
    <row r="31" spans="1:6">
      <c r="A31" s="22" t="s">
        <v>46</v>
      </c>
      <c r="B31" s="41" t="s">
        <v>47</v>
      </c>
      <c r="C31" s="42">
        <f>ROUND(+D31/$D$23,4)</f>
        <v>8.3299999999999999E-2</v>
      </c>
      <c r="D31" s="43">
        <f>ROUND(+D23/12,2)</f>
        <v>327.94</v>
      </c>
    </row>
    <row r="32" spans="1:6">
      <c r="A32" s="22" t="s">
        <v>48</v>
      </c>
      <c r="B32" s="41" t="s">
        <v>49</v>
      </c>
      <c r="C32" s="42">
        <f>ROUND(+D32/$D$23,4)</f>
        <v>2.7799999999999998E-2</v>
      </c>
      <c r="D32" s="43">
        <f>ROUND(+(D23*1/3)/12,2)</f>
        <v>109.31</v>
      </c>
    </row>
    <row r="33" spans="1:4">
      <c r="A33" s="231" t="s">
        <v>39</v>
      </c>
      <c r="B33" s="231"/>
      <c r="C33" s="231"/>
      <c r="D33" s="30">
        <f>+D30+D29</f>
        <v>765.19</v>
      </c>
    </row>
    <row r="35" spans="1:4" ht="27.75" customHeight="1">
      <c r="A35" s="241" t="s">
        <v>50</v>
      </c>
      <c r="B35" s="242"/>
      <c r="C35" s="242"/>
      <c r="D35" s="242"/>
    </row>
    <row r="36" spans="1:4">
      <c r="A36" s="31" t="s">
        <v>51</v>
      </c>
      <c r="B36" s="44" t="s">
        <v>52</v>
      </c>
      <c r="C36" s="33" t="s">
        <v>15</v>
      </c>
      <c r="D36" s="34" t="s">
        <v>16</v>
      </c>
    </row>
    <row r="37" spans="1:4">
      <c r="A37" s="22" t="s">
        <v>17</v>
      </c>
      <c r="B37" s="35" t="s">
        <v>53</v>
      </c>
      <c r="C37" s="45">
        <v>0.2</v>
      </c>
      <c r="D37" s="46">
        <f>ROUND(C37*($D$23+$D$33),2)</f>
        <v>940.09</v>
      </c>
    </row>
    <row r="38" spans="1:4">
      <c r="A38" s="22" t="s">
        <v>19</v>
      </c>
      <c r="B38" s="35" t="s">
        <v>54</v>
      </c>
      <c r="C38" s="45">
        <v>2.5000000000000001E-2</v>
      </c>
      <c r="D38" s="46">
        <f>ROUND(C38*($D$23+$D$33),2)</f>
        <v>117.51</v>
      </c>
    </row>
    <row r="39" spans="1:4">
      <c r="A39" s="22" t="s">
        <v>21</v>
      </c>
      <c r="B39" s="35" t="s">
        <v>55</v>
      </c>
      <c r="C39" s="45">
        <v>0.01</v>
      </c>
      <c r="D39" s="46">
        <f t="shared" ref="D39:D43" si="0">ROUND(C39*($D$23+$D$33),2)</f>
        <v>47</v>
      </c>
    </row>
    <row r="40" spans="1:4">
      <c r="A40" s="22" t="s">
        <v>23</v>
      </c>
      <c r="B40" s="35" t="s">
        <v>56</v>
      </c>
      <c r="C40" s="45">
        <v>1.4999999999999999E-2</v>
      </c>
      <c r="D40" s="46">
        <f t="shared" si="0"/>
        <v>70.510000000000005</v>
      </c>
    </row>
    <row r="41" spans="1:4">
      <c r="A41" s="22" t="s">
        <v>25</v>
      </c>
      <c r="B41" s="35" t="s">
        <v>57</v>
      </c>
      <c r="C41" s="45">
        <v>0.01</v>
      </c>
      <c r="D41" s="46">
        <f t="shared" si="0"/>
        <v>47</v>
      </c>
    </row>
    <row r="42" spans="1:4">
      <c r="A42" s="22" t="s">
        <v>27</v>
      </c>
      <c r="B42" s="35" t="s">
        <v>58</v>
      </c>
      <c r="C42" s="45">
        <v>6.0000000000000001E-3</v>
      </c>
      <c r="D42" s="46">
        <f t="shared" si="0"/>
        <v>28.2</v>
      </c>
    </row>
    <row r="43" spans="1:4">
      <c r="A43" s="22" t="s">
        <v>29</v>
      </c>
      <c r="B43" s="35" t="s">
        <v>59</v>
      </c>
      <c r="C43" s="45">
        <v>2E-3</v>
      </c>
      <c r="D43" s="46">
        <f t="shared" si="0"/>
        <v>9.4</v>
      </c>
    </row>
    <row r="44" spans="1:4">
      <c r="A44" s="22" t="s">
        <v>31</v>
      </c>
      <c r="B44" s="35" t="s">
        <v>60</v>
      </c>
      <c r="C44" s="45">
        <v>0.08</v>
      </c>
      <c r="D44" s="46">
        <f>ROUND(C44*($D$23+$D$33),2)</f>
        <v>376.04</v>
      </c>
    </row>
    <row r="45" spans="1:4">
      <c r="A45" s="47" t="s">
        <v>39</v>
      </c>
      <c r="B45" s="48"/>
      <c r="C45" s="49">
        <f>SUM(C37:C44)</f>
        <v>0.34800000000000003</v>
      </c>
      <c r="D45" s="50">
        <f>SUM(D37:D44)</f>
        <v>1635.7500000000002</v>
      </c>
    </row>
    <row r="46" spans="1:4">
      <c r="A46" s="51"/>
      <c r="B46" s="51"/>
      <c r="C46" s="51"/>
      <c r="D46" s="51"/>
    </row>
    <row r="47" spans="1:4">
      <c r="A47" s="241" t="s">
        <v>61</v>
      </c>
      <c r="B47" s="242"/>
      <c r="C47" s="242"/>
      <c r="D47" s="242"/>
    </row>
    <row r="48" spans="1:4">
      <c r="A48" s="31" t="s">
        <v>62</v>
      </c>
      <c r="B48" s="44" t="s">
        <v>63</v>
      </c>
      <c r="C48" s="33"/>
      <c r="D48" s="34" t="s">
        <v>16</v>
      </c>
    </row>
    <row r="49" spans="1:6">
      <c r="A49" s="52" t="s">
        <v>17</v>
      </c>
      <c r="B49" s="35" t="s">
        <v>64</v>
      </c>
      <c r="C49" s="53"/>
      <c r="D49" s="46">
        <f>+'Men Cal Encarregado seg a sab'!C16</f>
        <v>29.7</v>
      </c>
    </row>
    <row r="50" spans="1:6" s="57" customFormat="1">
      <c r="A50" s="54" t="s">
        <v>65</v>
      </c>
      <c r="B50" s="55" t="s">
        <v>66</v>
      </c>
      <c r="C50" s="36"/>
      <c r="D50" s="56"/>
      <c r="F50" s="58"/>
    </row>
    <row r="51" spans="1:6">
      <c r="A51" s="118" t="s">
        <v>19</v>
      </c>
      <c r="B51" s="101" t="s">
        <v>67</v>
      </c>
      <c r="C51" s="53"/>
      <c r="D51" s="102">
        <v>260</v>
      </c>
      <c r="F51" s="59"/>
    </row>
    <row r="52" spans="1:6" s="57" customFormat="1">
      <c r="A52" s="54" t="s">
        <v>46</v>
      </c>
      <c r="B52" s="55" t="s">
        <v>66</v>
      </c>
      <c r="C52" s="36"/>
      <c r="D52" s="56"/>
      <c r="F52" s="60"/>
    </row>
    <row r="53" spans="1:6" s="57" customFormat="1">
      <c r="A53" s="55" t="s">
        <v>21</v>
      </c>
      <c r="B53" s="55" t="s">
        <v>214</v>
      </c>
      <c r="C53" s="53"/>
      <c r="D53" s="70">
        <f>+'Men Cal Encarregado seg a sab'!C25</f>
        <v>54.79</v>
      </c>
      <c r="F53" s="60"/>
    </row>
    <row r="54" spans="1:6" s="57" customFormat="1">
      <c r="A54" s="54" t="s">
        <v>69</v>
      </c>
      <c r="B54" s="55" t="s">
        <v>66</v>
      </c>
      <c r="C54" s="36"/>
      <c r="D54" s="56"/>
      <c r="F54" s="60"/>
    </row>
    <row r="55" spans="1:6">
      <c r="A55" s="101" t="s">
        <v>23</v>
      </c>
      <c r="B55" s="101" t="s">
        <v>68</v>
      </c>
      <c r="C55" s="53"/>
      <c r="D55" s="102"/>
      <c r="F55" s="59"/>
    </row>
    <row r="56" spans="1:6">
      <c r="A56" s="54" t="s">
        <v>70</v>
      </c>
      <c r="B56" s="55" t="s">
        <v>66</v>
      </c>
      <c r="C56" s="36"/>
      <c r="D56" s="56"/>
      <c r="F56" s="59"/>
    </row>
    <row r="57" spans="1:6" ht="45">
      <c r="A57" s="101" t="s">
        <v>25</v>
      </c>
      <c r="B57" s="112" t="s">
        <v>227</v>
      </c>
      <c r="C57" s="53"/>
      <c r="D57" s="113">
        <f>+(C6*0.8%)/12</f>
        <v>2.0180866666666666</v>
      </c>
      <c r="F57" s="61"/>
    </row>
    <row r="58" spans="1:6">
      <c r="A58" s="54" t="s">
        <v>71</v>
      </c>
      <c r="B58" s="55" t="s">
        <v>66</v>
      </c>
      <c r="C58" s="36"/>
      <c r="D58" s="56"/>
    </row>
    <row r="59" spans="1:6">
      <c r="A59" s="101" t="s">
        <v>27</v>
      </c>
      <c r="B59" s="243" t="s">
        <v>72</v>
      </c>
      <c r="C59" s="243"/>
      <c r="D59" s="102">
        <v>4.8</v>
      </c>
    </row>
    <row r="60" spans="1:6">
      <c r="A60" s="54" t="s">
        <v>73</v>
      </c>
      <c r="B60" s="55" t="s">
        <v>66</v>
      </c>
      <c r="C60" s="36"/>
      <c r="D60" s="56"/>
    </row>
    <row r="61" spans="1:6">
      <c r="A61" s="217" t="s">
        <v>39</v>
      </c>
      <c r="B61" s="229"/>
      <c r="C61" s="62"/>
      <c r="D61" s="63">
        <f>SUM(D49:D60)</f>
        <v>351.30808666666667</v>
      </c>
    </row>
    <row r="63" spans="1:6">
      <c r="A63" s="222" t="s">
        <v>74</v>
      </c>
      <c r="B63" s="223"/>
      <c r="C63" s="223"/>
      <c r="D63" s="223"/>
    </row>
    <row r="64" spans="1:6">
      <c r="A64" s="64">
        <v>2</v>
      </c>
      <c r="B64" s="240" t="s">
        <v>75</v>
      </c>
      <c r="C64" s="240"/>
      <c r="D64" s="65" t="s">
        <v>16</v>
      </c>
    </row>
    <row r="65" spans="1:4">
      <c r="A65" s="66" t="s">
        <v>42</v>
      </c>
      <c r="B65" s="244" t="s">
        <v>43</v>
      </c>
      <c r="C65" s="244"/>
      <c r="D65" s="46">
        <f>+D33</f>
        <v>765.19</v>
      </c>
    </row>
    <row r="66" spans="1:4">
      <c r="A66" s="66" t="s">
        <v>51</v>
      </c>
      <c r="B66" s="244" t="s">
        <v>52</v>
      </c>
      <c r="C66" s="244"/>
      <c r="D66" s="46">
        <f>+D45</f>
        <v>1635.7500000000002</v>
      </c>
    </row>
    <row r="67" spans="1:4">
      <c r="A67" s="66" t="s">
        <v>62</v>
      </c>
      <c r="B67" s="244" t="s">
        <v>63</v>
      </c>
      <c r="C67" s="244"/>
      <c r="D67" s="67">
        <f>+D61</f>
        <v>351.30808666666667</v>
      </c>
    </row>
    <row r="68" spans="1:4">
      <c r="A68" s="240" t="s">
        <v>39</v>
      </c>
      <c r="B68" s="240"/>
      <c r="C68" s="240"/>
      <c r="D68" s="68">
        <f>SUM(D65:D67)</f>
        <v>2752.2480866666674</v>
      </c>
    </row>
    <row r="70" spans="1:4">
      <c r="A70" s="222" t="s">
        <v>76</v>
      </c>
      <c r="B70" s="223"/>
      <c r="C70" s="223"/>
      <c r="D70" s="223"/>
    </row>
    <row r="72" spans="1:4">
      <c r="A72" s="69">
        <v>3</v>
      </c>
      <c r="B72" s="32" t="s">
        <v>77</v>
      </c>
      <c r="C72" s="19" t="s">
        <v>15</v>
      </c>
      <c r="D72" s="19" t="s">
        <v>16</v>
      </c>
    </row>
    <row r="73" spans="1:4">
      <c r="A73" s="22" t="s">
        <v>17</v>
      </c>
      <c r="B73" s="55" t="s">
        <v>78</v>
      </c>
      <c r="C73" s="36">
        <f>+D73/$D$23</f>
        <v>8.332340178015785E-3</v>
      </c>
      <c r="D73" s="70">
        <f>+'Men Cal Encarregado seg a sab'!C32</f>
        <v>32.79</v>
      </c>
    </row>
    <row r="74" spans="1:4">
      <c r="A74" s="22" t="s">
        <v>19</v>
      </c>
      <c r="B74" s="35" t="s">
        <v>79</v>
      </c>
      <c r="C74" s="71"/>
      <c r="D74" s="28">
        <f>ROUND(+D73*$C$44,2)</f>
        <v>2.62</v>
      </c>
    </row>
    <row r="75" spans="1:4" ht="30">
      <c r="A75" s="22" t="s">
        <v>21</v>
      </c>
      <c r="B75" s="72" t="s">
        <v>80</v>
      </c>
      <c r="C75" s="45">
        <f>+D75/$D$23</f>
        <v>3.8218480108983652E-3</v>
      </c>
      <c r="D75" s="28">
        <f>+'Men Cal Encarregado seg a sab'!C46</f>
        <v>15.04</v>
      </c>
    </row>
    <row r="76" spans="1:4">
      <c r="A76" s="73" t="s">
        <v>23</v>
      </c>
      <c r="B76" s="35" t="s">
        <v>81</v>
      </c>
      <c r="C76" s="45">
        <f>+D76/$D$23</f>
        <v>1.9439585959689159E-3</v>
      </c>
      <c r="D76" s="28">
        <f>+'Men Cal Encarregado seg a sab'!C54</f>
        <v>7.65</v>
      </c>
    </row>
    <row r="77" spans="1:4" ht="30">
      <c r="A77" s="73" t="s">
        <v>25</v>
      </c>
      <c r="B77" s="72" t="s">
        <v>82</v>
      </c>
      <c r="C77" s="71"/>
      <c r="D77" s="74"/>
    </row>
    <row r="78" spans="1:4" ht="30">
      <c r="A78" s="73" t="s">
        <v>27</v>
      </c>
      <c r="B78" s="72" t="s">
        <v>83</v>
      </c>
      <c r="C78" s="45">
        <f>+D78/$D$23</f>
        <v>3.8218480108983652E-3</v>
      </c>
      <c r="D78" s="46">
        <f>+'Men Cal Encarregado seg a sab'!C68</f>
        <v>15.04</v>
      </c>
    </row>
    <row r="79" spans="1:4">
      <c r="A79" s="217" t="s">
        <v>39</v>
      </c>
      <c r="B79" s="218"/>
      <c r="C79" s="229"/>
      <c r="D79" s="75">
        <f>SUM(D73:D78)</f>
        <v>73.139999999999986</v>
      </c>
    </row>
    <row r="81" spans="1:4">
      <c r="A81" s="222" t="s">
        <v>84</v>
      </c>
      <c r="B81" s="223"/>
      <c r="C81" s="223"/>
      <c r="D81" s="223"/>
    </row>
    <row r="83" spans="1:4">
      <c r="A83" s="237" t="s">
        <v>85</v>
      </c>
      <c r="B83" s="237"/>
      <c r="C83" s="237"/>
      <c r="D83" s="237"/>
    </row>
    <row r="84" spans="1:4">
      <c r="A84" s="69" t="s">
        <v>86</v>
      </c>
      <c r="B84" s="217" t="s">
        <v>87</v>
      </c>
      <c r="C84" s="229"/>
      <c r="D84" s="19" t="s">
        <v>16</v>
      </c>
    </row>
    <row r="85" spans="1:4">
      <c r="A85" s="35" t="s">
        <v>17</v>
      </c>
      <c r="B85" s="224" t="s">
        <v>88</v>
      </c>
      <c r="C85" s="225"/>
      <c r="D85" s="28"/>
    </row>
    <row r="86" spans="1:4">
      <c r="A86" s="55" t="s">
        <v>19</v>
      </c>
      <c r="B86" s="238" t="s">
        <v>87</v>
      </c>
      <c r="C86" s="239"/>
      <c r="D86" s="76">
        <f>+'Men Cal Encarregado seg a sab'!C81</f>
        <v>10.93</v>
      </c>
    </row>
    <row r="87" spans="1:4" s="57" customFormat="1">
      <c r="A87" s="55" t="s">
        <v>21</v>
      </c>
      <c r="B87" s="238" t="s">
        <v>89</v>
      </c>
      <c r="C87" s="239"/>
      <c r="D87" s="76">
        <f>+'Men Cal Encarregado seg a sab'!C90</f>
        <v>0.79</v>
      </c>
    </row>
    <row r="88" spans="1:4" s="57" customFormat="1">
      <c r="A88" s="55" t="s">
        <v>23</v>
      </c>
      <c r="B88" s="238" t="s">
        <v>90</v>
      </c>
      <c r="C88" s="239"/>
      <c r="D88" s="76">
        <f>+'Men Cal Encarregado seg a sab'!C98</f>
        <v>13.12</v>
      </c>
    </row>
    <row r="89" spans="1:4" s="57" customFormat="1">
      <c r="A89" s="55" t="s">
        <v>25</v>
      </c>
      <c r="B89" s="238" t="s">
        <v>91</v>
      </c>
      <c r="C89" s="239"/>
      <c r="D89" s="76"/>
    </row>
    <row r="90" spans="1:4" s="57" customFormat="1">
      <c r="A90" s="55" t="s">
        <v>27</v>
      </c>
      <c r="B90" s="238" t="s">
        <v>92</v>
      </c>
      <c r="C90" s="239"/>
      <c r="D90" s="76">
        <f>+'Men Cal Encarregado seg a sab'!C106</f>
        <v>21.86</v>
      </c>
    </row>
    <row r="91" spans="1:4">
      <c r="A91" s="35" t="s">
        <v>29</v>
      </c>
      <c r="B91" s="224" t="s">
        <v>38</v>
      </c>
      <c r="C91" s="225"/>
      <c r="D91" s="28"/>
    </row>
    <row r="92" spans="1:4">
      <c r="A92" s="35" t="s">
        <v>31</v>
      </c>
      <c r="B92" s="224" t="s">
        <v>93</v>
      </c>
      <c r="C92" s="225"/>
      <c r="D92" s="74"/>
    </row>
    <row r="93" spans="1:4">
      <c r="A93" s="231" t="s">
        <v>39</v>
      </c>
      <c r="B93" s="231"/>
      <c r="C93" s="231"/>
      <c r="D93" s="30">
        <f>SUM(D85:D92)</f>
        <v>46.699999999999996</v>
      </c>
    </row>
    <row r="94" spans="1:4">
      <c r="D94" s="77"/>
    </row>
    <row r="95" spans="1:4">
      <c r="A95" s="69" t="s">
        <v>94</v>
      </c>
      <c r="B95" s="217" t="s">
        <v>95</v>
      </c>
      <c r="C95" s="229"/>
      <c r="D95" s="19" t="s">
        <v>16</v>
      </c>
    </row>
    <row r="96" spans="1:4" s="57" customFormat="1">
      <c r="A96" s="55" t="s">
        <v>17</v>
      </c>
      <c r="B96" s="232" t="s">
        <v>96</v>
      </c>
      <c r="C96" s="233"/>
      <c r="D96" s="76">
        <f>+'Men Cal Encarregado seg a sab'!C117</f>
        <v>0.1</v>
      </c>
    </row>
    <row r="97" spans="1:4" s="57" customFormat="1" ht="36.75" customHeight="1">
      <c r="A97" s="55" t="s">
        <v>19</v>
      </c>
      <c r="B97" s="234" t="s">
        <v>97</v>
      </c>
      <c r="C97" s="235"/>
      <c r="D97" s="74"/>
    </row>
    <row r="98" spans="1:4" s="57" customFormat="1" ht="28.5" customHeight="1">
      <c r="A98" s="55" t="s">
        <v>21</v>
      </c>
      <c r="B98" s="234" t="s">
        <v>98</v>
      </c>
      <c r="C98" s="235"/>
      <c r="D98" s="74"/>
    </row>
    <row r="99" spans="1:4">
      <c r="A99" s="35" t="s">
        <v>23</v>
      </c>
      <c r="B99" s="224" t="s">
        <v>38</v>
      </c>
      <c r="C99" s="225"/>
      <c r="D99" s="28"/>
    </row>
    <row r="100" spans="1:4">
      <c r="A100" s="231" t="s">
        <v>39</v>
      </c>
      <c r="B100" s="231"/>
      <c r="C100" s="231"/>
      <c r="D100" s="30">
        <f>SUM(D96:D99)</f>
        <v>0.1</v>
      </c>
    </row>
    <row r="101" spans="1:4">
      <c r="D101" s="77"/>
    </row>
    <row r="102" spans="1:4">
      <c r="A102" s="69" t="s">
        <v>99</v>
      </c>
      <c r="B102" s="231" t="s">
        <v>100</v>
      </c>
      <c r="C102" s="231"/>
      <c r="D102" s="19" t="s">
        <v>16</v>
      </c>
    </row>
    <row r="103" spans="1:4" s="79" customFormat="1">
      <c r="A103" s="73" t="s">
        <v>17</v>
      </c>
      <c r="B103" s="236" t="s">
        <v>101</v>
      </c>
      <c r="C103" s="236"/>
      <c r="D103" s="78"/>
    </row>
    <row r="104" spans="1:4">
      <c r="A104" s="231" t="s">
        <v>39</v>
      </c>
      <c r="B104" s="231"/>
      <c r="C104" s="231"/>
      <c r="D104" s="30">
        <f>SUM(D103:D103)</f>
        <v>0</v>
      </c>
    </row>
    <row r="106" spans="1:4">
      <c r="A106" s="83" t="s">
        <v>102</v>
      </c>
      <c r="B106" s="83"/>
      <c r="C106" s="83"/>
      <c r="D106" s="83"/>
    </row>
    <row r="107" spans="1:4">
      <c r="A107" s="35" t="s">
        <v>86</v>
      </c>
      <c r="B107" s="224" t="s">
        <v>87</v>
      </c>
      <c r="C107" s="225"/>
      <c r="D107" s="46">
        <f>+D93</f>
        <v>46.699999999999996</v>
      </c>
    </row>
    <row r="108" spans="1:4">
      <c r="A108" s="35" t="s">
        <v>94</v>
      </c>
      <c r="B108" s="224" t="s">
        <v>95</v>
      </c>
      <c r="C108" s="225"/>
      <c r="D108" s="46">
        <f>+D100</f>
        <v>0.1</v>
      </c>
    </row>
    <row r="109" spans="1:4">
      <c r="A109" s="81"/>
      <c r="B109" s="226" t="s">
        <v>103</v>
      </c>
      <c r="C109" s="227"/>
      <c r="D109" s="82">
        <f>+D108+D107</f>
        <v>46.8</v>
      </c>
    </row>
    <row r="110" spans="1:4">
      <c r="A110" s="35" t="s">
        <v>99</v>
      </c>
      <c r="B110" s="224" t="s">
        <v>100</v>
      </c>
      <c r="C110" s="225"/>
      <c r="D110" s="46">
        <f>+D104</f>
        <v>0</v>
      </c>
    </row>
    <row r="111" spans="1:4">
      <c r="A111" s="228" t="s">
        <v>39</v>
      </c>
      <c r="B111" s="228"/>
      <c r="C111" s="228"/>
      <c r="D111" s="84">
        <f>+D110+D109</f>
        <v>46.8</v>
      </c>
    </row>
    <row r="113" spans="1:4">
      <c r="A113" s="222" t="s">
        <v>104</v>
      </c>
      <c r="B113" s="223"/>
      <c r="C113" s="223"/>
      <c r="D113" s="223"/>
    </row>
    <row r="115" spans="1:4">
      <c r="A115" s="69">
        <v>5</v>
      </c>
      <c r="B115" s="217" t="s">
        <v>105</v>
      </c>
      <c r="C115" s="229"/>
      <c r="D115" s="19" t="s">
        <v>16</v>
      </c>
    </row>
    <row r="116" spans="1:4">
      <c r="A116" s="35" t="s">
        <v>17</v>
      </c>
      <c r="B116" s="230" t="s">
        <v>106</v>
      </c>
      <c r="C116" s="230"/>
      <c r="D116" s="28">
        <f>+Uniforme!F16</f>
        <v>126.36</v>
      </c>
    </row>
    <row r="117" spans="1:4">
      <c r="A117" s="35" t="s">
        <v>65</v>
      </c>
      <c r="B117" s="55" t="s">
        <v>66</v>
      </c>
      <c r="C117" s="36"/>
      <c r="D117" s="56"/>
    </row>
    <row r="118" spans="1:4">
      <c r="A118" s="35" t="s">
        <v>19</v>
      </c>
      <c r="B118" s="230" t="s">
        <v>107</v>
      </c>
      <c r="C118" s="230"/>
      <c r="D118" s="28"/>
    </row>
    <row r="119" spans="1:4">
      <c r="A119" s="35" t="s">
        <v>46</v>
      </c>
      <c r="B119" s="55" t="s">
        <v>66</v>
      </c>
      <c r="C119" s="36"/>
      <c r="D119" s="56"/>
    </row>
    <row r="120" spans="1:4">
      <c r="A120" s="35" t="s">
        <v>21</v>
      </c>
      <c r="B120" s="230" t="s">
        <v>108</v>
      </c>
      <c r="C120" s="230"/>
      <c r="D120" s="28">
        <f>+Ferramentas!$G$78</f>
        <v>25.69</v>
      </c>
    </row>
    <row r="121" spans="1:4">
      <c r="A121" s="35" t="s">
        <v>69</v>
      </c>
      <c r="B121" s="55" t="s">
        <v>66</v>
      </c>
      <c r="C121" s="36"/>
      <c r="D121" s="56"/>
    </row>
    <row r="122" spans="1:4">
      <c r="A122" s="35" t="s">
        <v>23</v>
      </c>
      <c r="B122" s="230" t="s">
        <v>38</v>
      </c>
      <c r="C122" s="230"/>
      <c r="D122" s="28"/>
    </row>
    <row r="123" spans="1:4">
      <c r="A123" s="35" t="s">
        <v>70</v>
      </c>
      <c r="B123" s="55" t="s">
        <v>66</v>
      </c>
      <c r="C123" s="36"/>
      <c r="D123" s="56"/>
    </row>
    <row r="124" spans="1:4">
      <c r="A124" s="231" t="s">
        <v>39</v>
      </c>
      <c r="B124" s="231"/>
      <c r="C124" s="231"/>
      <c r="D124" s="30">
        <f>SUM(D116:D122)</f>
        <v>152.05000000000001</v>
      </c>
    </row>
    <row r="126" spans="1:4">
      <c r="A126" s="222" t="s">
        <v>109</v>
      </c>
      <c r="B126" s="223"/>
      <c r="C126" s="223"/>
      <c r="D126" s="223"/>
    </row>
    <row r="128" spans="1:4">
      <c r="A128" s="69">
        <v>6</v>
      </c>
      <c r="B128" s="32" t="s">
        <v>110</v>
      </c>
      <c r="C128" s="85" t="s">
        <v>15</v>
      </c>
      <c r="D128" s="19" t="s">
        <v>16</v>
      </c>
    </row>
    <row r="129" spans="1:7">
      <c r="A129" s="101" t="s">
        <v>17</v>
      </c>
      <c r="B129" s="101" t="s">
        <v>111</v>
      </c>
      <c r="C129" s="308">
        <f>Apresentação!F55</f>
        <v>3.3953999999999998E-2</v>
      </c>
      <c r="D129" s="102">
        <f>($D$124+$D$111+$D$79+$D$68+$D$23)*C129</f>
        <v>236.30310362068002</v>
      </c>
    </row>
    <row r="130" spans="1:7">
      <c r="A130" s="101" t="s">
        <v>19</v>
      </c>
      <c r="B130" s="101" t="s">
        <v>112</v>
      </c>
      <c r="C130" s="308">
        <f>Apresentação!F56</f>
        <v>3.3953999999999998E-2</v>
      </c>
      <c r="D130" s="102">
        <f>($D$124+$D$111+$D$79+$D$68+$D$23+D129)*C130</f>
        <v>244.3265392010166</v>
      </c>
    </row>
    <row r="131" spans="1:7" s="87" customFormat="1" ht="12.75">
      <c r="A131" s="211" t="s">
        <v>113</v>
      </c>
      <c r="B131" s="212"/>
      <c r="C131" s="213"/>
      <c r="D131" s="86">
        <f>++D130+D129+D124+D111+D79+D68+D23</f>
        <v>7440.1367294883639</v>
      </c>
    </row>
    <row r="132" spans="1:7" s="87" customFormat="1" ht="33" customHeight="1">
      <c r="A132" s="214" t="s">
        <v>114</v>
      </c>
      <c r="B132" s="215"/>
      <c r="C132" s="216"/>
      <c r="D132" s="86">
        <f>ROUND(D131/(1-(C135+C136+C138+C140+C141)),2)</f>
        <v>8144.65</v>
      </c>
    </row>
    <row r="133" spans="1:7">
      <c r="A133" s="35" t="s">
        <v>21</v>
      </c>
      <c r="B133" s="35" t="s">
        <v>115</v>
      </c>
      <c r="C133" s="45"/>
      <c r="D133" s="35"/>
    </row>
    <row r="134" spans="1:7">
      <c r="A134" s="35" t="s">
        <v>69</v>
      </c>
      <c r="B134" s="35" t="s">
        <v>116</v>
      </c>
      <c r="C134" s="45"/>
      <c r="D134" s="35"/>
    </row>
    <row r="135" spans="1:7">
      <c r="A135" s="101" t="s">
        <v>117</v>
      </c>
      <c r="B135" s="101" t="s">
        <v>118</v>
      </c>
      <c r="C135" s="103">
        <v>6.4999999999999997E-3</v>
      </c>
      <c r="D135" s="102">
        <f>ROUND(C135*$D$132,2)</f>
        <v>52.94</v>
      </c>
      <c r="G135" s="88"/>
    </row>
    <row r="136" spans="1:7">
      <c r="A136" s="101" t="s">
        <v>119</v>
      </c>
      <c r="B136" s="101" t="s">
        <v>120</v>
      </c>
      <c r="C136" s="103">
        <v>0.03</v>
      </c>
      <c r="D136" s="102">
        <f>ROUND(C136*$D$132,2)</f>
        <v>244.34</v>
      </c>
      <c r="G136" s="88"/>
    </row>
    <row r="137" spans="1:7">
      <c r="A137" s="35" t="s">
        <v>121</v>
      </c>
      <c r="B137" s="35" t="s">
        <v>122</v>
      </c>
      <c r="C137" s="45"/>
      <c r="D137" s="46"/>
      <c r="G137" s="88"/>
    </row>
    <row r="138" spans="1:7">
      <c r="A138" s="35" t="s">
        <v>123</v>
      </c>
      <c r="B138" s="35" t="s">
        <v>124</v>
      </c>
      <c r="C138" s="45"/>
      <c r="D138" s="35"/>
      <c r="G138" s="88"/>
    </row>
    <row r="139" spans="1:7">
      <c r="A139" s="35" t="s">
        <v>125</v>
      </c>
      <c r="B139" s="35" t="s">
        <v>126</v>
      </c>
      <c r="C139" s="45"/>
      <c r="D139" s="35"/>
    </row>
    <row r="140" spans="1:7">
      <c r="A140" s="101" t="s">
        <v>127</v>
      </c>
      <c r="B140" s="101" t="s">
        <v>128</v>
      </c>
      <c r="C140" s="103">
        <v>0.05</v>
      </c>
      <c r="D140" s="102">
        <f>ROUND(C140*$D$132,2)</f>
        <v>407.23</v>
      </c>
    </row>
    <row r="141" spans="1:7">
      <c r="A141" s="35" t="s">
        <v>129</v>
      </c>
      <c r="B141" s="35" t="s">
        <v>130</v>
      </c>
      <c r="C141" s="45"/>
      <c r="D141" s="35"/>
    </row>
    <row r="142" spans="1:7">
      <c r="A142" s="217" t="s">
        <v>39</v>
      </c>
      <c r="B142" s="218"/>
      <c r="C142" s="89">
        <f>+C141+C140+C138+C136+C135+C130+C129</f>
        <v>0.15440799999999999</v>
      </c>
      <c r="D142" s="30">
        <f>+D140+D138+D136+D135+D130+D129</f>
        <v>1185.1396428216967</v>
      </c>
    </row>
    <row r="144" spans="1:7">
      <c r="A144" s="219" t="s">
        <v>131</v>
      </c>
      <c r="B144" s="219"/>
      <c r="C144" s="219"/>
      <c r="D144" s="219"/>
    </row>
    <row r="145" spans="1:5">
      <c r="A145" s="35" t="s">
        <v>17</v>
      </c>
      <c r="B145" s="220" t="s">
        <v>132</v>
      </c>
      <c r="C145" s="220"/>
      <c r="D145" s="28">
        <f>+D23</f>
        <v>3935.2690000000002</v>
      </c>
    </row>
    <row r="146" spans="1:5">
      <c r="A146" s="35" t="s">
        <v>133</v>
      </c>
      <c r="B146" s="220" t="s">
        <v>134</v>
      </c>
      <c r="C146" s="220"/>
      <c r="D146" s="28">
        <f>+D68</f>
        <v>2752.2480866666674</v>
      </c>
    </row>
    <row r="147" spans="1:5">
      <c r="A147" s="35" t="s">
        <v>21</v>
      </c>
      <c r="B147" s="220" t="s">
        <v>135</v>
      </c>
      <c r="C147" s="220"/>
      <c r="D147" s="28">
        <f>+D79</f>
        <v>73.139999999999986</v>
      </c>
    </row>
    <row r="148" spans="1:5">
      <c r="A148" s="35" t="s">
        <v>23</v>
      </c>
      <c r="B148" s="220" t="s">
        <v>136</v>
      </c>
      <c r="C148" s="220"/>
      <c r="D148" s="28">
        <f>+D111</f>
        <v>46.8</v>
      </c>
    </row>
    <row r="149" spans="1:5">
      <c r="A149" s="35" t="s">
        <v>25</v>
      </c>
      <c r="B149" s="220" t="s">
        <v>137</v>
      </c>
      <c r="C149" s="220"/>
      <c r="D149" s="28">
        <f>+D124</f>
        <v>152.05000000000001</v>
      </c>
    </row>
    <row r="150" spans="1:5">
      <c r="B150" s="221" t="s">
        <v>138</v>
      </c>
      <c r="C150" s="221"/>
      <c r="D150" s="90">
        <f>SUM(D145:D149)</f>
        <v>6959.5070866666683</v>
      </c>
    </row>
    <row r="151" spans="1:5">
      <c r="A151" s="35" t="s">
        <v>27</v>
      </c>
      <c r="B151" s="220" t="s">
        <v>139</v>
      </c>
      <c r="C151" s="220"/>
      <c r="D151" s="28">
        <f>+D142</f>
        <v>1185.1396428216967</v>
      </c>
    </row>
    <row r="153" spans="1:5">
      <c r="A153" s="210" t="s">
        <v>140</v>
      </c>
      <c r="B153" s="210"/>
      <c r="C153" s="210"/>
      <c r="D153" s="91">
        <f>ROUND(+D151+D150,2)</f>
        <v>8144.65</v>
      </c>
    </row>
    <row r="155" spans="1:5">
      <c r="A155" s="93" t="s">
        <v>215</v>
      </c>
      <c r="B155" s="93"/>
      <c r="C155" s="93"/>
      <c r="D155" s="93"/>
      <c r="E155" s="93"/>
    </row>
    <row r="156" spans="1:5">
      <c r="A156" s="93" t="s">
        <v>238</v>
      </c>
      <c r="B156" s="93"/>
      <c r="C156" s="93"/>
      <c r="D156" s="93"/>
      <c r="E156" s="93"/>
    </row>
    <row r="157" spans="1:5">
      <c r="A157" s="93"/>
      <c r="B157" s="93"/>
      <c r="C157" s="93"/>
      <c r="D157" s="93"/>
      <c r="E157" s="93"/>
    </row>
    <row r="158" spans="1:5">
      <c r="A158" s="93"/>
      <c r="B158" s="93"/>
      <c r="C158" s="93"/>
      <c r="D158" s="93"/>
      <c r="E158" s="93"/>
    </row>
    <row r="159" spans="1:5">
      <c r="A159" s="93"/>
      <c r="B159" s="93"/>
      <c r="C159" s="93"/>
      <c r="D159" s="93"/>
      <c r="E159" s="93"/>
    </row>
    <row r="160" spans="1:5">
      <c r="A160" s="93"/>
      <c r="B160" s="93"/>
      <c r="C160" s="93"/>
      <c r="D160" s="93"/>
      <c r="E160" s="93"/>
    </row>
    <row r="161" spans="1:5">
      <c r="A161" s="93"/>
      <c r="B161" s="93"/>
      <c r="C161" s="93"/>
      <c r="D161" s="93"/>
      <c r="E161" s="93"/>
    </row>
    <row r="162" spans="1:5">
      <c r="A162" s="93"/>
      <c r="B162" s="93"/>
      <c r="C162" s="93"/>
      <c r="D162" s="93"/>
      <c r="E162" s="93"/>
    </row>
    <row r="163" spans="1:5">
      <c r="A163" s="93"/>
      <c r="B163" s="93"/>
      <c r="C163" s="93"/>
      <c r="D163" s="93"/>
      <c r="E163" s="93"/>
    </row>
    <row r="164" spans="1:5">
      <c r="A164" s="93"/>
      <c r="B164" s="93"/>
      <c r="C164" s="93"/>
      <c r="D164" s="93"/>
      <c r="E164" s="93"/>
    </row>
    <row r="165" spans="1:5">
      <c r="A165" s="93"/>
      <c r="B165" s="93"/>
      <c r="C165" s="93"/>
      <c r="D165" s="93"/>
      <c r="E165" s="93"/>
    </row>
    <row r="166" spans="1:5">
      <c r="A166" s="93"/>
      <c r="B166" s="93"/>
      <c r="C166" s="93"/>
      <c r="D166" s="93"/>
      <c r="E166" s="93"/>
    </row>
    <row r="167" spans="1:5">
      <c r="A167" s="93"/>
      <c r="B167" s="93"/>
      <c r="C167" s="93"/>
      <c r="D167" s="93"/>
      <c r="E167" s="93"/>
    </row>
  </sheetData>
  <mergeCells count="78"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C7:D7"/>
    <mergeCell ref="A1:D1"/>
    <mergeCell ref="A3:D3"/>
    <mergeCell ref="C4:D4"/>
    <mergeCell ref="C5:D5"/>
    <mergeCell ref="C6:D6"/>
  </mergeCells>
  <pageMargins left="1.41" right="0.51181102362204722" top="0.31" bottom="0.5" header="0.31496062992125984" footer="0.31496062992125984"/>
  <pageSetup paperSize="9" scale="80" orientation="portrait" r:id="rId1"/>
  <headerFoot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C132"/>
  <sheetViews>
    <sheetView workbookViewId="0">
      <selection sqref="A1:C1"/>
    </sheetView>
  </sheetViews>
  <sheetFormatPr defaultRowHeight="15"/>
  <cols>
    <col min="1" max="1" width="73.7109375" customWidth="1"/>
    <col min="2" max="2" width="14" bestFit="1" customWidth="1"/>
    <col min="3" max="3" width="13.7109375" bestFit="1" customWidth="1"/>
    <col min="4" max="4" width="10.7109375" bestFit="1" customWidth="1"/>
    <col min="5" max="5" width="79" customWidth="1"/>
  </cols>
  <sheetData>
    <row r="1" spans="1:3" ht="38.25" customHeight="1">
      <c r="A1" s="307" t="s">
        <v>250</v>
      </c>
      <c r="B1" s="307"/>
      <c r="C1" s="307"/>
    </row>
    <row r="3" spans="1:3">
      <c r="A3" s="35" t="s">
        <v>141</v>
      </c>
      <c r="B3" s="35">
        <v>220</v>
      </c>
    </row>
    <row r="4" spans="1:3">
      <c r="A4" s="35" t="s">
        <v>142</v>
      </c>
      <c r="B4" s="35">
        <v>365.25</v>
      </c>
    </row>
    <row r="5" spans="1:3">
      <c r="A5" s="35" t="s">
        <v>143</v>
      </c>
      <c r="B5" s="94">
        <f>(365.25/12)/(7/6)</f>
        <v>26.089285714285712</v>
      </c>
    </row>
    <row r="6" spans="1:3">
      <c r="A6" s="55" t="s">
        <v>18</v>
      </c>
      <c r="B6" s="46">
        <f>+'Encarregado seg a sab'!D12</f>
        <v>3027.13</v>
      </c>
    </row>
    <row r="7" spans="1:3">
      <c r="A7" s="55" t="s">
        <v>144</v>
      </c>
      <c r="B7" s="46">
        <f>+'Encarregado seg a sab'!D23</f>
        <v>3935.2690000000002</v>
      </c>
    </row>
    <row r="9" spans="1:3">
      <c r="A9" s="262" t="s">
        <v>145</v>
      </c>
      <c r="B9" s="263"/>
      <c r="C9" s="264"/>
    </row>
    <row r="10" spans="1:3">
      <c r="A10" s="35" t="s">
        <v>146</v>
      </c>
      <c r="B10" s="35">
        <f>+$B$4</f>
        <v>365.25</v>
      </c>
      <c r="C10" s="71"/>
    </row>
    <row r="11" spans="1:3">
      <c r="A11" s="35" t="s">
        <v>147</v>
      </c>
      <c r="B11" s="55">
        <v>12</v>
      </c>
      <c r="C11" s="71"/>
    </row>
    <row r="12" spans="1:3">
      <c r="A12" s="35" t="s">
        <v>148</v>
      </c>
      <c r="B12" s="45">
        <v>1</v>
      </c>
      <c r="C12" s="71"/>
    </row>
    <row r="13" spans="1:3">
      <c r="A13" s="55" t="s">
        <v>149</v>
      </c>
      <c r="B13" s="94">
        <f>(365.25/12)/(7/6)</f>
        <v>26.089285714285712</v>
      </c>
      <c r="C13" s="71"/>
    </row>
    <row r="14" spans="1:3">
      <c r="A14" s="101" t="s">
        <v>150</v>
      </c>
      <c r="B14" s="114">
        <v>4.05</v>
      </c>
      <c r="C14" s="71"/>
    </row>
    <row r="15" spans="1:3">
      <c r="A15" s="35" t="s">
        <v>151</v>
      </c>
      <c r="B15" s="45">
        <v>0.06</v>
      </c>
      <c r="C15" s="71"/>
    </row>
    <row r="16" spans="1:3">
      <c r="A16" s="258" t="s">
        <v>152</v>
      </c>
      <c r="B16" s="260"/>
      <c r="C16" s="92">
        <f>ROUND((B13*(B14*2)-($B$6*B15)),2)</f>
        <v>29.7</v>
      </c>
    </row>
    <row r="18" spans="1:3">
      <c r="A18" s="262" t="s">
        <v>211</v>
      </c>
      <c r="B18" s="263"/>
      <c r="C18" s="264"/>
    </row>
    <row r="19" spans="1:3">
      <c r="A19" s="35" t="s">
        <v>146</v>
      </c>
      <c r="B19" s="35">
        <f>+$B$4</f>
        <v>365.25</v>
      </c>
      <c r="C19" s="71"/>
    </row>
    <row r="20" spans="1:3">
      <c r="A20" s="35" t="s">
        <v>147</v>
      </c>
      <c r="B20" s="55">
        <v>12</v>
      </c>
      <c r="C20" s="71"/>
    </row>
    <row r="21" spans="1:3">
      <c r="A21" s="35" t="s">
        <v>148</v>
      </c>
      <c r="B21" s="45">
        <v>1</v>
      </c>
      <c r="C21" s="71"/>
    </row>
    <row r="22" spans="1:3">
      <c r="A22" s="55" t="s">
        <v>212</v>
      </c>
      <c r="B22" s="94">
        <f>(365.25/12)/(7/6)</f>
        <v>26.089285714285712</v>
      </c>
      <c r="C22" s="71"/>
    </row>
    <row r="23" spans="1:3">
      <c r="A23" s="101" t="s">
        <v>213</v>
      </c>
      <c r="B23" s="114">
        <v>2.1</v>
      </c>
      <c r="C23" s="71"/>
    </row>
    <row r="24" spans="1:3">
      <c r="A24" s="35" t="s">
        <v>154</v>
      </c>
      <c r="B24" s="45">
        <v>0</v>
      </c>
      <c r="C24" s="71"/>
    </row>
    <row r="25" spans="1:3">
      <c r="A25" s="258" t="s">
        <v>153</v>
      </c>
      <c r="B25" s="260"/>
      <c r="C25" s="92">
        <f>ROUND((B22*(B23)-((B22*B23)*B24)),2)</f>
        <v>54.79</v>
      </c>
    </row>
    <row r="28" spans="1:3">
      <c r="A28" s="262" t="s">
        <v>155</v>
      </c>
      <c r="B28" s="263"/>
      <c r="C28" s="264"/>
    </row>
    <row r="29" spans="1:3">
      <c r="A29" s="35" t="s">
        <v>156</v>
      </c>
      <c r="B29" s="46">
        <f>+B7</f>
        <v>3935.2690000000002</v>
      </c>
      <c r="C29" s="71"/>
    </row>
    <row r="30" spans="1:3">
      <c r="A30" s="35" t="s">
        <v>157</v>
      </c>
      <c r="B30" s="35">
        <v>12</v>
      </c>
      <c r="C30" s="71"/>
    </row>
    <row r="31" spans="1:3">
      <c r="A31" s="101" t="s">
        <v>158</v>
      </c>
      <c r="B31" s="103">
        <v>0.1</v>
      </c>
      <c r="C31" s="71"/>
    </row>
    <row r="32" spans="1:3">
      <c r="A32" s="258" t="s">
        <v>159</v>
      </c>
      <c r="B32" s="260"/>
      <c r="C32" s="92">
        <f>ROUND(+(B29/B30)*B31,2)</f>
        <v>32.79</v>
      </c>
    </row>
    <row r="34" spans="1:3">
      <c r="A34" s="265" t="s">
        <v>160</v>
      </c>
      <c r="B34" s="266"/>
      <c r="C34" s="267"/>
    </row>
    <row r="35" spans="1:3" s="57" customFormat="1">
      <c r="A35" s="115" t="s">
        <v>161</v>
      </c>
      <c r="B35" s="103">
        <f>+B31</f>
        <v>0.1</v>
      </c>
      <c r="C35" s="71"/>
    </row>
    <row r="36" spans="1:3">
      <c r="A36" s="35" t="s">
        <v>162</v>
      </c>
      <c r="B36" s="46">
        <f>+'Encarregado seg a sab'!$D$23</f>
        <v>3935.2690000000002</v>
      </c>
      <c r="C36" s="71"/>
    </row>
    <row r="37" spans="1:3">
      <c r="A37" s="35" t="s">
        <v>44</v>
      </c>
      <c r="B37" s="46">
        <f>+'Encarregado seg a sab'!$D$29</f>
        <v>327.94</v>
      </c>
      <c r="C37" s="71"/>
    </row>
    <row r="38" spans="1:3">
      <c r="A38" s="95" t="s">
        <v>47</v>
      </c>
      <c r="B38" s="46">
        <f>+'Encarregado seg a sab'!$D$31</f>
        <v>327.94</v>
      </c>
      <c r="C38" s="71"/>
    </row>
    <row r="39" spans="1:3">
      <c r="A39" s="95" t="s">
        <v>49</v>
      </c>
      <c r="B39" s="46">
        <f>+'Encarregado seg a sab'!$D$32</f>
        <v>109.31</v>
      </c>
      <c r="C39" s="71"/>
    </row>
    <row r="40" spans="1:3">
      <c r="A40" s="96" t="s">
        <v>163</v>
      </c>
      <c r="B40" s="97">
        <f>SUM(B36:B39)</f>
        <v>4700.4589999999998</v>
      </c>
      <c r="C40" s="71"/>
    </row>
    <row r="41" spans="1:3">
      <c r="A41" s="66" t="s">
        <v>164</v>
      </c>
      <c r="B41" s="45">
        <v>0.4</v>
      </c>
      <c r="C41" s="71"/>
    </row>
    <row r="42" spans="1:3">
      <c r="A42" s="66" t="s">
        <v>165</v>
      </c>
      <c r="B42" s="45">
        <f>+'Encarregado seg a sab'!$C$44</f>
        <v>0.08</v>
      </c>
      <c r="C42" s="71"/>
    </row>
    <row r="43" spans="1:3">
      <c r="A43" s="226" t="s">
        <v>166</v>
      </c>
      <c r="B43" s="227"/>
      <c r="C43" s="82">
        <f>ROUND(+B40*B41*B42*B35,2)</f>
        <v>15.04</v>
      </c>
    </row>
    <row r="44" spans="1:3">
      <c r="A44" s="66" t="s">
        <v>167</v>
      </c>
      <c r="B44" s="141">
        <v>0</v>
      </c>
      <c r="C44" s="71"/>
    </row>
    <row r="45" spans="1:3">
      <c r="A45" s="226" t="s">
        <v>168</v>
      </c>
      <c r="B45" s="227"/>
      <c r="C45" s="98">
        <f>ROUND(B44*B42*B40*B35,2)</f>
        <v>0</v>
      </c>
    </row>
    <row r="46" spans="1:3">
      <c r="A46" s="258" t="s">
        <v>169</v>
      </c>
      <c r="B46" s="260"/>
      <c r="C46" s="84">
        <f>+C45+C43</f>
        <v>15.04</v>
      </c>
    </row>
    <row r="48" spans="1:3">
      <c r="A48" s="262" t="s">
        <v>170</v>
      </c>
      <c r="B48" s="263"/>
      <c r="C48" s="264"/>
    </row>
    <row r="49" spans="1:3">
      <c r="A49" s="35" t="s">
        <v>156</v>
      </c>
      <c r="B49" s="46">
        <f>+B7</f>
        <v>3935.2690000000002</v>
      </c>
      <c r="C49" s="71"/>
    </row>
    <row r="50" spans="1:3">
      <c r="A50" s="35" t="s">
        <v>171</v>
      </c>
      <c r="B50" s="99">
        <v>30</v>
      </c>
      <c r="C50" s="71"/>
    </row>
    <row r="51" spans="1:3">
      <c r="A51" s="35" t="s">
        <v>157</v>
      </c>
      <c r="B51" s="35">
        <v>12</v>
      </c>
      <c r="C51" s="71"/>
    </row>
    <row r="52" spans="1:3">
      <c r="A52" s="35" t="s">
        <v>172</v>
      </c>
      <c r="B52" s="35">
        <v>7</v>
      </c>
      <c r="C52" s="71"/>
    </row>
    <row r="53" spans="1:3">
      <c r="A53" s="101" t="s">
        <v>173</v>
      </c>
      <c r="B53" s="103">
        <v>0.1</v>
      </c>
      <c r="C53" s="71"/>
    </row>
    <row r="54" spans="1:3">
      <c r="A54" s="258" t="s">
        <v>174</v>
      </c>
      <c r="B54" s="260"/>
      <c r="C54" s="92">
        <f>+ROUND(((B49/B50/B51)*B52)*B53,2)</f>
        <v>7.65</v>
      </c>
    </row>
    <row r="56" spans="1:3">
      <c r="A56" s="265" t="s">
        <v>175</v>
      </c>
      <c r="B56" s="266"/>
      <c r="C56" s="267"/>
    </row>
    <row r="57" spans="1:3">
      <c r="A57" s="116" t="s">
        <v>176</v>
      </c>
      <c r="B57" s="103">
        <f>+B53</f>
        <v>0.1</v>
      </c>
      <c r="C57" s="71"/>
    </row>
    <row r="58" spans="1:3">
      <c r="A58" s="35" t="s">
        <v>162</v>
      </c>
      <c r="B58" s="46">
        <f>+'Encarregado seg a sab'!$D$23</f>
        <v>3935.2690000000002</v>
      </c>
      <c r="C58" s="71"/>
    </row>
    <row r="59" spans="1:3">
      <c r="A59" s="35" t="s">
        <v>44</v>
      </c>
      <c r="B59" s="46">
        <f>+'Encarregado seg a sab'!$D$29</f>
        <v>327.94</v>
      </c>
      <c r="C59" s="71"/>
    </row>
    <row r="60" spans="1:3">
      <c r="A60" s="95" t="s">
        <v>47</v>
      </c>
      <c r="B60" s="46">
        <f>+'Encarregado seg a sab'!$D$31</f>
        <v>327.94</v>
      </c>
      <c r="C60" s="71"/>
    </row>
    <row r="61" spans="1:3">
      <c r="A61" s="95" t="s">
        <v>49</v>
      </c>
      <c r="B61" s="46">
        <f>+'Encarregado seg a sab'!$D$32</f>
        <v>109.31</v>
      </c>
      <c r="C61" s="71"/>
    </row>
    <row r="62" spans="1:3">
      <c r="A62" s="96" t="s">
        <v>163</v>
      </c>
      <c r="B62" s="97">
        <f>SUM(B58:B61)</f>
        <v>4700.4589999999998</v>
      </c>
      <c r="C62" s="71"/>
    </row>
    <row r="63" spans="1:3">
      <c r="A63" s="66" t="s">
        <v>164</v>
      </c>
      <c r="B63" s="45">
        <v>0.4</v>
      </c>
      <c r="C63" s="71"/>
    </row>
    <row r="64" spans="1:3">
      <c r="A64" s="66" t="s">
        <v>165</v>
      </c>
      <c r="B64" s="45">
        <f>+'Encarregado seg a sab'!$C$44</f>
        <v>0.08</v>
      </c>
      <c r="C64" s="71"/>
    </row>
    <row r="65" spans="1:3">
      <c r="A65" s="226" t="s">
        <v>166</v>
      </c>
      <c r="B65" s="227"/>
      <c r="C65" s="82">
        <f>ROUND(+B62*B63*B64*B57,2)</f>
        <v>15.04</v>
      </c>
    </row>
    <row r="66" spans="1:3">
      <c r="A66" s="66" t="s">
        <v>167</v>
      </c>
      <c r="B66" s="141">
        <v>0</v>
      </c>
      <c r="C66" s="71"/>
    </row>
    <row r="67" spans="1:3">
      <c r="A67" s="226" t="s">
        <v>168</v>
      </c>
      <c r="B67" s="227"/>
      <c r="C67" s="98">
        <f>ROUND(B66*B64*B62*B57,2)</f>
        <v>0</v>
      </c>
    </row>
    <row r="68" spans="1:3">
      <c r="A68" s="258" t="s">
        <v>177</v>
      </c>
      <c r="B68" s="260"/>
      <c r="C68" s="84">
        <f>+C67+C65</f>
        <v>15.04</v>
      </c>
    </row>
    <row r="70" spans="1:3">
      <c r="A70" s="265" t="s">
        <v>178</v>
      </c>
      <c r="B70" s="266"/>
      <c r="C70" s="267"/>
    </row>
    <row r="71" spans="1:3">
      <c r="A71" s="271" t="s">
        <v>179</v>
      </c>
      <c r="B71" s="272"/>
      <c r="C71" s="273"/>
    </row>
    <row r="72" spans="1:3">
      <c r="A72" s="274"/>
      <c r="B72" s="275"/>
      <c r="C72" s="276"/>
    </row>
    <row r="73" spans="1:3">
      <c r="A73" s="274"/>
      <c r="B73" s="275"/>
      <c r="C73" s="276"/>
    </row>
    <row r="74" spans="1:3">
      <c r="A74" s="277"/>
      <c r="B74" s="278"/>
      <c r="C74" s="279"/>
    </row>
    <row r="75" spans="1:3">
      <c r="A75" s="100"/>
      <c r="B75" s="100"/>
      <c r="C75" s="100"/>
    </row>
    <row r="76" spans="1:3">
      <c r="A76" s="265" t="s">
        <v>180</v>
      </c>
      <c r="B76" s="266"/>
      <c r="C76" s="267"/>
    </row>
    <row r="77" spans="1:3">
      <c r="A77" s="35" t="s">
        <v>181</v>
      </c>
      <c r="B77" s="46">
        <f>+$B$7</f>
        <v>3935.2690000000002</v>
      </c>
      <c r="C77" s="71"/>
    </row>
    <row r="78" spans="1:3">
      <c r="A78" s="35" t="s">
        <v>147</v>
      </c>
      <c r="B78" s="35">
        <v>30</v>
      </c>
      <c r="C78" s="71"/>
    </row>
    <row r="79" spans="1:3">
      <c r="A79" s="35" t="s">
        <v>182</v>
      </c>
      <c r="B79" s="35">
        <v>12</v>
      </c>
      <c r="C79" s="71"/>
    </row>
    <row r="80" spans="1:3">
      <c r="A80" s="101" t="s">
        <v>183</v>
      </c>
      <c r="B80" s="101">
        <v>1</v>
      </c>
      <c r="C80" s="71"/>
    </row>
    <row r="81" spans="1:3">
      <c r="A81" s="258" t="s">
        <v>184</v>
      </c>
      <c r="B81" s="260"/>
      <c r="C81" s="64">
        <f>+ROUND((B77/B78/B79)*B80,2)</f>
        <v>10.93</v>
      </c>
    </row>
    <row r="83" spans="1:3">
      <c r="A83" s="265" t="s">
        <v>185</v>
      </c>
      <c r="B83" s="266"/>
      <c r="C83" s="267"/>
    </row>
    <row r="84" spans="1:3">
      <c r="A84" s="35" t="s">
        <v>181</v>
      </c>
      <c r="B84" s="46">
        <f>+$B$7</f>
        <v>3935.2690000000002</v>
      </c>
      <c r="C84" s="71"/>
    </row>
    <row r="85" spans="1:3">
      <c r="A85" s="35" t="s">
        <v>147</v>
      </c>
      <c r="B85" s="35">
        <v>30</v>
      </c>
      <c r="C85" s="71"/>
    </row>
    <row r="86" spans="1:3">
      <c r="A86" s="35" t="s">
        <v>182</v>
      </c>
      <c r="B86" s="35">
        <v>12</v>
      </c>
      <c r="C86" s="71"/>
    </row>
    <row r="87" spans="1:3">
      <c r="A87" s="55" t="s">
        <v>186</v>
      </c>
      <c r="B87" s="35">
        <v>5</v>
      </c>
      <c r="C87" s="71"/>
    </row>
    <row r="88" spans="1:3">
      <c r="A88" s="101" t="s">
        <v>187</v>
      </c>
      <c r="B88" s="103">
        <v>1.4999999999999999E-2</v>
      </c>
      <c r="C88" s="71"/>
    </row>
    <row r="89" spans="1:3">
      <c r="A89" s="101" t="s">
        <v>188</v>
      </c>
      <c r="B89" s="103">
        <v>0.96489999999999998</v>
      </c>
      <c r="C89" s="71"/>
    </row>
    <row r="90" spans="1:3">
      <c r="A90" s="258" t="s">
        <v>189</v>
      </c>
      <c r="B90" s="260"/>
      <c r="C90" s="92">
        <f>ROUND(+B84/B85/B86*B87*B88*B89,2)</f>
        <v>0.79</v>
      </c>
    </row>
    <row r="92" spans="1:3">
      <c r="A92" s="265" t="s">
        <v>190</v>
      </c>
      <c r="B92" s="266"/>
      <c r="C92" s="267"/>
    </row>
    <row r="93" spans="1:3">
      <c r="A93" s="35" t="s">
        <v>181</v>
      </c>
      <c r="B93" s="46">
        <f>+$B$7</f>
        <v>3935.2690000000002</v>
      </c>
      <c r="C93" s="71"/>
    </row>
    <row r="94" spans="1:3">
      <c r="A94" s="35" t="s">
        <v>147</v>
      </c>
      <c r="B94" s="35">
        <v>30</v>
      </c>
      <c r="C94" s="71"/>
    </row>
    <row r="95" spans="1:3">
      <c r="A95" s="35" t="s">
        <v>182</v>
      </c>
      <c r="B95" s="35">
        <v>12</v>
      </c>
      <c r="C95" s="71"/>
    </row>
    <row r="96" spans="1:3">
      <c r="A96" s="55" t="s">
        <v>191</v>
      </c>
      <c r="B96" s="35">
        <v>15</v>
      </c>
      <c r="C96" s="71"/>
    </row>
    <row r="97" spans="1:3">
      <c r="A97" s="101" t="s">
        <v>192</v>
      </c>
      <c r="B97" s="103">
        <v>0.08</v>
      </c>
      <c r="C97" s="71"/>
    </row>
    <row r="98" spans="1:3">
      <c r="A98" s="258" t="s">
        <v>193</v>
      </c>
      <c r="B98" s="260"/>
      <c r="C98" s="92">
        <f>ROUND(+B93/B94/B95*B96*B97,2)</f>
        <v>13.12</v>
      </c>
    </row>
    <row r="100" spans="1:3">
      <c r="A100" s="265" t="s">
        <v>194</v>
      </c>
      <c r="B100" s="266"/>
      <c r="C100" s="267"/>
    </row>
    <row r="101" spans="1:3">
      <c r="A101" s="35" t="s">
        <v>181</v>
      </c>
      <c r="B101" s="46">
        <f>+$B$7</f>
        <v>3935.2690000000002</v>
      </c>
      <c r="C101" s="71"/>
    </row>
    <row r="102" spans="1:3">
      <c r="A102" s="35" t="s">
        <v>147</v>
      </c>
      <c r="B102" s="35">
        <v>30</v>
      </c>
      <c r="C102" s="71"/>
    </row>
    <row r="103" spans="1:3">
      <c r="A103" s="35" t="s">
        <v>182</v>
      </c>
      <c r="B103" s="35">
        <v>12</v>
      </c>
      <c r="C103" s="71"/>
    </row>
    <row r="104" spans="1:3">
      <c r="A104" s="55" t="s">
        <v>191</v>
      </c>
      <c r="B104" s="35">
        <v>5</v>
      </c>
      <c r="C104" s="71"/>
    </row>
    <row r="105" spans="1:3">
      <c r="A105" s="101" t="s">
        <v>195</v>
      </c>
      <c r="B105" s="103">
        <v>0.4</v>
      </c>
      <c r="C105" s="71"/>
    </row>
    <row r="106" spans="1:3">
      <c r="A106" s="258" t="s">
        <v>196</v>
      </c>
      <c r="B106" s="260"/>
      <c r="C106" s="92">
        <f>ROUND(+B101/B102/B103*B104*B105,2)</f>
        <v>21.86</v>
      </c>
    </row>
    <row r="108" spans="1:3">
      <c r="A108" s="265" t="s">
        <v>197</v>
      </c>
      <c r="B108" s="266"/>
      <c r="C108" s="267"/>
    </row>
    <row r="109" spans="1:3">
      <c r="A109" s="268" t="s">
        <v>198</v>
      </c>
      <c r="B109" s="269"/>
      <c r="C109" s="270"/>
    </row>
    <row r="110" spans="1:3">
      <c r="A110" s="35" t="s">
        <v>181</v>
      </c>
      <c r="B110" s="46">
        <f>+$B$7</f>
        <v>3935.2690000000002</v>
      </c>
      <c r="C110" s="71"/>
    </row>
    <row r="111" spans="1:3">
      <c r="A111" s="35" t="s">
        <v>199</v>
      </c>
      <c r="B111" s="46">
        <f>+B110*(1/3)</f>
        <v>1311.7563333333333</v>
      </c>
      <c r="C111" s="71"/>
    </row>
    <row r="112" spans="1:3">
      <c r="A112" s="96" t="s">
        <v>163</v>
      </c>
      <c r="B112" s="97">
        <f>SUM(B110:B111)</f>
        <v>5247.025333333333</v>
      </c>
      <c r="C112" s="71"/>
    </row>
    <row r="113" spans="1:3">
      <c r="A113" s="35" t="s">
        <v>200</v>
      </c>
      <c r="B113" s="35">
        <v>4</v>
      </c>
      <c r="C113" s="71"/>
    </row>
    <row r="114" spans="1:3">
      <c r="A114" s="35" t="s">
        <v>182</v>
      </c>
      <c r="B114" s="35">
        <v>12</v>
      </c>
      <c r="C114" s="71"/>
    </row>
    <row r="115" spans="1:3">
      <c r="A115" s="101" t="s">
        <v>201</v>
      </c>
      <c r="B115" s="103">
        <v>0.02</v>
      </c>
      <c r="C115" s="71"/>
    </row>
    <row r="116" spans="1:3">
      <c r="A116" s="101" t="s">
        <v>202</v>
      </c>
      <c r="B116" s="103">
        <v>3.5099999999999999E-2</v>
      </c>
      <c r="C116" s="71"/>
    </row>
    <row r="117" spans="1:3">
      <c r="A117" s="258" t="s">
        <v>203</v>
      </c>
      <c r="B117" s="260"/>
      <c r="C117" s="92">
        <f>ROUND((((+B112*(B113/B114)/B114)*B115)*B116),2)</f>
        <v>0.1</v>
      </c>
    </row>
    <row r="118" spans="1:3">
      <c r="A118" s="258" t="s">
        <v>204</v>
      </c>
      <c r="B118" s="259"/>
      <c r="C118" s="260"/>
    </row>
    <row r="119" spans="1:3">
      <c r="A119" s="35" t="s">
        <v>181</v>
      </c>
      <c r="B119" s="46">
        <f>+'Encarregado seg a sab'!D23</f>
        <v>3935.2690000000002</v>
      </c>
      <c r="C119" s="71"/>
    </row>
    <row r="120" spans="1:3">
      <c r="A120" s="35" t="s">
        <v>44</v>
      </c>
      <c r="B120" s="46">
        <f>+'Encarregado seg a sab'!D29</f>
        <v>327.94</v>
      </c>
      <c r="C120" s="71"/>
    </row>
    <row r="121" spans="1:3">
      <c r="A121" s="96" t="s">
        <v>163</v>
      </c>
      <c r="B121" s="97">
        <f>SUM(B119:B120)</f>
        <v>4263.2089999999998</v>
      </c>
      <c r="C121" s="71"/>
    </row>
    <row r="122" spans="1:3">
      <c r="A122" s="35" t="s">
        <v>200</v>
      </c>
      <c r="B122" s="35">
        <v>4</v>
      </c>
      <c r="C122" s="71"/>
    </row>
    <row r="123" spans="1:3">
      <c r="A123" s="35" t="s">
        <v>182</v>
      </c>
      <c r="B123" s="35">
        <v>12</v>
      </c>
      <c r="C123" s="71"/>
    </row>
    <row r="124" spans="1:3">
      <c r="A124" s="101" t="s">
        <v>201</v>
      </c>
      <c r="B124" s="103">
        <f>+B115</f>
        <v>0.02</v>
      </c>
      <c r="C124" s="71"/>
    </row>
    <row r="125" spans="1:3">
      <c r="A125" s="101" t="s">
        <v>202</v>
      </c>
      <c r="B125" s="103">
        <f>+B116</f>
        <v>3.5099999999999999E-2</v>
      </c>
      <c r="C125" s="71"/>
    </row>
    <row r="126" spans="1:3">
      <c r="A126" s="55" t="s">
        <v>205</v>
      </c>
      <c r="B126" s="45">
        <f>+'Encarregado seg a sab'!C45</f>
        <v>0.34800000000000003</v>
      </c>
      <c r="C126" s="71"/>
    </row>
    <row r="127" spans="1:3">
      <c r="A127" s="258" t="s">
        <v>206</v>
      </c>
      <c r="B127" s="260"/>
      <c r="C127" s="84">
        <f>ROUND((((B121*(B122/B123)*B124)*B125)*B126),2)</f>
        <v>0.35</v>
      </c>
    </row>
    <row r="129" spans="1:3" ht="30.75" customHeight="1">
      <c r="A129" s="261" t="s">
        <v>251</v>
      </c>
      <c r="B129" s="261"/>
      <c r="C129" s="261"/>
    </row>
    <row r="130" spans="1:3">
      <c r="C130" s="77"/>
    </row>
    <row r="131" spans="1:3">
      <c r="C131" s="77"/>
    </row>
    <row r="132" spans="1:3">
      <c r="C132" s="77"/>
    </row>
  </sheetData>
  <mergeCells count="33">
    <mergeCell ref="A118:C118"/>
    <mergeCell ref="A127:B127"/>
    <mergeCell ref="A129:C129"/>
    <mergeCell ref="A98:B98"/>
    <mergeCell ref="A100:C100"/>
    <mergeCell ref="A106:B106"/>
    <mergeCell ref="A108:C108"/>
    <mergeCell ref="A109:C109"/>
    <mergeCell ref="A117:B117"/>
    <mergeCell ref="A92:C92"/>
    <mergeCell ref="A54:B54"/>
    <mergeCell ref="A56:C56"/>
    <mergeCell ref="A65:B65"/>
    <mergeCell ref="A67:B67"/>
    <mergeCell ref="A68:B68"/>
    <mergeCell ref="A70:C70"/>
    <mergeCell ref="A71:C74"/>
    <mergeCell ref="A76:C76"/>
    <mergeCell ref="A81:B81"/>
    <mergeCell ref="A83:C83"/>
    <mergeCell ref="A90:B90"/>
    <mergeCell ref="A48:C48"/>
    <mergeCell ref="A1:C1"/>
    <mergeCell ref="A9:C9"/>
    <mergeCell ref="A16:B16"/>
    <mergeCell ref="A18:C18"/>
    <mergeCell ref="A25:B25"/>
    <mergeCell ref="A28:C28"/>
    <mergeCell ref="A32:B32"/>
    <mergeCell ref="A34:C34"/>
    <mergeCell ref="A43:B43"/>
    <mergeCell ref="A45:B45"/>
    <mergeCell ref="A46:B46"/>
  </mergeCells>
  <pageMargins left="1.31" right="0.51181102362204722" top="0.33" bottom="0.45" header="0.31496062992125984" footer="0.31496062992125984"/>
  <pageSetup paperSize="9" scale="80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zoomScale="80" zoomScaleNormal="80" workbookViewId="0"/>
  </sheetViews>
  <sheetFormatPr defaultRowHeight="11.25"/>
  <cols>
    <col min="1" max="1" width="55.7109375" style="2" customWidth="1"/>
    <col min="2" max="2" width="5.85546875" style="2" customWidth="1"/>
    <col min="3" max="3" width="9.140625" style="2"/>
    <col min="4" max="4" width="11.42578125" style="2" customWidth="1"/>
    <col min="5" max="5" width="12.7109375" style="2" customWidth="1"/>
    <col min="6" max="6" width="11.42578125" style="2" customWidth="1"/>
    <col min="7" max="16384" width="9.140625" style="2"/>
  </cols>
  <sheetData>
    <row r="1" spans="1:6">
      <c r="A1" s="2" t="s">
        <v>265</v>
      </c>
    </row>
    <row r="2" spans="1:6" ht="22.5">
      <c r="A2" s="3" t="s">
        <v>0</v>
      </c>
      <c r="B2" s="4" t="s">
        <v>1</v>
      </c>
      <c r="C2" s="3" t="s">
        <v>2</v>
      </c>
      <c r="D2" s="5" t="s">
        <v>3</v>
      </c>
      <c r="E2" s="5" t="s">
        <v>264</v>
      </c>
      <c r="F2" s="5" t="s">
        <v>4</v>
      </c>
    </row>
    <row r="3" spans="1:6" ht="22.5">
      <c r="A3" s="125" t="s">
        <v>252</v>
      </c>
      <c r="B3" s="6">
        <f>+C3*2</f>
        <v>6</v>
      </c>
      <c r="C3" s="7">
        <v>3</v>
      </c>
      <c r="D3" s="166">
        <v>30.38</v>
      </c>
      <c r="E3" s="8">
        <f>+D3*C3</f>
        <v>91.14</v>
      </c>
      <c r="F3" s="8">
        <f>ROUNDDOWN(+E3/6,2)</f>
        <v>15.19</v>
      </c>
    </row>
    <row r="4" spans="1:6" ht="33.75">
      <c r="A4" s="125" t="s">
        <v>253</v>
      </c>
      <c r="B4" s="6">
        <f t="shared" ref="B4:B14" si="0">+C4*2</f>
        <v>12</v>
      </c>
      <c r="C4" s="7">
        <v>6</v>
      </c>
      <c r="D4" s="166">
        <v>38.340000000000003</v>
      </c>
      <c r="E4" s="8">
        <f t="shared" ref="E4:E15" si="1">+D4*C4</f>
        <v>230.04000000000002</v>
      </c>
      <c r="F4" s="8">
        <f t="shared" ref="F4:F15" si="2">ROUNDDOWN(+E4/6,2)</f>
        <v>38.340000000000003</v>
      </c>
    </row>
    <row r="5" spans="1:6" ht="22.5">
      <c r="A5" s="125" t="s">
        <v>254</v>
      </c>
      <c r="B5" s="6">
        <v>1</v>
      </c>
      <c r="C5" s="7">
        <v>1</v>
      </c>
      <c r="D5" s="166">
        <v>8.93</v>
      </c>
      <c r="E5" s="8">
        <f t="shared" si="1"/>
        <v>8.93</v>
      </c>
      <c r="F5" s="8">
        <f t="shared" si="2"/>
        <v>1.48</v>
      </c>
    </row>
    <row r="6" spans="1:6" ht="45">
      <c r="A6" s="125" t="s">
        <v>255</v>
      </c>
      <c r="B6" s="6">
        <f t="shared" si="0"/>
        <v>4</v>
      </c>
      <c r="C6" s="7">
        <v>2</v>
      </c>
      <c r="D6" s="166">
        <v>8.65</v>
      </c>
      <c r="E6" s="8">
        <f t="shared" si="1"/>
        <v>17.3</v>
      </c>
      <c r="F6" s="8">
        <f t="shared" si="2"/>
        <v>2.88</v>
      </c>
    </row>
    <row r="7" spans="1:6" ht="22.5">
      <c r="A7" s="125" t="s">
        <v>256</v>
      </c>
      <c r="B7" s="6">
        <f t="shared" si="0"/>
        <v>2</v>
      </c>
      <c r="C7" s="7">
        <v>1</v>
      </c>
      <c r="D7" s="166">
        <v>188.91</v>
      </c>
      <c r="E7" s="8">
        <f t="shared" si="1"/>
        <v>188.91</v>
      </c>
      <c r="F7" s="8">
        <f t="shared" si="2"/>
        <v>31.48</v>
      </c>
    </row>
    <row r="8" spans="1:6" ht="22.5">
      <c r="A8" s="125" t="s">
        <v>257</v>
      </c>
      <c r="B8" s="6">
        <f t="shared" si="0"/>
        <v>4</v>
      </c>
      <c r="C8" s="7">
        <v>2</v>
      </c>
      <c r="D8" s="166">
        <v>2.0699999999999998</v>
      </c>
      <c r="E8" s="8">
        <f t="shared" si="1"/>
        <v>4.1399999999999997</v>
      </c>
      <c r="F8" s="8">
        <f t="shared" si="2"/>
        <v>0.69</v>
      </c>
    </row>
    <row r="9" spans="1:6" ht="33.75">
      <c r="A9" s="125" t="s">
        <v>258</v>
      </c>
      <c r="B9" s="6">
        <f t="shared" si="0"/>
        <v>4</v>
      </c>
      <c r="C9" s="7">
        <v>2</v>
      </c>
      <c r="D9" s="166">
        <v>3.91</v>
      </c>
      <c r="E9" s="8">
        <f t="shared" si="1"/>
        <v>7.82</v>
      </c>
      <c r="F9" s="8">
        <f t="shared" si="2"/>
        <v>1.3</v>
      </c>
    </row>
    <row r="10" spans="1:6" ht="22.5">
      <c r="A10" s="125" t="s">
        <v>259</v>
      </c>
      <c r="B10" s="6">
        <v>1</v>
      </c>
      <c r="C10" s="7">
        <v>1</v>
      </c>
      <c r="D10" s="166">
        <v>18.72</v>
      </c>
      <c r="E10" s="8">
        <f t="shared" si="1"/>
        <v>18.72</v>
      </c>
      <c r="F10" s="8">
        <f t="shared" si="2"/>
        <v>3.12</v>
      </c>
    </row>
    <row r="11" spans="1:6" ht="22.5">
      <c r="A11" s="125" t="s">
        <v>260</v>
      </c>
      <c r="B11" s="6">
        <f t="shared" si="0"/>
        <v>2</v>
      </c>
      <c r="C11" s="7">
        <v>1</v>
      </c>
      <c r="D11" s="166">
        <v>81.37</v>
      </c>
      <c r="E11" s="8">
        <f t="shared" si="1"/>
        <v>81.37</v>
      </c>
      <c r="F11" s="8">
        <f t="shared" si="2"/>
        <v>13.56</v>
      </c>
    </row>
    <row r="12" spans="1:6" ht="22.5">
      <c r="A12" s="125" t="s">
        <v>261</v>
      </c>
      <c r="B12" s="6">
        <v>1</v>
      </c>
      <c r="C12" s="7">
        <v>1</v>
      </c>
      <c r="D12" s="166">
        <v>71.98</v>
      </c>
      <c r="E12" s="8">
        <f t="shared" si="1"/>
        <v>71.98</v>
      </c>
      <c r="F12" s="8">
        <f t="shared" si="2"/>
        <v>11.99</v>
      </c>
    </row>
    <row r="13" spans="1:6">
      <c r="A13" s="125" t="s">
        <v>262</v>
      </c>
      <c r="B13" s="6">
        <f t="shared" si="0"/>
        <v>40</v>
      </c>
      <c r="C13" s="7">
        <v>20</v>
      </c>
      <c r="D13" s="166">
        <v>0.93</v>
      </c>
      <c r="E13" s="8">
        <f t="shared" si="1"/>
        <v>18.600000000000001</v>
      </c>
      <c r="F13" s="8">
        <f t="shared" si="2"/>
        <v>3.1</v>
      </c>
    </row>
    <row r="14" spans="1:6">
      <c r="A14" s="125" t="s">
        <v>263</v>
      </c>
      <c r="B14" s="6">
        <f t="shared" si="0"/>
        <v>40</v>
      </c>
      <c r="C14" s="7">
        <v>20</v>
      </c>
      <c r="D14" s="166">
        <v>0.79</v>
      </c>
      <c r="E14" s="8">
        <f t="shared" si="1"/>
        <v>15.8</v>
      </c>
      <c r="F14" s="8">
        <f t="shared" si="2"/>
        <v>2.63</v>
      </c>
    </row>
    <row r="15" spans="1:6" ht="56.25">
      <c r="A15" s="9" t="s">
        <v>5</v>
      </c>
      <c r="B15" s="7">
        <v>1</v>
      </c>
      <c r="C15" s="7">
        <v>1</v>
      </c>
      <c r="D15" s="166">
        <v>3.65</v>
      </c>
      <c r="E15" s="8">
        <f t="shared" si="1"/>
        <v>3.65</v>
      </c>
      <c r="F15" s="8">
        <f t="shared" si="2"/>
        <v>0.6</v>
      </c>
    </row>
    <row r="16" spans="1:6">
      <c r="D16" s="10"/>
      <c r="E16" s="10"/>
      <c r="F16" s="11">
        <f>ROUNDDOWN(SUM(F3:F15),2)</f>
        <v>126.36</v>
      </c>
    </row>
    <row r="18" spans="1:6">
      <c r="A18" s="2" t="s">
        <v>266</v>
      </c>
    </row>
    <row r="19" spans="1:6" ht="22.5">
      <c r="A19" s="3" t="s">
        <v>0</v>
      </c>
      <c r="B19" s="4" t="s">
        <v>1</v>
      </c>
      <c r="C19" s="3" t="s">
        <v>2</v>
      </c>
      <c r="D19" s="5" t="s">
        <v>3</v>
      </c>
      <c r="E19" s="5" t="s">
        <v>264</v>
      </c>
      <c r="F19" s="5" t="s">
        <v>4</v>
      </c>
    </row>
    <row r="20" spans="1:6" ht="22.5">
      <c r="A20" s="125" t="s">
        <v>252</v>
      </c>
      <c r="B20" s="6">
        <f>+C20*2</f>
        <v>6</v>
      </c>
      <c r="C20" s="7">
        <v>3</v>
      </c>
      <c r="D20" s="166">
        <v>30.38</v>
      </c>
      <c r="E20" s="8">
        <f>+D20*C20</f>
        <v>91.14</v>
      </c>
      <c r="F20" s="8">
        <f>ROUNDDOWN(+E20/6,2)</f>
        <v>15.19</v>
      </c>
    </row>
    <row r="21" spans="1:6" ht="33.75">
      <c r="A21" s="125" t="s">
        <v>253</v>
      </c>
      <c r="B21" s="6">
        <f t="shared" ref="B21:B29" si="3">+C21*2</f>
        <v>12</v>
      </c>
      <c r="C21" s="7">
        <v>6</v>
      </c>
      <c r="D21" s="166">
        <v>38.340000000000003</v>
      </c>
      <c r="E21" s="8">
        <f t="shared" ref="E21:E30" si="4">+D21*C21</f>
        <v>230.04000000000002</v>
      </c>
      <c r="F21" s="8">
        <f t="shared" ref="F21:F30" si="5">ROUNDDOWN(+E21/6,2)</f>
        <v>38.340000000000003</v>
      </c>
    </row>
    <row r="22" spans="1:6" ht="22.5">
      <c r="A22" s="125" t="s">
        <v>254</v>
      </c>
      <c r="B22" s="6">
        <v>1</v>
      </c>
      <c r="C22" s="7">
        <v>1</v>
      </c>
      <c r="D22" s="166">
        <v>8.93</v>
      </c>
      <c r="E22" s="8">
        <f t="shared" si="4"/>
        <v>8.93</v>
      </c>
      <c r="F22" s="8">
        <f t="shared" si="5"/>
        <v>1.48</v>
      </c>
    </row>
    <row r="23" spans="1:6" ht="45">
      <c r="A23" s="125" t="s">
        <v>255</v>
      </c>
      <c r="B23" s="6">
        <f t="shared" si="3"/>
        <v>4</v>
      </c>
      <c r="C23" s="7">
        <v>2</v>
      </c>
      <c r="D23" s="166">
        <v>8.65</v>
      </c>
      <c r="E23" s="8">
        <f t="shared" si="4"/>
        <v>17.3</v>
      </c>
      <c r="F23" s="8">
        <f t="shared" si="5"/>
        <v>2.88</v>
      </c>
    </row>
    <row r="24" spans="1:6" ht="22.5">
      <c r="A24" s="125" t="s">
        <v>257</v>
      </c>
      <c r="B24" s="6">
        <f t="shared" si="3"/>
        <v>4</v>
      </c>
      <c r="C24" s="7">
        <v>2</v>
      </c>
      <c r="D24" s="166">
        <v>2.0699999999999998</v>
      </c>
      <c r="E24" s="8">
        <f t="shared" si="4"/>
        <v>4.1399999999999997</v>
      </c>
      <c r="F24" s="8">
        <f t="shared" si="5"/>
        <v>0.69</v>
      </c>
    </row>
    <row r="25" spans="1:6" ht="33.75">
      <c r="A25" s="125" t="s">
        <v>258</v>
      </c>
      <c r="B25" s="6">
        <f t="shared" si="3"/>
        <v>4</v>
      </c>
      <c r="C25" s="7">
        <v>2</v>
      </c>
      <c r="D25" s="166">
        <v>3.91</v>
      </c>
      <c r="E25" s="8">
        <f t="shared" si="4"/>
        <v>7.82</v>
      </c>
      <c r="F25" s="8">
        <f t="shared" si="5"/>
        <v>1.3</v>
      </c>
    </row>
    <row r="26" spans="1:6" ht="22.5">
      <c r="A26" s="125" t="s">
        <v>260</v>
      </c>
      <c r="B26" s="6">
        <f t="shared" si="3"/>
        <v>2</v>
      </c>
      <c r="C26" s="7">
        <v>1</v>
      </c>
      <c r="D26" s="166">
        <v>81.37</v>
      </c>
      <c r="E26" s="8">
        <f t="shared" si="4"/>
        <v>81.37</v>
      </c>
      <c r="F26" s="8">
        <f t="shared" si="5"/>
        <v>13.56</v>
      </c>
    </row>
    <row r="27" spans="1:6" ht="22.5">
      <c r="A27" s="125" t="s">
        <v>261</v>
      </c>
      <c r="B27" s="6">
        <v>1</v>
      </c>
      <c r="C27" s="7">
        <v>1</v>
      </c>
      <c r="D27" s="166">
        <v>71.98</v>
      </c>
      <c r="E27" s="8">
        <f t="shared" si="4"/>
        <v>71.98</v>
      </c>
      <c r="F27" s="8">
        <f t="shared" si="5"/>
        <v>11.99</v>
      </c>
    </row>
    <row r="28" spans="1:6">
      <c r="A28" s="125" t="s">
        <v>262</v>
      </c>
      <c r="B28" s="6">
        <f t="shared" si="3"/>
        <v>40</v>
      </c>
      <c r="C28" s="7">
        <v>20</v>
      </c>
      <c r="D28" s="166">
        <v>0.93</v>
      </c>
      <c r="E28" s="8">
        <f t="shared" si="4"/>
        <v>18.600000000000001</v>
      </c>
      <c r="F28" s="8">
        <f t="shared" si="5"/>
        <v>3.1</v>
      </c>
    </row>
    <row r="29" spans="1:6">
      <c r="A29" s="125" t="s">
        <v>263</v>
      </c>
      <c r="B29" s="6">
        <f t="shared" si="3"/>
        <v>40</v>
      </c>
      <c r="C29" s="7">
        <v>20</v>
      </c>
      <c r="D29" s="166">
        <v>0.79</v>
      </c>
      <c r="E29" s="8">
        <f t="shared" si="4"/>
        <v>15.8</v>
      </c>
      <c r="F29" s="8">
        <f t="shared" si="5"/>
        <v>2.63</v>
      </c>
    </row>
    <row r="30" spans="1:6" ht="56.25">
      <c r="A30" s="9" t="s">
        <v>5</v>
      </c>
      <c r="B30" s="7">
        <v>1</v>
      </c>
      <c r="C30" s="7">
        <v>1</v>
      </c>
      <c r="D30" s="166">
        <v>3.65</v>
      </c>
      <c r="E30" s="8">
        <f t="shared" si="4"/>
        <v>3.65</v>
      </c>
      <c r="F30" s="8">
        <f t="shared" si="5"/>
        <v>0.6</v>
      </c>
    </row>
    <row r="31" spans="1:6">
      <c r="D31" s="10"/>
      <c r="E31" s="10"/>
      <c r="F31" s="11">
        <f>ROUNDDOWN(SUM(F20:F30),2)</f>
        <v>91.76</v>
      </c>
    </row>
  </sheetData>
  <pageMargins left="0.51181102362204722" right="0.11811023622047245" top="0.78740157480314965" bottom="0.51181102362204722" header="0.31496062992125984" footer="0.31496062992125984"/>
  <pageSetup paperSize="9" scale="92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8"/>
  <sheetViews>
    <sheetView workbookViewId="0"/>
  </sheetViews>
  <sheetFormatPr defaultRowHeight="11.25"/>
  <cols>
    <col min="1" max="1" width="54.85546875" style="2" customWidth="1"/>
    <col min="2" max="2" width="13.140625" style="10" bestFit="1" customWidth="1"/>
    <col min="3" max="3" width="9.42578125" style="2" bestFit="1" customWidth="1"/>
    <col min="4" max="4" width="11.42578125" style="142" customWidth="1"/>
    <col min="5" max="5" width="11.42578125" style="10" bestFit="1" customWidth="1"/>
    <col min="6" max="6" width="9.140625" style="2"/>
    <col min="7" max="7" width="10.42578125" style="2" bestFit="1" customWidth="1"/>
    <col min="8" max="16384" width="9.140625" style="2"/>
  </cols>
  <sheetData>
    <row r="2" spans="1:7" ht="27" customHeight="1">
      <c r="A2" s="208" t="s">
        <v>299</v>
      </c>
      <c r="B2" s="208"/>
      <c r="C2" s="208"/>
      <c r="D2" s="208"/>
      <c r="E2" s="208"/>
      <c r="F2" s="208"/>
      <c r="G2" s="208"/>
    </row>
    <row r="4" spans="1:7" s="143" customFormat="1" ht="33.75">
      <c r="A4" s="143" t="s">
        <v>293</v>
      </c>
      <c r="B4" s="167" t="s">
        <v>279</v>
      </c>
      <c r="C4" s="149" t="s">
        <v>280</v>
      </c>
      <c r="D4" s="150" t="s">
        <v>294</v>
      </c>
      <c r="E4" s="146" t="s">
        <v>295</v>
      </c>
      <c r="F4" s="144" t="s">
        <v>296</v>
      </c>
      <c r="G4" s="144" t="s">
        <v>297</v>
      </c>
    </row>
    <row r="5" spans="1:7">
      <c r="A5" s="147" t="s">
        <v>277</v>
      </c>
      <c r="B5" s="168">
        <v>16.48</v>
      </c>
      <c r="C5" s="147">
        <v>5</v>
      </c>
      <c r="D5" s="148">
        <v>0.2</v>
      </c>
      <c r="E5" s="11">
        <f>+(D5*B5)/12</f>
        <v>0.27466666666666667</v>
      </c>
      <c r="F5" s="147">
        <f>+Apresentação!$E$35+Apresentação!$E$32</f>
        <v>2</v>
      </c>
      <c r="G5" s="151">
        <f>+F5*E5</f>
        <v>0.54933333333333334</v>
      </c>
    </row>
    <row r="6" spans="1:7">
      <c r="A6" s="147" t="s">
        <v>281</v>
      </c>
      <c r="B6" s="168">
        <v>17.57</v>
      </c>
      <c r="C6" s="147">
        <v>5</v>
      </c>
      <c r="D6" s="148">
        <v>0.2</v>
      </c>
      <c r="E6" s="11">
        <f t="shared" ref="E6:E17" si="0">+(D6*B6)/12</f>
        <v>0.29283333333333333</v>
      </c>
      <c r="F6" s="147">
        <f>+Apresentação!$E$35+Apresentação!$E$32</f>
        <v>2</v>
      </c>
      <c r="G6" s="151">
        <f t="shared" ref="G6:G17" si="1">+F6*E6</f>
        <v>0.58566666666666667</v>
      </c>
    </row>
    <row r="7" spans="1:7">
      <c r="A7" s="147" t="s">
        <v>282</v>
      </c>
      <c r="B7" s="168">
        <v>14.73</v>
      </c>
      <c r="C7" s="147">
        <v>5</v>
      </c>
      <c r="D7" s="148">
        <v>0.2</v>
      </c>
      <c r="E7" s="11">
        <f t="shared" si="0"/>
        <v>0.24550000000000002</v>
      </c>
      <c r="F7" s="147">
        <f>+Apresentação!$E$35+Apresentação!$E$32</f>
        <v>2</v>
      </c>
      <c r="G7" s="151">
        <f t="shared" si="1"/>
        <v>0.49100000000000005</v>
      </c>
    </row>
    <row r="8" spans="1:7">
      <c r="A8" s="147" t="s">
        <v>283</v>
      </c>
      <c r="B8" s="168">
        <v>135.13</v>
      </c>
      <c r="C8" s="147">
        <v>5</v>
      </c>
      <c r="D8" s="148">
        <v>0.2</v>
      </c>
      <c r="E8" s="11">
        <f t="shared" si="0"/>
        <v>2.2521666666666667</v>
      </c>
      <c r="F8" s="147">
        <f>+Apresentação!$E$35+Apresentação!$E$32</f>
        <v>2</v>
      </c>
      <c r="G8" s="151">
        <f t="shared" si="1"/>
        <v>4.5043333333333333</v>
      </c>
    </row>
    <row r="9" spans="1:7">
      <c r="A9" s="147" t="s">
        <v>284</v>
      </c>
      <c r="B9" s="168">
        <v>4.75</v>
      </c>
      <c r="C9" s="147">
        <v>5</v>
      </c>
      <c r="D9" s="148">
        <v>0.2</v>
      </c>
      <c r="E9" s="11">
        <f t="shared" si="0"/>
        <v>7.9166666666666677E-2</v>
      </c>
      <c r="F9" s="147">
        <f>+Apresentação!$E$35+Apresentação!$E$32</f>
        <v>2</v>
      </c>
      <c r="G9" s="151">
        <f t="shared" si="1"/>
        <v>0.15833333333333335</v>
      </c>
    </row>
    <row r="10" spans="1:7">
      <c r="A10" s="147" t="s">
        <v>285</v>
      </c>
      <c r="B10" s="168">
        <v>3.95</v>
      </c>
      <c r="C10" s="147">
        <v>5</v>
      </c>
      <c r="D10" s="148">
        <v>0.2</v>
      </c>
      <c r="E10" s="11">
        <f t="shared" si="0"/>
        <v>6.5833333333333341E-2</v>
      </c>
      <c r="F10" s="147">
        <f>+Apresentação!$E$35+Apresentação!$E$32</f>
        <v>2</v>
      </c>
      <c r="G10" s="151">
        <f t="shared" si="1"/>
        <v>0.13166666666666668</v>
      </c>
    </row>
    <row r="11" spans="1:7">
      <c r="A11" s="147" t="s">
        <v>286</v>
      </c>
      <c r="B11" s="168">
        <v>2.66</v>
      </c>
      <c r="C11" s="147">
        <v>5</v>
      </c>
      <c r="D11" s="148">
        <v>0.2</v>
      </c>
      <c r="E11" s="11">
        <f t="shared" si="0"/>
        <v>4.4333333333333336E-2</v>
      </c>
      <c r="F11" s="147">
        <f>+Apresentação!$E$35+Apresentação!$E$32</f>
        <v>2</v>
      </c>
      <c r="G11" s="151">
        <f t="shared" si="1"/>
        <v>8.8666666666666671E-2</v>
      </c>
    </row>
    <row r="12" spans="1:7">
      <c r="A12" s="147" t="s">
        <v>288</v>
      </c>
      <c r="B12" s="168">
        <v>9.8699999999999992</v>
      </c>
      <c r="C12" s="147">
        <v>5</v>
      </c>
      <c r="D12" s="148">
        <v>0.2</v>
      </c>
      <c r="E12" s="11">
        <f t="shared" si="0"/>
        <v>0.16450000000000001</v>
      </c>
      <c r="F12" s="147">
        <f>+Apresentação!$E$35+Apresentação!$E$32</f>
        <v>2</v>
      </c>
      <c r="G12" s="151">
        <f t="shared" si="1"/>
        <v>0.32900000000000001</v>
      </c>
    </row>
    <row r="13" spans="1:7">
      <c r="A13" s="147" t="s">
        <v>287</v>
      </c>
      <c r="B13" s="168">
        <v>5.67</v>
      </c>
      <c r="C13" s="147">
        <v>5</v>
      </c>
      <c r="D13" s="148">
        <v>0.2</v>
      </c>
      <c r="E13" s="11">
        <f t="shared" si="0"/>
        <v>9.4500000000000015E-2</v>
      </c>
      <c r="F13" s="147">
        <f>+Apresentação!$E$35+Apresentação!$E$32</f>
        <v>2</v>
      </c>
      <c r="G13" s="151">
        <f t="shared" si="1"/>
        <v>0.18900000000000003</v>
      </c>
    </row>
    <row r="14" spans="1:7">
      <c r="A14" s="147" t="s">
        <v>289</v>
      </c>
      <c r="B14" s="168">
        <v>4.03</v>
      </c>
      <c r="C14" s="147">
        <v>5</v>
      </c>
      <c r="D14" s="148">
        <v>0.2</v>
      </c>
      <c r="E14" s="11">
        <f t="shared" si="0"/>
        <v>6.7166666666666666E-2</v>
      </c>
      <c r="F14" s="147">
        <f>+Apresentação!$E$35+Apresentação!$E$32</f>
        <v>2</v>
      </c>
      <c r="G14" s="151">
        <f t="shared" si="1"/>
        <v>0.13433333333333333</v>
      </c>
    </row>
    <row r="15" spans="1:7">
      <c r="A15" s="147" t="s">
        <v>290</v>
      </c>
      <c r="B15" s="168">
        <v>7.21</v>
      </c>
      <c r="C15" s="147">
        <v>5</v>
      </c>
      <c r="D15" s="148">
        <v>0.2</v>
      </c>
      <c r="E15" s="11">
        <f t="shared" si="0"/>
        <v>0.12016666666666669</v>
      </c>
      <c r="F15" s="147">
        <f>+Apresentação!$E$35+Apresentação!$E$32</f>
        <v>2</v>
      </c>
      <c r="G15" s="151">
        <f t="shared" si="1"/>
        <v>0.24033333333333337</v>
      </c>
    </row>
    <row r="16" spans="1:7">
      <c r="A16" s="147" t="s">
        <v>291</v>
      </c>
      <c r="B16" s="168">
        <v>23.34</v>
      </c>
      <c r="C16" s="147">
        <v>5</v>
      </c>
      <c r="D16" s="148">
        <v>0.2</v>
      </c>
      <c r="E16" s="11">
        <f t="shared" si="0"/>
        <v>0.38900000000000001</v>
      </c>
      <c r="F16" s="147">
        <f>+Apresentação!$E$35+Apresentação!$E$32</f>
        <v>2</v>
      </c>
      <c r="G16" s="151">
        <f t="shared" si="1"/>
        <v>0.77800000000000002</v>
      </c>
    </row>
    <row r="17" spans="1:7">
      <c r="A17" s="147" t="s">
        <v>292</v>
      </c>
      <c r="B17" s="168">
        <v>60.98</v>
      </c>
      <c r="C17" s="147">
        <v>5</v>
      </c>
      <c r="D17" s="148">
        <v>0.2</v>
      </c>
      <c r="E17" s="11">
        <f t="shared" si="0"/>
        <v>1.0163333333333333</v>
      </c>
      <c r="F17" s="147">
        <f>+Apresentação!$E$35+Apresentação!$E$32</f>
        <v>2</v>
      </c>
      <c r="G17" s="151">
        <f t="shared" si="1"/>
        <v>2.0326666666666666</v>
      </c>
    </row>
    <row r="19" spans="1:7">
      <c r="A19" s="2" t="s">
        <v>305</v>
      </c>
    </row>
    <row r="21" spans="1:7" ht="33.75">
      <c r="A21" s="152" t="s">
        <v>108</v>
      </c>
      <c r="B21" s="169" t="s">
        <v>279</v>
      </c>
      <c r="C21" s="144" t="s">
        <v>280</v>
      </c>
      <c r="D21" s="145" t="s">
        <v>294</v>
      </c>
      <c r="E21" s="146" t="s">
        <v>295</v>
      </c>
      <c r="F21" s="144" t="s">
        <v>296</v>
      </c>
      <c r="G21" s="144" t="s">
        <v>297</v>
      </c>
    </row>
    <row r="22" spans="1:7">
      <c r="A22" s="147" t="s">
        <v>276</v>
      </c>
      <c r="B22" s="168">
        <v>2190.7800000000002</v>
      </c>
      <c r="C22" s="147">
        <v>10</v>
      </c>
      <c r="D22" s="148">
        <v>0.1</v>
      </c>
      <c r="E22" s="11">
        <f>+(D22*B22)/12</f>
        <v>18.256500000000003</v>
      </c>
      <c r="F22" s="147">
        <v>1</v>
      </c>
      <c r="G22" s="151">
        <f>+F22*E22</f>
        <v>18.256500000000003</v>
      </c>
    </row>
    <row r="25" spans="1:7" ht="30.75" customHeight="1">
      <c r="A25" s="209" t="s">
        <v>298</v>
      </c>
      <c r="B25" s="209"/>
      <c r="C25" s="209"/>
      <c r="D25" s="209"/>
      <c r="E25" s="209"/>
      <c r="F25" s="209"/>
      <c r="G25" s="209"/>
    </row>
    <row r="28" spans="1:7" ht="33.75">
      <c r="A28" s="143" t="s">
        <v>293</v>
      </c>
      <c r="B28" s="167" t="s">
        <v>279</v>
      </c>
      <c r="C28" s="149" t="s">
        <v>280</v>
      </c>
      <c r="D28" s="150" t="s">
        <v>294</v>
      </c>
      <c r="E28" s="146" t="s">
        <v>295</v>
      </c>
      <c r="F28" s="144" t="s">
        <v>296</v>
      </c>
      <c r="G28" s="144" t="s">
        <v>297</v>
      </c>
    </row>
    <row r="29" spans="1:7">
      <c r="A29" s="147" t="s">
        <v>300</v>
      </c>
      <c r="B29" s="168">
        <v>51.99</v>
      </c>
      <c r="C29" s="147">
        <v>5</v>
      </c>
      <c r="D29" s="148">
        <v>0.2</v>
      </c>
      <c r="E29" s="11">
        <f>+(D29*B29)/12</f>
        <v>0.86650000000000016</v>
      </c>
      <c r="F29" s="147">
        <f>+Apresentação!$E$34+Apresentação!$E$33</f>
        <v>2</v>
      </c>
      <c r="G29" s="151">
        <f t="shared" ref="G29:G61" si="2">+F29*E29</f>
        <v>1.7330000000000003</v>
      </c>
    </row>
    <row r="30" spans="1:7">
      <c r="A30" s="147" t="s">
        <v>301</v>
      </c>
      <c r="B30" s="168">
        <v>43.5</v>
      </c>
      <c r="C30" s="147">
        <v>5</v>
      </c>
      <c r="D30" s="148">
        <v>0.2</v>
      </c>
      <c r="E30" s="11">
        <f t="shared" ref="E30:E40" si="3">+(D30*B30)/12</f>
        <v>0.72500000000000009</v>
      </c>
      <c r="F30" s="147">
        <f>+Apresentação!$E$34+Apresentação!$E$33</f>
        <v>2</v>
      </c>
      <c r="G30" s="151">
        <f t="shared" si="2"/>
        <v>1.4500000000000002</v>
      </c>
    </row>
    <row r="31" spans="1:7">
      <c r="A31" s="147" t="s">
        <v>302</v>
      </c>
      <c r="B31" s="168">
        <v>16.2</v>
      </c>
      <c r="C31" s="147">
        <v>5</v>
      </c>
      <c r="D31" s="148">
        <v>0.2</v>
      </c>
      <c r="E31" s="11">
        <f t="shared" si="3"/>
        <v>0.27</v>
      </c>
      <c r="F31" s="147">
        <f>+Apresentação!$E$34+Apresentação!$E$33</f>
        <v>2</v>
      </c>
      <c r="G31" s="151">
        <f t="shared" si="2"/>
        <v>0.54</v>
      </c>
    </row>
    <row r="32" spans="1:7">
      <c r="A32" s="147" t="s">
        <v>303</v>
      </c>
      <c r="B32" s="168">
        <v>13.15</v>
      </c>
      <c r="C32" s="147">
        <v>5</v>
      </c>
      <c r="D32" s="148">
        <v>0.2</v>
      </c>
      <c r="E32" s="11">
        <f t="shared" si="3"/>
        <v>0.2191666666666667</v>
      </c>
      <c r="F32" s="147">
        <f>+Apresentação!$E$34+Apresentação!$E$33</f>
        <v>2</v>
      </c>
      <c r="G32" s="151">
        <f t="shared" si="2"/>
        <v>0.43833333333333341</v>
      </c>
    </row>
    <row r="33" spans="1:7">
      <c r="A33" s="147" t="s">
        <v>304</v>
      </c>
      <c r="B33" s="168">
        <v>33.869999999999997</v>
      </c>
      <c r="C33" s="147">
        <v>5</v>
      </c>
      <c r="D33" s="148">
        <v>0.2</v>
      </c>
      <c r="E33" s="11">
        <f t="shared" si="3"/>
        <v>0.5645</v>
      </c>
      <c r="F33" s="147">
        <f>+Apresentação!$E$34+Apresentação!$E$33</f>
        <v>2</v>
      </c>
      <c r="G33" s="151">
        <f t="shared" si="2"/>
        <v>1.129</v>
      </c>
    </row>
    <row r="34" spans="1:7">
      <c r="A34" s="147" t="s">
        <v>306</v>
      </c>
      <c r="B34" s="168">
        <v>27.89</v>
      </c>
      <c r="C34" s="147">
        <v>5</v>
      </c>
      <c r="D34" s="148">
        <v>0.2</v>
      </c>
      <c r="E34" s="11">
        <f t="shared" si="3"/>
        <v>0.46483333333333338</v>
      </c>
      <c r="F34" s="147">
        <f>+Apresentação!$E$34+Apresentação!$E$33</f>
        <v>2</v>
      </c>
      <c r="G34" s="151">
        <f t="shared" si="2"/>
        <v>0.92966666666666675</v>
      </c>
    </row>
    <row r="35" spans="1:7">
      <c r="A35" s="147" t="s">
        <v>307</v>
      </c>
      <c r="B35" s="168">
        <v>22.75</v>
      </c>
      <c r="C35" s="147">
        <v>5</v>
      </c>
      <c r="D35" s="148">
        <v>0.2</v>
      </c>
      <c r="E35" s="11">
        <f t="shared" si="3"/>
        <v>0.37916666666666665</v>
      </c>
      <c r="F35" s="147">
        <f>+Apresentação!$E$34+Apresentação!$E$33</f>
        <v>2</v>
      </c>
      <c r="G35" s="151">
        <f t="shared" si="2"/>
        <v>0.7583333333333333</v>
      </c>
    </row>
    <row r="36" spans="1:7">
      <c r="A36" s="147" t="s">
        <v>308</v>
      </c>
      <c r="B36" s="168">
        <v>27.67</v>
      </c>
      <c r="C36" s="147">
        <v>5</v>
      </c>
      <c r="D36" s="148">
        <v>0.2</v>
      </c>
      <c r="E36" s="11">
        <f t="shared" si="3"/>
        <v>0.46116666666666672</v>
      </c>
      <c r="F36" s="147">
        <f>+Apresentação!$E$34+Apresentação!$E$33</f>
        <v>2</v>
      </c>
      <c r="G36" s="151">
        <f t="shared" si="2"/>
        <v>0.92233333333333345</v>
      </c>
    </row>
    <row r="37" spans="1:7">
      <c r="A37" s="147" t="s">
        <v>309</v>
      </c>
      <c r="B37" s="168">
        <v>17.579999999999998</v>
      </c>
      <c r="C37" s="147">
        <v>5</v>
      </c>
      <c r="D37" s="148">
        <v>0.2</v>
      </c>
      <c r="E37" s="11">
        <f t="shared" si="3"/>
        <v>0.29299999999999998</v>
      </c>
      <c r="F37" s="147">
        <f>+Apresentação!$E$34+Apresentação!$E$33</f>
        <v>2</v>
      </c>
      <c r="G37" s="151">
        <f t="shared" si="2"/>
        <v>0.58599999999999997</v>
      </c>
    </row>
    <row r="38" spans="1:7">
      <c r="A38" s="147" t="s">
        <v>310</v>
      </c>
      <c r="B38" s="168">
        <v>19.59</v>
      </c>
      <c r="C38" s="147">
        <v>5</v>
      </c>
      <c r="D38" s="148">
        <v>0.2</v>
      </c>
      <c r="E38" s="11">
        <f t="shared" si="3"/>
        <v>0.32650000000000001</v>
      </c>
      <c r="F38" s="147">
        <f>+Apresentação!$E$34+Apresentação!$E$33</f>
        <v>2</v>
      </c>
      <c r="G38" s="151">
        <f t="shared" si="2"/>
        <v>0.65300000000000002</v>
      </c>
    </row>
    <row r="39" spans="1:7">
      <c r="A39" s="147" t="s">
        <v>311</v>
      </c>
      <c r="B39" s="168">
        <v>22.6</v>
      </c>
      <c r="C39" s="147">
        <v>5</v>
      </c>
      <c r="D39" s="148">
        <v>0.2</v>
      </c>
      <c r="E39" s="11">
        <f t="shared" si="3"/>
        <v>0.37666666666666671</v>
      </c>
      <c r="F39" s="147">
        <f>+Apresentação!$E$34+Apresentação!$E$33</f>
        <v>2</v>
      </c>
      <c r="G39" s="151">
        <f t="shared" si="2"/>
        <v>0.75333333333333341</v>
      </c>
    </row>
    <row r="40" spans="1:7">
      <c r="A40" s="147" t="s">
        <v>312</v>
      </c>
      <c r="B40" s="168">
        <v>12.22</v>
      </c>
      <c r="C40" s="147">
        <v>5</v>
      </c>
      <c r="D40" s="148">
        <v>0.2</v>
      </c>
      <c r="E40" s="11">
        <f t="shared" si="3"/>
        <v>0.20366666666666669</v>
      </c>
      <c r="F40" s="147">
        <f>+Apresentação!$E$34+Apresentação!$E$33</f>
        <v>2</v>
      </c>
      <c r="G40" s="151">
        <f t="shared" si="2"/>
        <v>0.40733333333333338</v>
      </c>
    </row>
    <row r="41" spans="1:7">
      <c r="A41" s="147" t="s">
        <v>313</v>
      </c>
      <c r="B41" s="168">
        <v>71.58</v>
      </c>
      <c r="C41" s="147">
        <v>5</v>
      </c>
      <c r="D41" s="148">
        <v>0.2</v>
      </c>
      <c r="E41" s="11">
        <f t="shared" ref="E41:E61" si="4">+(D41*B41)/12</f>
        <v>1.1930000000000001</v>
      </c>
      <c r="F41" s="147">
        <f>+Apresentação!$E$34+Apresentação!$E$33</f>
        <v>2</v>
      </c>
      <c r="G41" s="151">
        <f t="shared" si="2"/>
        <v>2.3860000000000001</v>
      </c>
    </row>
    <row r="42" spans="1:7">
      <c r="A42" s="147" t="s">
        <v>314</v>
      </c>
      <c r="B42" s="168">
        <v>60.98</v>
      </c>
      <c r="C42" s="147">
        <v>5</v>
      </c>
      <c r="D42" s="148">
        <v>0.2</v>
      </c>
      <c r="E42" s="11">
        <f t="shared" si="4"/>
        <v>1.0163333333333333</v>
      </c>
      <c r="F42" s="147">
        <f>+Apresentação!$E$34+Apresentação!$E$33</f>
        <v>2</v>
      </c>
      <c r="G42" s="151">
        <f t="shared" si="2"/>
        <v>2.0326666666666666</v>
      </c>
    </row>
    <row r="43" spans="1:7" ht="22.5">
      <c r="A43" s="153" t="s">
        <v>315</v>
      </c>
      <c r="B43" s="168">
        <v>32.01</v>
      </c>
      <c r="C43" s="147">
        <v>5</v>
      </c>
      <c r="D43" s="148">
        <v>0.2</v>
      </c>
      <c r="E43" s="11">
        <f t="shared" si="4"/>
        <v>0.53349999999999997</v>
      </c>
      <c r="F43" s="147">
        <f>+Apresentação!$E$34+Apresentação!$E$33</f>
        <v>2</v>
      </c>
      <c r="G43" s="151">
        <f t="shared" si="2"/>
        <v>1.0669999999999999</v>
      </c>
    </row>
    <row r="44" spans="1:7">
      <c r="A44" s="147" t="s">
        <v>316</v>
      </c>
      <c r="B44" s="168">
        <v>19.63</v>
      </c>
      <c r="C44" s="147">
        <v>5</v>
      </c>
      <c r="D44" s="148">
        <v>0.2</v>
      </c>
      <c r="E44" s="11">
        <f t="shared" si="4"/>
        <v>0.32716666666666666</v>
      </c>
      <c r="F44" s="147">
        <f>+Apresentação!$E$34+Apresentação!$E$33</f>
        <v>2</v>
      </c>
      <c r="G44" s="151">
        <f t="shared" si="2"/>
        <v>0.65433333333333332</v>
      </c>
    </row>
    <row r="45" spans="1:7">
      <c r="A45" s="147" t="s">
        <v>317</v>
      </c>
      <c r="B45" s="168">
        <v>24.38</v>
      </c>
      <c r="C45" s="147">
        <v>5</v>
      </c>
      <c r="D45" s="148">
        <v>0.2</v>
      </c>
      <c r="E45" s="11">
        <f t="shared" si="4"/>
        <v>0.40633333333333338</v>
      </c>
      <c r="F45" s="147">
        <f>+Apresentação!$E$34+Apresentação!$E$33</f>
        <v>2</v>
      </c>
      <c r="G45" s="151">
        <f t="shared" si="2"/>
        <v>0.81266666666666676</v>
      </c>
    </row>
    <row r="46" spans="1:7">
      <c r="A46" s="147" t="s">
        <v>318</v>
      </c>
      <c r="B46" s="168">
        <v>25.26</v>
      </c>
      <c r="C46" s="147">
        <v>5</v>
      </c>
      <c r="D46" s="148">
        <v>0.2</v>
      </c>
      <c r="E46" s="11">
        <f t="shared" si="4"/>
        <v>0.42100000000000004</v>
      </c>
      <c r="F46" s="147">
        <f>+Apresentação!$E$34+Apresentação!$E$33</f>
        <v>2</v>
      </c>
      <c r="G46" s="151">
        <f t="shared" si="2"/>
        <v>0.84200000000000008</v>
      </c>
    </row>
    <row r="47" spans="1:7">
      <c r="A47" s="147" t="s">
        <v>319</v>
      </c>
      <c r="B47" s="168">
        <v>16.84</v>
      </c>
      <c r="C47" s="147">
        <v>5</v>
      </c>
      <c r="D47" s="148">
        <v>0.2</v>
      </c>
      <c r="E47" s="11">
        <f t="shared" si="4"/>
        <v>0.28066666666666668</v>
      </c>
      <c r="F47" s="147">
        <f>+Apresentação!$E$34+Apresentação!$E$33</f>
        <v>2</v>
      </c>
      <c r="G47" s="151">
        <f t="shared" si="2"/>
        <v>0.56133333333333335</v>
      </c>
    </row>
    <row r="48" spans="1:7">
      <c r="A48" s="147" t="s">
        <v>320</v>
      </c>
      <c r="B48" s="168">
        <v>19.260000000000002</v>
      </c>
      <c r="C48" s="147">
        <v>5</v>
      </c>
      <c r="D48" s="148">
        <v>0.2</v>
      </c>
      <c r="E48" s="11">
        <f t="shared" si="4"/>
        <v>0.32100000000000001</v>
      </c>
      <c r="F48" s="147">
        <f>+Apresentação!$E$34+Apresentação!$E$33</f>
        <v>2</v>
      </c>
      <c r="G48" s="151">
        <f t="shared" si="2"/>
        <v>0.64200000000000002</v>
      </c>
    </row>
    <row r="49" spans="1:7">
      <c r="A49" s="147" t="s">
        <v>321</v>
      </c>
      <c r="B49" s="168">
        <v>18.03</v>
      </c>
      <c r="C49" s="147">
        <v>5</v>
      </c>
      <c r="D49" s="148">
        <v>0.2</v>
      </c>
      <c r="E49" s="11">
        <f t="shared" si="4"/>
        <v>0.30050000000000004</v>
      </c>
      <c r="F49" s="147">
        <f>+Apresentação!$E$34+Apresentação!$E$33</f>
        <v>2</v>
      </c>
      <c r="G49" s="151">
        <f t="shared" si="2"/>
        <v>0.60100000000000009</v>
      </c>
    </row>
    <row r="50" spans="1:7" ht="22.5">
      <c r="A50" s="153" t="s">
        <v>322</v>
      </c>
      <c r="B50" s="168">
        <v>39.5</v>
      </c>
      <c r="C50" s="147">
        <v>5</v>
      </c>
      <c r="D50" s="148">
        <v>0.2</v>
      </c>
      <c r="E50" s="11">
        <f t="shared" si="4"/>
        <v>0.65833333333333333</v>
      </c>
      <c r="F50" s="147">
        <f>+Apresentação!$E$34+Apresentação!$E$33</f>
        <v>2</v>
      </c>
      <c r="G50" s="151">
        <f t="shared" si="2"/>
        <v>1.3166666666666667</v>
      </c>
    </row>
    <row r="51" spans="1:7">
      <c r="A51" s="147" t="s">
        <v>323</v>
      </c>
      <c r="B51" s="168">
        <v>7.57</v>
      </c>
      <c r="C51" s="147">
        <v>5</v>
      </c>
      <c r="D51" s="148">
        <v>0.2</v>
      </c>
      <c r="E51" s="11">
        <f t="shared" si="4"/>
        <v>0.12616666666666668</v>
      </c>
      <c r="F51" s="147">
        <f>+Apresentação!$E$34+Apresentação!$E$33</f>
        <v>2</v>
      </c>
      <c r="G51" s="151">
        <f t="shared" si="2"/>
        <v>0.25233333333333335</v>
      </c>
    </row>
    <row r="52" spans="1:7">
      <c r="A52" s="147" t="s">
        <v>324</v>
      </c>
      <c r="B52" s="168">
        <v>7.57</v>
      </c>
      <c r="C52" s="147">
        <v>5</v>
      </c>
      <c r="D52" s="148">
        <v>0.2</v>
      </c>
      <c r="E52" s="11">
        <f t="shared" si="4"/>
        <v>0.12616666666666668</v>
      </c>
      <c r="F52" s="147">
        <f>+Apresentação!$E$34+Apresentação!$E$33</f>
        <v>2</v>
      </c>
      <c r="G52" s="151">
        <f t="shared" si="2"/>
        <v>0.25233333333333335</v>
      </c>
    </row>
    <row r="53" spans="1:7">
      <c r="A53" s="147" t="s">
        <v>325</v>
      </c>
      <c r="B53" s="168">
        <v>7.57</v>
      </c>
      <c r="C53" s="147">
        <v>5</v>
      </c>
      <c r="D53" s="148">
        <v>0.2</v>
      </c>
      <c r="E53" s="11">
        <f t="shared" si="4"/>
        <v>0.12616666666666668</v>
      </c>
      <c r="F53" s="147">
        <f>+Apresentação!$E$34+Apresentação!$E$33</f>
        <v>2</v>
      </c>
      <c r="G53" s="151">
        <f t="shared" si="2"/>
        <v>0.25233333333333335</v>
      </c>
    </row>
    <row r="54" spans="1:7">
      <c r="A54" s="147" t="s">
        <v>326</v>
      </c>
      <c r="B54" s="168">
        <v>7.57</v>
      </c>
      <c r="C54" s="147">
        <v>5</v>
      </c>
      <c r="D54" s="148">
        <v>0.2</v>
      </c>
      <c r="E54" s="11">
        <f t="shared" si="4"/>
        <v>0.12616666666666668</v>
      </c>
      <c r="F54" s="147">
        <f>+Apresentação!$E$34+Apresentação!$E$33</f>
        <v>2</v>
      </c>
      <c r="G54" s="151">
        <f t="shared" si="2"/>
        <v>0.25233333333333335</v>
      </c>
    </row>
    <row r="55" spans="1:7">
      <c r="A55" s="147" t="s">
        <v>327</v>
      </c>
      <c r="B55" s="168">
        <v>7.57</v>
      </c>
      <c r="C55" s="147">
        <v>5</v>
      </c>
      <c r="D55" s="148">
        <v>0.2</v>
      </c>
      <c r="E55" s="11">
        <f t="shared" si="4"/>
        <v>0.12616666666666668</v>
      </c>
      <c r="F55" s="147">
        <f>+Apresentação!$E$34+Apresentação!$E$33</f>
        <v>2</v>
      </c>
      <c r="G55" s="151">
        <f t="shared" si="2"/>
        <v>0.25233333333333335</v>
      </c>
    </row>
    <row r="56" spans="1:7">
      <c r="A56" s="147" t="s">
        <v>328</v>
      </c>
      <c r="B56" s="168">
        <v>7.57</v>
      </c>
      <c r="C56" s="147">
        <v>5</v>
      </c>
      <c r="D56" s="148">
        <v>0.2</v>
      </c>
      <c r="E56" s="11">
        <f t="shared" si="4"/>
        <v>0.12616666666666668</v>
      </c>
      <c r="F56" s="147">
        <f>+Apresentação!$E$34+Apresentação!$E$33</f>
        <v>2</v>
      </c>
      <c r="G56" s="151">
        <f t="shared" si="2"/>
        <v>0.25233333333333335</v>
      </c>
    </row>
    <row r="57" spans="1:7">
      <c r="A57" s="147" t="s">
        <v>329</v>
      </c>
      <c r="B57" s="168">
        <v>7.57</v>
      </c>
      <c r="C57" s="147">
        <v>5</v>
      </c>
      <c r="D57" s="148">
        <v>0.2</v>
      </c>
      <c r="E57" s="11">
        <f t="shared" si="4"/>
        <v>0.12616666666666668</v>
      </c>
      <c r="F57" s="147">
        <f>+Apresentação!$E$34+Apresentação!$E$33</f>
        <v>2</v>
      </c>
      <c r="G57" s="151">
        <f t="shared" si="2"/>
        <v>0.25233333333333335</v>
      </c>
    </row>
    <row r="58" spans="1:7">
      <c r="A58" s="147" t="s">
        <v>330</v>
      </c>
      <c r="B58" s="168">
        <v>7.57</v>
      </c>
      <c r="C58" s="147">
        <v>5</v>
      </c>
      <c r="D58" s="148">
        <v>0.2</v>
      </c>
      <c r="E58" s="11">
        <f t="shared" si="4"/>
        <v>0.12616666666666668</v>
      </c>
      <c r="F58" s="147">
        <f>+Apresentação!$E$34+Apresentação!$E$33</f>
        <v>2</v>
      </c>
      <c r="G58" s="151">
        <f t="shared" si="2"/>
        <v>0.25233333333333335</v>
      </c>
    </row>
    <row r="59" spans="1:7">
      <c r="A59" s="147" t="s">
        <v>331</v>
      </c>
      <c r="B59" s="168">
        <v>27.15</v>
      </c>
      <c r="C59" s="147">
        <v>5</v>
      </c>
      <c r="D59" s="148">
        <v>0.2</v>
      </c>
      <c r="E59" s="11">
        <f t="shared" si="4"/>
        <v>0.45249999999999996</v>
      </c>
      <c r="F59" s="147">
        <f>+Apresentação!$E$34+Apresentação!$E$33</f>
        <v>2</v>
      </c>
      <c r="G59" s="151">
        <f t="shared" si="2"/>
        <v>0.90499999999999992</v>
      </c>
    </row>
    <row r="60" spans="1:7">
      <c r="A60" s="147" t="s">
        <v>332</v>
      </c>
      <c r="B60" s="168">
        <v>81.34</v>
      </c>
      <c r="C60" s="147">
        <v>5</v>
      </c>
      <c r="D60" s="148">
        <v>0.2</v>
      </c>
      <c r="E60" s="11">
        <f t="shared" si="4"/>
        <v>1.3556666666666668</v>
      </c>
      <c r="F60" s="147">
        <f>+Apresentação!$E$34+Apresentação!$E$33</f>
        <v>2</v>
      </c>
      <c r="G60" s="151">
        <f t="shared" si="2"/>
        <v>2.7113333333333336</v>
      </c>
    </row>
    <row r="61" spans="1:7" ht="22.5">
      <c r="A61" s="153" t="s">
        <v>333</v>
      </c>
      <c r="B61" s="168">
        <v>93.26</v>
      </c>
      <c r="C61" s="147">
        <v>5</v>
      </c>
      <c r="D61" s="148">
        <v>0.2</v>
      </c>
      <c r="E61" s="11">
        <f t="shared" si="4"/>
        <v>1.5543333333333333</v>
      </c>
      <c r="F61" s="147">
        <f>+Apresentação!$E$34+Apresentação!$E$33</f>
        <v>2</v>
      </c>
      <c r="G61" s="151">
        <f t="shared" si="2"/>
        <v>3.1086666666666667</v>
      </c>
    </row>
    <row r="66" spans="1:7" ht="33.75">
      <c r="A66" s="152" t="s">
        <v>108</v>
      </c>
      <c r="B66" s="169" t="s">
        <v>279</v>
      </c>
      <c r="C66" s="144" t="s">
        <v>280</v>
      </c>
      <c r="D66" s="145" t="s">
        <v>294</v>
      </c>
      <c r="E66" s="146" t="s">
        <v>295</v>
      </c>
      <c r="F66" s="144" t="s">
        <v>296</v>
      </c>
      <c r="G66" s="144" t="s">
        <v>297</v>
      </c>
    </row>
    <row r="67" spans="1:7">
      <c r="A67" s="147" t="s">
        <v>276</v>
      </c>
      <c r="B67" s="168">
        <v>2210</v>
      </c>
      <c r="C67" s="147">
        <v>10</v>
      </c>
      <c r="D67" s="148">
        <v>0.1</v>
      </c>
      <c r="E67" s="11">
        <f>+(D67*B67)/12</f>
        <v>18.416666666666668</v>
      </c>
      <c r="F67" s="147">
        <v>1</v>
      </c>
      <c r="G67" s="151">
        <f t="shared" ref="G67:G74" si="5">+F67*E67</f>
        <v>18.416666666666668</v>
      </c>
    </row>
    <row r="68" spans="1:7">
      <c r="A68" s="147" t="s">
        <v>334</v>
      </c>
      <c r="B68" s="168">
        <v>1300</v>
      </c>
      <c r="C68" s="147">
        <v>10</v>
      </c>
      <c r="D68" s="148">
        <v>0.1</v>
      </c>
      <c r="E68" s="11">
        <f t="shared" ref="E68:E73" si="6">+(D68*B68)/12</f>
        <v>10.833333333333334</v>
      </c>
      <c r="F68" s="147">
        <v>1</v>
      </c>
      <c r="G68" s="151">
        <f t="shared" si="5"/>
        <v>10.833333333333334</v>
      </c>
    </row>
    <row r="69" spans="1:7">
      <c r="A69" s="147" t="s">
        <v>335</v>
      </c>
      <c r="B69" s="168">
        <v>185.69</v>
      </c>
      <c r="C69" s="147">
        <v>10</v>
      </c>
      <c r="D69" s="148">
        <v>0.1</v>
      </c>
      <c r="E69" s="11">
        <f t="shared" si="6"/>
        <v>1.5474166666666667</v>
      </c>
      <c r="F69" s="147">
        <v>1</v>
      </c>
      <c r="G69" s="151">
        <f t="shared" si="5"/>
        <v>1.5474166666666667</v>
      </c>
    </row>
    <row r="70" spans="1:7">
      <c r="A70" s="147" t="s">
        <v>336</v>
      </c>
      <c r="B70" s="168">
        <v>1187</v>
      </c>
      <c r="C70" s="147">
        <v>10</v>
      </c>
      <c r="D70" s="148">
        <v>0.1</v>
      </c>
      <c r="E70" s="11">
        <f t="shared" si="6"/>
        <v>9.8916666666666675</v>
      </c>
      <c r="F70" s="147">
        <v>1</v>
      </c>
      <c r="G70" s="151">
        <f t="shared" si="5"/>
        <v>9.8916666666666675</v>
      </c>
    </row>
    <row r="71" spans="1:7">
      <c r="A71" s="147" t="s">
        <v>337</v>
      </c>
      <c r="B71" s="168">
        <v>323.93</v>
      </c>
      <c r="C71" s="147">
        <v>10</v>
      </c>
      <c r="D71" s="148">
        <v>0.1</v>
      </c>
      <c r="E71" s="11">
        <f t="shared" si="6"/>
        <v>2.6994166666666666</v>
      </c>
      <c r="F71" s="147">
        <v>1</v>
      </c>
      <c r="G71" s="151">
        <f t="shared" si="5"/>
        <v>2.6994166666666666</v>
      </c>
    </row>
    <row r="72" spans="1:7">
      <c r="A72" s="147" t="s">
        <v>338</v>
      </c>
      <c r="B72" s="168">
        <v>382</v>
      </c>
      <c r="C72" s="147">
        <v>10</v>
      </c>
      <c r="D72" s="148">
        <v>0.1</v>
      </c>
      <c r="E72" s="11">
        <f t="shared" si="6"/>
        <v>3.1833333333333336</v>
      </c>
      <c r="F72" s="147">
        <v>1</v>
      </c>
      <c r="G72" s="151">
        <f t="shared" si="5"/>
        <v>3.1833333333333336</v>
      </c>
    </row>
    <row r="73" spans="1:7">
      <c r="A73" s="147" t="s">
        <v>340</v>
      </c>
      <c r="B73" s="168">
        <v>623.22</v>
      </c>
      <c r="C73" s="147">
        <v>10</v>
      </c>
      <c r="D73" s="148">
        <v>0.1</v>
      </c>
      <c r="E73" s="11">
        <f t="shared" si="6"/>
        <v>5.1935000000000002</v>
      </c>
      <c r="F73" s="147">
        <v>1</v>
      </c>
      <c r="G73" s="151">
        <f t="shared" si="5"/>
        <v>5.1935000000000002</v>
      </c>
    </row>
    <row r="74" spans="1:7">
      <c r="A74" s="147" t="s">
        <v>339</v>
      </c>
      <c r="B74" s="168">
        <v>2190</v>
      </c>
      <c r="C74" s="147">
        <v>10</v>
      </c>
      <c r="D74" s="148">
        <v>0.1</v>
      </c>
      <c r="E74" s="11">
        <f t="shared" ref="E74" si="7">+(D74*B74)/12</f>
        <v>18.25</v>
      </c>
      <c r="F74" s="147">
        <v>1</v>
      </c>
      <c r="G74" s="151">
        <f t="shared" si="5"/>
        <v>18.25</v>
      </c>
    </row>
    <row r="76" spans="1:7">
      <c r="C76" s="207" t="s">
        <v>341</v>
      </c>
      <c r="D76" s="207"/>
      <c r="E76" s="207"/>
      <c r="F76" s="207"/>
      <c r="G76" s="151">
        <f>SUM(G67:G74)+SUM(G29:G61)+G22+SUM(G5:G17)</f>
        <v>128.44383333333332</v>
      </c>
    </row>
    <row r="77" spans="1:7">
      <c r="C77" s="207" t="s">
        <v>342</v>
      </c>
      <c r="D77" s="207"/>
      <c r="E77" s="207"/>
      <c r="F77" s="207"/>
      <c r="G77" s="147">
        <f>SUM(Apresentação!E32:E36)</f>
        <v>5</v>
      </c>
    </row>
    <row r="78" spans="1:7">
      <c r="C78" s="207" t="s">
        <v>343</v>
      </c>
      <c r="D78" s="207"/>
      <c r="E78" s="207"/>
      <c r="F78" s="207"/>
      <c r="G78" s="11">
        <f>ROUND(+G76/G77,2)</f>
        <v>25.69</v>
      </c>
    </row>
  </sheetData>
  <mergeCells count="5">
    <mergeCell ref="C76:F76"/>
    <mergeCell ref="C77:F77"/>
    <mergeCell ref="C78:F78"/>
    <mergeCell ref="A2:G2"/>
    <mergeCell ref="A25:G25"/>
  </mergeCells>
  <pageMargins left="1.1023622047244095" right="0.11811023622047245" top="0.35433070866141736" bottom="0.55000000000000004" header="0.31496062992125984" footer="0.31496062992125984"/>
  <pageSetup paperSize="9" scale="75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67"/>
  <sheetViews>
    <sheetView zoomScale="80" zoomScaleNormal="80" workbookViewId="0">
      <selection sqref="A1:D1"/>
    </sheetView>
  </sheetViews>
  <sheetFormatPr defaultRowHeight="1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>
      <c r="A1" s="251" t="s">
        <v>6</v>
      </c>
      <c r="B1" s="252"/>
      <c r="C1" s="252"/>
      <c r="D1" s="253"/>
      <c r="E1" s="12"/>
      <c r="F1" s="12"/>
    </row>
    <row r="3" spans="1:6">
      <c r="A3" s="217" t="s">
        <v>7</v>
      </c>
      <c r="B3" s="218"/>
      <c r="C3" s="218"/>
      <c r="D3" s="229"/>
    </row>
    <row r="4" spans="1:6" s="15" customFormat="1" ht="42" customHeight="1">
      <c r="A4" s="13">
        <v>1</v>
      </c>
      <c r="B4" s="14" t="s">
        <v>8</v>
      </c>
      <c r="C4" s="254" t="s">
        <v>210</v>
      </c>
      <c r="D4" s="255"/>
    </row>
    <row r="5" spans="1:6" s="15" customFormat="1">
      <c r="A5" s="13">
        <v>2</v>
      </c>
      <c r="B5" s="14" t="s">
        <v>9</v>
      </c>
      <c r="C5" s="256" t="str">
        <f>+Apresentação!E24</f>
        <v>7156-15</v>
      </c>
      <c r="D5" s="246"/>
    </row>
    <row r="6" spans="1:6" s="15" customFormat="1">
      <c r="A6" s="13">
        <v>3</v>
      </c>
      <c r="B6" s="14" t="s">
        <v>10</v>
      </c>
      <c r="C6" s="257">
        <f>+Apresentação!F24</f>
        <v>1309.47</v>
      </c>
      <c r="D6" s="257"/>
    </row>
    <row r="7" spans="1:6" s="15" customFormat="1" ht="48.75" customHeight="1">
      <c r="A7" s="13">
        <v>4</v>
      </c>
      <c r="B7" s="14" t="s">
        <v>11</v>
      </c>
      <c r="C7" s="249" t="s">
        <v>209</v>
      </c>
      <c r="D7" s="250"/>
    </row>
    <row r="8" spans="1:6" s="15" customFormat="1" ht="21" customHeight="1">
      <c r="A8" s="13">
        <v>5</v>
      </c>
      <c r="B8" s="14" t="s">
        <v>12</v>
      </c>
      <c r="C8" s="245">
        <v>43524</v>
      </c>
      <c r="D8" s="246"/>
    </row>
    <row r="9" spans="1:6">
      <c r="D9" s="16"/>
    </row>
    <row r="10" spans="1:6">
      <c r="A10" s="222" t="s">
        <v>13</v>
      </c>
      <c r="B10" s="223"/>
      <c r="C10" s="223"/>
      <c r="D10" s="223"/>
    </row>
    <row r="11" spans="1:6">
      <c r="A11" s="17">
        <v>1</v>
      </c>
      <c r="B11" s="18" t="s">
        <v>14</v>
      </c>
      <c r="C11" s="19" t="s">
        <v>15</v>
      </c>
      <c r="D11" s="20" t="s">
        <v>16</v>
      </c>
    </row>
    <row r="12" spans="1:6">
      <c r="A12" s="21" t="s">
        <v>17</v>
      </c>
      <c r="B12" s="230" t="s">
        <v>18</v>
      </c>
      <c r="C12" s="230"/>
      <c r="D12" s="107">
        <f>+C6</f>
        <v>1309.47</v>
      </c>
    </row>
    <row r="13" spans="1:6">
      <c r="A13" s="21" t="s">
        <v>19</v>
      </c>
      <c r="B13" s="24" t="s">
        <v>20</v>
      </c>
      <c r="C13" s="25">
        <v>0.3</v>
      </c>
      <c r="D13" s="23">
        <f>+C13*D12</f>
        <v>392.84100000000001</v>
      </c>
      <c r="E13" s="26"/>
    </row>
    <row r="14" spans="1:6">
      <c r="A14" s="21" t="s">
        <v>21</v>
      </c>
      <c r="B14" s="24" t="s">
        <v>22</v>
      </c>
      <c r="C14" s="25"/>
      <c r="D14" s="23">
        <f>+C14*D12</f>
        <v>0</v>
      </c>
    </row>
    <row r="15" spans="1:6">
      <c r="A15" s="21" t="s">
        <v>23</v>
      </c>
      <c r="B15" s="230" t="s">
        <v>24</v>
      </c>
      <c r="C15" s="230"/>
      <c r="D15" s="23"/>
    </row>
    <row r="16" spans="1:6">
      <c r="A16" s="21" t="s">
        <v>25</v>
      </c>
      <c r="B16" s="230" t="s">
        <v>26</v>
      </c>
      <c r="C16" s="230"/>
      <c r="D16" s="23"/>
    </row>
    <row r="17" spans="1:6">
      <c r="A17" s="21" t="s">
        <v>27</v>
      </c>
      <c r="B17" s="247" t="s">
        <v>28</v>
      </c>
      <c r="C17" s="248"/>
      <c r="D17" s="23"/>
    </row>
    <row r="18" spans="1:6">
      <c r="A18" s="21" t="s">
        <v>29</v>
      </c>
      <c r="B18" s="230" t="s">
        <v>30</v>
      </c>
      <c r="C18" s="230"/>
      <c r="D18" s="23"/>
    </row>
    <row r="19" spans="1:6">
      <c r="A19" s="21" t="s">
        <v>31</v>
      </c>
      <c r="B19" s="247" t="s">
        <v>32</v>
      </c>
      <c r="C19" s="248"/>
      <c r="D19" s="27"/>
    </row>
    <row r="20" spans="1:6">
      <c r="A20" s="21" t="s">
        <v>33</v>
      </c>
      <c r="B20" s="24" t="s">
        <v>34</v>
      </c>
      <c r="C20" s="25"/>
      <c r="D20" s="23"/>
    </row>
    <row r="21" spans="1:6">
      <c r="A21" s="21" t="s">
        <v>35</v>
      </c>
      <c r="B21" s="230" t="s">
        <v>36</v>
      </c>
      <c r="C21" s="230"/>
      <c r="D21" s="28"/>
      <c r="F21" s="29"/>
    </row>
    <row r="22" spans="1:6">
      <c r="A22" s="21" t="s">
        <v>37</v>
      </c>
      <c r="B22" s="230" t="s">
        <v>38</v>
      </c>
      <c r="C22" s="230"/>
      <c r="D22" s="28"/>
    </row>
    <row r="23" spans="1:6">
      <c r="A23" s="231" t="s">
        <v>39</v>
      </c>
      <c r="B23" s="231"/>
      <c r="C23" s="231"/>
      <c r="D23" s="30">
        <f>SUM(D12:D22)</f>
        <v>1702.3110000000001</v>
      </c>
    </row>
    <row r="25" spans="1:6">
      <c r="A25" s="222" t="s">
        <v>40</v>
      </c>
      <c r="B25" s="223"/>
      <c r="C25" s="223"/>
      <c r="D25" s="223"/>
    </row>
    <row r="27" spans="1:6">
      <c r="A27" s="222" t="s">
        <v>41</v>
      </c>
      <c r="B27" s="223"/>
      <c r="C27" s="223"/>
      <c r="D27" s="223"/>
    </row>
    <row r="28" spans="1:6">
      <c r="A28" s="31" t="s">
        <v>42</v>
      </c>
      <c r="B28" s="32" t="s">
        <v>43</v>
      </c>
      <c r="C28" s="33" t="s">
        <v>15</v>
      </c>
      <c r="D28" s="34" t="s">
        <v>16</v>
      </c>
    </row>
    <row r="29" spans="1:6">
      <c r="A29" s="21" t="s">
        <v>17</v>
      </c>
      <c r="B29" s="35" t="s">
        <v>44</v>
      </c>
      <c r="C29" s="36">
        <f>ROUND(+D29/$D$23,4)</f>
        <v>8.3299999999999999E-2</v>
      </c>
      <c r="D29" s="28">
        <f>ROUND(+D23/12,2)</f>
        <v>141.86000000000001</v>
      </c>
    </row>
    <row r="30" spans="1:6">
      <c r="A30" s="37" t="s">
        <v>19</v>
      </c>
      <c r="B30" s="38" t="s">
        <v>45</v>
      </c>
      <c r="C30" s="39">
        <f>ROUND(+D30/$D$23,4)</f>
        <v>0.1111</v>
      </c>
      <c r="D30" s="40">
        <f>+D31+D32</f>
        <v>189.15</v>
      </c>
    </row>
    <row r="31" spans="1:6">
      <c r="A31" s="21" t="s">
        <v>46</v>
      </c>
      <c r="B31" s="41" t="s">
        <v>47</v>
      </c>
      <c r="C31" s="42">
        <f>ROUND(+D31/$D$23,4)</f>
        <v>8.3299999999999999E-2</v>
      </c>
      <c r="D31" s="43">
        <f>ROUND(+D23/12,2)</f>
        <v>141.86000000000001</v>
      </c>
    </row>
    <row r="32" spans="1:6">
      <c r="A32" s="21" t="s">
        <v>48</v>
      </c>
      <c r="B32" s="41" t="s">
        <v>49</v>
      </c>
      <c r="C32" s="42">
        <f>ROUND(+D32/$D$23,4)</f>
        <v>2.7799999999999998E-2</v>
      </c>
      <c r="D32" s="43">
        <f>ROUND(+(D23*1/3)/12,2)</f>
        <v>47.29</v>
      </c>
    </row>
    <row r="33" spans="1:4">
      <c r="A33" s="231" t="s">
        <v>39</v>
      </c>
      <c r="B33" s="231"/>
      <c r="C33" s="231"/>
      <c r="D33" s="30">
        <f>+D30+D29</f>
        <v>331.01</v>
      </c>
    </row>
    <row r="35" spans="1:4" ht="27.75" customHeight="1">
      <c r="A35" s="241" t="s">
        <v>50</v>
      </c>
      <c r="B35" s="242"/>
      <c r="C35" s="242"/>
      <c r="D35" s="242"/>
    </row>
    <row r="36" spans="1:4">
      <c r="A36" s="31" t="s">
        <v>51</v>
      </c>
      <c r="B36" s="44" t="s">
        <v>52</v>
      </c>
      <c r="C36" s="33" t="s">
        <v>15</v>
      </c>
      <c r="D36" s="34" t="s">
        <v>16</v>
      </c>
    </row>
    <row r="37" spans="1:4">
      <c r="A37" s="21" t="s">
        <v>17</v>
      </c>
      <c r="B37" s="35" t="s">
        <v>53</v>
      </c>
      <c r="C37" s="45">
        <v>0.2</v>
      </c>
      <c r="D37" s="46">
        <f>ROUND(C37*($D$23+$D$33),2)</f>
        <v>406.66</v>
      </c>
    </row>
    <row r="38" spans="1:4">
      <c r="A38" s="21" t="s">
        <v>19</v>
      </c>
      <c r="B38" s="35" t="s">
        <v>54</v>
      </c>
      <c r="C38" s="45">
        <v>2.5000000000000001E-2</v>
      </c>
      <c r="D38" s="46">
        <f>ROUND(C38*($D$23+$D$33),2)</f>
        <v>50.83</v>
      </c>
    </row>
    <row r="39" spans="1:4">
      <c r="A39" s="21" t="s">
        <v>21</v>
      </c>
      <c r="B39" s="35" t="s">
        <v>55</v>
      </c>
      <c r="C39" s="45">
        <v>0.01</v>
      </c>
      <c r="D39" s="46">
        <f t="shared" ref="D39:D43" si="0">ROUND(C39*($D$23+$D$33),2)</f>
        <v>20.329999999999998</v>
      </c>
    </row>
    <row r="40" spans="1:4">
      <c r="A40" s="21" t="s">
        <v>23</v>
      </c>
      <c r="B40" s="35" t="s">
        <v>56</v>
      </c>
      <c r="C40" s="45">
        <v>1.4999999999999999E-2</v>
      </c>
      <c r="D40" s="46">
        <f t="shared" si="0"/>
        <v>30.5</v>
      </c>
    </row>
    <row r="41" spans="1:4">
      <c r="A41" s="21" t="s">
        <v>25</v>
      </c>
      <c r="B41" s="35" t="s">
        <v>57</v>
      </c>
      <c r="C41" s="45">
        <v>0.01</v>
      </c>
      <c r="D41" s="46">
        <f t="shared" si="0"/>
        <v>20.329999999999998</v>
      </c>
    </row>
    <row r="42" spans="1:4">
      <c r="A42" s="21" t="s">
        <v>27</v>
      </c>
      <c r="B42" s="35" t="s">
        <v>58</v>
      </c>
      <c r="C42" s="45">
        <v>6.0000000000000001E-3</v>
      </c>
      <c r="D42" s="46">
        <f t="shared" si="0"/>
        <v>12.2</v>
      </c>
    </row>
    <row r="43" spans="1:4">
      <c r="A43" s="21" t="s">
        <v>29</v>
      </c>
      <c r="B43" s="35" t="s">
        <v>59</v>
      </c>
      <c r="C43" s="45">
        <v>2E-3</v>
      </c>
      <c r="D43" s="46">
        <f t="shared" si="0"/>
        <v>4.07</v>
      </c>
    </row>
    <row r="44" spans="1:4">
      <c r="A44" s="21" t="s">
        <v>31</v>
      </c>
      <c r="B44" s="35" t="s">
        <v>60</v>
      </c>
      <c r="C44" s="45">
        <v>0.08</v>
      </c>
      <c r="D44" s="46">
        <f>ROUND(C44*($D$23+$D$33),2)</f>
        <v>162.66999999999999</v>
      </c>
    </row>
    <row r="45" spans="1:4">
      <c r="A45" s="47" t="s">
        <v>39</v>
      </c>
      <c r="B45" s="48"/>
      <c r="C45" s="49">
        <f>SUM(C37:C44)</f>
        <v>0.34800000000000003</v>
      </c>
      <c r="D45" s="50">
        <f>SUM(D37:D44)</f>
        <v>707.59</v>
      </c>
    </row>
    <row r="46" spans="1:4">
      <c r="A46" s="51"/>
      <c r="B46" s="51"/>
      <c r="C46" s="51"/>
      <c r="D46" s="51"/>
    </row>
    <row r="47" spans="1:4">
      <c r="A47" s="241" t="s">
        <v>61</v>
      </c>
      <c r="B47" s="242"/>
      <c r="C47" s="242"/>
      <c r="D47" s="242"/>
    </row>
    <row r="48" spans="1:4">
      <c r="A48" s="31" t="s">
        <v>62</v>
      </c>
      <c r="B48" s="44" t="s">
        <v>63</v>
      </c>
      <c r="C48" s="33"/>
      <c r="D48" s="34" t="s">
        <v>16</v>
      </c>
    </row>
    <row r="49" spans="1:6">
      <c r="A49" s="52" t="s">
        <v>17</v>
      </c>
      <c r="B49" s="35" t="s">
        <v>64</v>
      </c>
      <c r="C49" s="53"/>
      <c r="D49" s="46">
        <f>+'Men Cal Aux Eletr seg a sab'!C16</f>
        <v>132.76</v>
      </c>
    </row>
    <row r="50" spans="1:6" s="57" customFormat="1">
      <c r="A50" s="54" t="s">
        <v>65</v>
      </c>
      <c r="B50" s="55" t="s">
        <v>66</v>
      </c>
      <c r="C50" s="36"/>
      <c r="D50" s="56"/>
      <c r="F50" s="58"/>
    </row>
    <row r="51" spans="1:6">
      <c r="A51" s="118" t="s">
        <v>19</v>
      </c>
      <c r="B51" s="101" t="s">
        <v>67</v>
      </c>
      <c r="C51" s="53"/>
      <c r="D51" s="102">
        <v>260</v>
      </c>
      <c r="F51" s="59"/>
    </row>
    <row r="52" spans="1:6" s="57" customFormat="1">
      <c r="A52" s="54" t="s">
        <v>46</v>
      </c>
      <c r="B52" s="55" t="s">
        <v>66</v>
      </c>
      <c r="C52" s="36"/>
      <c r="D52" s="56"/>
      <c r="F52" s="60"/>
    </row>
    <row r="53" spans="1:6" s="57" customFormat="1">
      <c r="A53" s="55" t="s">
        <v>21</v>
      </c>
      <c r="B53" s="55" t="s">
        <v>214</v>
      </c>
      <c r="C53" s="53"/>
      <c r="D53" s="70">
        <f>+'Men Cal Aux Eletr seg a sab'!C25</f>
        <v>54.79</v>
      </c>
      <c r="F53" s="60"/>
    </row>
    <row r="54" spans="1:6" s="57" customFormat="1">
      <c r="A54" s="54" t="s">
        <v>69</v>
      </c>
      <c r="B54" s="55" t="s">
        <v>66</v>
      </c>
      <c r="C54" s="36"/>
      <c r="D54" s="56"/>
      <c r="F54" s="60"/>
    </row>
    <row r="55" spans="1:6">
      <c r="A55" s="101" t="s">
        <v>23</v>
      </c>
      <c r="B55" s="101" t="s">
        <v>68</v>
      </c>
      <c r="C55" s="53"/>
      <c r="D55" s="102"/>
      <c r="F55" s="59"/>
    </row>
    <row r="56" spans="1:6">
      <c r="A56" s="54" t="s">
        <v>70</v>
      </c>
      <c r="B56" s="55" t="s">
        <v>66</v>
      </c>
      <c r="C56" s="36"/>
      <c r="D56" s="56"/>
      <c r="F56" s="59"/>
    </row>
    <row r="57" spans="1:6" ht="45">
      <c r="A57" s="101" t="s">
        <v>25</v>
      </c>
      <c r="B57" s="112" t="s">
        <v>227</v>
      </c>
      <c r="C57" s="53"/>
      <c r="D57" s="113">
        <f>+(C6*0.8%)/12</f>
        <v>0.87298000000000009</v>
      </c>
      <c r="F57" s="61"/>
    </row>
    <row r="58" spans="1:6">
      <c r="A58" s="54" t="s">
        <v>71</v>
      </c>
      <c r="B58" s="55" t="s">
        <v>66</v>
      </c>
      <c r="C58" s="36"/>
      <c r="D58" s="56"/>
    </row>
    <row r="59" spans="1:6">
      <c r="A59" s="101" t="s">
        <v>27</v>
      </c>
      <c r="B59" s="243" t="s">
        <v>72</v>
      </c>
      <c r="C59" s="243"/>
      <c r="D59" s="102">
        <v>4.8</v>
      </c>
    </row>
    <row r="60" spans="1:6">
      <c r="A60" s="54" t="s">
        <v>73</v>
      </c>
      <c r="B60" s="55" t="s">
        <v>66</v>
      </c>
      <c r="C60" s="36"/>
      <c r="D60" s="56"/>
    </row>
    <row r="61" spans="1:6">
      <c r="A61" s="217" t="s">
        <v>39</v>
      </c>
      <c r="B61" s="229"/>
      <c r="C61" s="62"/>
      <c r="D61" s="63">
        <f>SUM(D49:D60)</f>
        <v>453.22298000000001</v>
      </c>
    </row>
    <row r="63" spans="1:6">
      <c r="A63" s="222" t="s">
        <v>74</v>
      </c>
      <c r="B63" s="223"/>
      <c r="C63" s="223"/>
      <c r="D63" s="223"/>
    </row>
    <row r="64" spans="1:6">
      <c r="A64" s="64">
        <v>2</v>
      </c>
      <c r="B64" s="240" t="s">
        <v>75</v>
      </c>
      <c r="C64" s="240"/>
      <c r="D64" s="65" t="s">
        <v>16</v>
      </c>
    </row>
    <row r="65" spans="1:4">
      <c r="A65" s="66" t="s">
        <v>42</v>
      </c>
      <c r="B65" s="244" t="s">
        <v>43</v>
      </c>
      <c r="C65" s="244"/>
      <c r="D65" s="46">
        <f>+D33</f>
        <v>331.01</v>
      </c>
    </row>
    <row r="66" spans="1:4">
      <c r="A66" s="66" t="s">
        <v>51</v>
      </c>
      <c r="B66" s="244" t="s">
        <v>52</v>
      </c>
      <c r="C66" s="244"/>
      <c r="D66" s="46">
        <f>+D45</f>
        <v>707.59</v>
      </c>
    </row>
    <row r="67" spans="1:4">
      <c r="A67" s="66" t="s">
        <v>62</v>
      </c>
      <c r="B67" s="244" t="s">
        <v>63</v>
      </c>
      <c r="C67" s="244"/>
      <c r="D67" s="67">
        <f>+D61</f>
        <v>453.22298000000001</v>
      </c>
    </row>
    <row r="68" spans="1:4">
      <c r="A68" s="240" t="s">
        <v>39</v>
      </c>
      <c r="B68" s="240"/>
      <c r="C68" s="240"/>
      <c r="D68" s="68">
        <f>SUM(D65:D67)</f>
        <v>1491.8229799999999</v>
      </c>
    </row>
    <row r="70" spans="1:4">
      <c r="A70" s="222" t="s">
        <v>76</v>
      </c>
      <c r="B70" s="223"/>
      <c r="C70" s="223"/>
      <c r="D70" s="223"/>
    </row>
    <row r="72" spans="1:4">
      <c r="A72" s="69">
        <v>3</v>
      </c>
      <c r="B72" s="32" t="s">
        <v>77</v>
      </c>
      <c r="C72" s="19" t="s">
        <v>15</v>
      </c>
      <c r="D72" s="19" t="s">
        <v>16</v>
      </c>
    </row>
    <row r="73" spans="1:4">
      <c r="A73" s="21" t="s">
        <v>17</v>
      </c>
      <c r="B73" s="55" t="s">
        <v>78</v>
      </c>
      <c r="C73" s="36">
        <f>+D73/$D$23</f>
        <v>8.3357271379906478E-3</v>
      </c>
      <c r="D73" s="70">
        <f>+'Men Cal Aux Eletr seg a sab'!C32</f>
        <v>14.19</v>
      </c>
    </row>
    <row r="74" spans="1:4">
      <c r="A74" s="21" t="s">
        <v>19</v>
      </c>
      <c r="B74" s="35" t="s">
        <v>79</v>
      </c>
      <c r="C74" s="71"/>
      <c r="D74" s="28">
        <f>ROUND(+D73*$C$44,2)</f>
        <v>1.1399999999999999</v>
      </c>
    </row>
    <row r="75" spans="1:4" ht="30">
      <c r="A75" s="21" t="s">
        <v>21</v>
      </c>
      <c r="B75" s="72" t="s">
        <v>80</v>
      </c>
      <c r="C75" s="45">
        <f>+D75/$D$23</f>
        <v>3.8242130844481411E-3</v>
      </c>
      <c r="D75" s="28">
        <f>+'Men Cal Aux Eletr seg a sab'!C46</f>
        <v>6.51</v>
      </c>
    </row>
    <row r="76" spans="1:4">
      <c r="A76" s="73" t="s">
        <v>23</v>
      </c>
      <c r="B76" s="35" t="s">
        <v>81</v>
      </c>
      <c r="C76" s="45">
        <f>+D76/$D$23</f>
        <v>1.944415562138763E-3</v>
      </c>
      <c r="D76" s="28">
        <f>+'Men Cal Aux Eletr seg a sab'!C54</f>
        <v>3.31</v>
      </c>
    </row>
    <row r="77" spans="1:4" ht="30">
      <c r="A77" s="73" t="s">
        <v>25</v>
      </c>
      <c r="B77" s="72" t="s">
        <v>82</v>
      </c>
      <c r="C77" s="71"/>
      <c r="D77" s="74"/>
    </row>
    <row r="78" spans="1:4" ht="30">
      <c r="A78" s="73" t="s">
        <v>27</v>
      </c>
      <c r="B78" s="72" t="s">
        <v>83</v>
      </c>
      <c r="C78" s="45">
        <f>+D78/$D$23</f>
        <v>3.8242130844481411E-3</v>
      </c>
      <c r="D78" s="46">
        <f>+'Men Cal Aux Eletr seg a sab'!C68</f>
        <v>6.51</v>
      </c>
    </row>
    <row r="79" spans="1:4">
      <c r="A79" s="217" t="s">
        <v>39</v>
      </c>
      <c r="B79" s="218"/>
      <c r="C79" s="229"/>
      <c r="D79" s="75">
        <f>SUM(D73:D78)</f>
        <v>31.659999999999997</v>
      </c>
    </row>
    <row r="81" spans="1:4">
      <c r="A81" s="222" t="s">
        <v>84</v>
      </c>
      <c r="B81" s="223"/>
      <c r="C81" s="223"/>
      <c r="D81" s="223"/>
    </row>
    <row r="83" spans="1:4">
      <c r="A83" s="237" t="s">
        <v>85</v>
      </c>
      <c r="B83" s="237"/>
      <c r="C83" s="237"/>
      <c r="D83" s="237"/>
    </row>
    <row r="84" spans="1:4">
      <c r="A84" s="69" t="s">
        <v>86</v>
      </c>
      <c r="B84" s="217" t="s">
        <v>87</v>
      </c>
      <c r="C84" s="229"/>
      <c r="D84" s="19" t="s">
        <v>16</v>
      </c>
    </row>
    <row r="85" spans="1:4">
      <c r="A85" s="35" t="s">
        <v>17</v>
      </c>
      <c r="B85" s="224" t="s">
        <v>88</v>
      </c>
      <c r="C85" s="225"/>
      <c r="D85" s="28"/>
    </row>
    <row r="86" spans="1:4">
      <c r="A86" s="55" t="s">
        <v>19</v>
      </c>
      <c r="B86" s="238" t="s">
        <v>87</v>
      </c>
      <c r="C86" s="239"/>
      <c r="D86" s="76">
        <f>+'Men Cal Aux Eletr seg a sab'!C81</f>
        <v>4.7300000000000004</v>
      </c>
    </row>
    <row r="87" spans="1:4" s="57" customFormat="1">
      <c r="A87" s="55" t="s">
        <v>21</v>
      </c>
      <c r="B87" s="238" t="s">
        <v>89</v>
      </c>
      <c r="C87" s="239"/>
      <c r="D87" s="76">
        <f>+'Men Cal Aux Eletr seg a sab'!C90</f>
        <v>0.35</v>
      </c>
    </row>
    <row r="88" spans="1:4" s="57" customFormat="1">
      <c r="A88" s="55" t="s">
        <v>23</v>
      </c>
      <c r="B88" s="238" t="s">
        <v>90</v>
      </c>
      <c r="C88" s="239"/>
      <c r="D88" s="76">
        <f>+'Men Cal Aux Eletr seg a sab'!C98</f>
        <v>5.67</v>
      </c>
    </row>
    <row r="89" spans="1:4" s="57" customFormat="1">
      <c r="A89" s="55" t="s">
        <v>25</v>
      </c>
      <c r="B89" s="238" t="s">
        <v>91</v>
      </c>
      <c r="C89" s="239"/>
      <c r="D89" s="76"/>
    </row>
    <row r="90" spans="1:4" s="57" customFormat="1">
      <c r="A90" s="55" t="s">
        <v>27</v>
      </c>
      <c r="B90" s="238" t="s">
        <v>92</v>
      </c>
      <c r="C90" s="239"/>
      <c r="D90" s="76">
        <f>+'Men Cal Aux Eletr seg a sab'!C106</f>
        <v>9.4600000000000009</v>
      </c>
    </row>
    <row r="91" spans="1:4">
      <c r="A91" s="35" t="s">
        <v>29</v>
      </c>
      <c r="B91" s="224" t="s">
        <v>38</v>
      </c>
      <c r="C91" s="225"/>
      <c r="D91" s="28"/>
    </row>
    <row r="92" spans="1:4">
      <c r="A92" s="35" t="s">
        <v>31</v>
      </c>
      <c r="B92" s="224" t="s">
        <v>93</v>
      </c>
      <c r="C92" s="225"/>
      <c r="D92" s="74"/>
    </row>
    <row r="93" spans="1:4">
      <c r="A93" s="231" t="s">
        <v>39</v>
      </c>
      <c r="B93" s="231"/>
      <c r="C93" s="231"/>
      <c r="D93" s="30">
        <f>SUM(D85:D92)</f>
        <v>20.21</v>
      </c>
    </row>
    <row r="94" spans="1:4">
      <c r="D94" s="77"/>
    </row>
    <row r="95" spans="1:4">
      <c r="A95" s="69" t="s">
        <v>94</v>
      </c>
      <c r="B95" s="217" t="s">
        <v>95</v>
      </c>
      <c r="C95" s="229"/>
      <c r="D95" s="19" t="s">
        <v>16</v>
      </c>
    </row>
    <row r="96" spans="1:4" s="57" customFormat="1">
      <c r="A96" s="55" t="s">
        <v>17</v>
      </c>
      <c r="B96" s="232" t="s">
        <v>96</v>
      </c>
      <c r="C96" s="233"/>
      <c r="D96" s="76">
        <f>+'Men Cal Aux Eletr seg a sab'!C117</f>
        <v>0.02</v>
      </c>
    </row>
    <row r="97" spans="1:4" s="57" customFormat="1" ht="36.75" customHeight="1">
      <c r="A97" s="55" t="s">
        <v>19</v>
      </c>
      <c r="B97" s="234" t="s">
        <v>97</v>
      </c>
      <c r="C97" s="235"/>
      <c r="D97" s="74"/>
    </row>
    <row r="98" spans="1:4" s="57" customFormat="1" ht="28.5" customHeight="1">
      <c r="A98" s="55" t="s">
        <v>21</v>
      </c>
      <c r="B98" s="234" t="s">
        <v>98</v>
      </c>
      <c r="C98" s="235"/>
      <c r="D98" s="74"/>
    </row>
    <row r="99" spans="1:4">
      <c r="A99" s="35" t="s">
        <v>23</v>
      </c>
      <c r="B99" s="224" t="s">
        <v>38</v>
      </c>
      <c r="C99" s="225"/>
      <c r="D99" s="28"/>
    </row>
    <row r="100" spans="1:4">
      <c r="A100" s="231" t="s">
        <v>39</v>
      </c>
      <c r="B100" s="231"/>
      <c r="C100" s="231"/>
      <c r="D100" s="30">
        <f>SUM(D96:D99)</f>
        <v>0.02</v>
      </c>
    </row>
    <row r="101" spans="1:4">
      <c r="D101" s="77"/>
    </row>
    <row r="102" spans="1:4">
      <c r="A102" s="69" t="s">
        <v>99</v>
      </c>
      <c r="B102" s="231" t="s">
        <v>100</v>
      </c>
      <c r="C102" s="231"/>
      <c r="D102" s="19" t="s">
        <v>16</v>
      </c>
    </row>
    <row r="103" spans="1:4" s="79" customFormat="1">
      <c r="A103" s="73" t="s">
        <v>17</v>
      </c>
      <c r="B103" s="236" t="s">
        <v>101</v>
      </c>
      <c r="C103" s="236"/>
      <c r="D103" s="78"/>
    </row>
    <row r="104" spans="1:4">
      <c r="A104" s="231" t="s">
        <v>39</v>
      </c>
      <c r="B104" s="231"/>
      <c r="C104" s="231"/>
      <c r="D104" s="30">
        <f>SUM(D103:D103)</f>
        <v>0</v>
      </c>
    </row>
    <row r="106" spans="1:4">
      <c r="A106" s="80" t="s">
        <v>102</v>
      </c>
      <c r="B106" s="80"/>
      <c r="C106" s="80"/>
      <c r="D106" s="80"/>
    </row>
    <row r="107" spans="1:4">
      <c r="A107" s="35" t="s">
        <v>86</v>
      </c>
      <c r="B107" s="224" t="s">
        <v>87</v>
      </c>
      <c r="C107" s="225"/>
      <c r="D107" s="46">
        <f>+D93</f>
        <v>20.21</v>
      </c>
    </row>
    <row r="108" spans="1:4">
      <c r="A108" s="35" t="s">
        <v>94</v>
      </c>
      <c r="B108" s="224" t="s">
        <v>95</v>
      </c>
      <c r="C108" s="225"/>
      <c r="D108" s="46">
        <f>+D100</f>
        <v>0.02</v>
      </c>
    </row>
    <row r="109" spans="1:4">
      <c r="A109" s="81"/>
      <c r="B109" s="226" t="s">
        <v>103</v>
      </c>
      <c r="C109" s="227"/>
      <c r="D109" s="82">
        <f>+D108+D107</f>
        <v>20.23</v>
      </c>
    </row>
    <row r="110" spans="1:4">
      <c r="A110" s="35" t="s">
        <v>99</v>
      </c>
      <c r="B110" s="224" t="s">
        <v>100</v>
      </c>
      <c r="C110" s="225"/>
      <c r="D110" s="46">
        <f>+D104</f>
        <v>0</v>
      </c>
    </row>
    <row r="111" spans="1:4">
      <c r="A111" s="228" t="s">
        <v>39</v>
      </c>
      <c r="B111" s="228"/>
      <c r="C111" s="228"/>
      <c r="D111" s="84">
        <f>+D110+D109</f>
        <v>20.23</v>
      </c>
    </row>
    <row r="113" spans="1:4">
      <c r="A113" s="222" t="s">
        <v>104</v>
      </c>
      <c r="B113" s="223"/>
      <c r="C113" s="223"/>
      <c r="D113" s="223"/>
    </row>
    <row r="115" spans="1:4">
      <c r="A115" s="69">
        <v>5</v>
      </c>
      <c r="B115" s="217" t="s">
        <v>105</v>
      </c>
      <c r="C115" s="229"/>
      <c r="D115" s="19" t="s">
        <v>16</v>
      </c>
    </row>
    <row r="116" spans="1:4">
      <c r="A116" s="35" t="s">
        <v>17</v>
      </c>
      <c r="B116" s="230" t="s">
        <v>106</v>
      </c>
      <c r="C116" s="230"/>
      <c r="D116" s="28">
        <f>+Uniforme!F16</f>
        <v>126.36</v>
      </c>
    </row>
    <row r="117" spans="1:4">
      <c r="A117" s="35" t="s">
        <v>65</v>
      </c>
      <c r="B117" s="55" t="s">
        <v>66</v>
      </c>
      <c r="C117" s="36"/>
      <c r="D117" s="56"/>
    </row>
    <row r="118" spans="1:4">
      <c r="A118" s="35" t="s">
        <v>19</v>
      </c>
      <c r="B118" s="230" t="s">
        <v>107</v>
      </c>
      <c r="C118" s="230"/>
      <c r="D118" s="28"/>
    </row>
    <row r="119" spans="1:4">
      <c r="A119" s="35" t="s">
        <v>46</v>
      </c>
      <c r="B119" s="55" t="s">
        <v>66</v>
      </c>
      <c r="C119" s="36"/>
      <c r="D119" s="56"/>
    </row>
    <row r="120" spans="1:4">
      <c r="A120" s="35" t="s">
        <v>21</v>
      </c>
      <c r="B120" s="230" t="s">
        <v>108</v>
      </c>
      <c r="C120" s="230"/>
      <c r="D120" s="28">
        <f>+Ferramentas!$G$78</f>
        <v>25.69</v>
      </c>
    </row>
    <row r="121" spans="1:4">
      <c r="A121" s="35" t="s">
        <v>69</v>
      </c>
      <c r="B121" s="55" t="s">
        <v>66</v>
      </c>
      <c r="C121" s="36"/>
      <c r="D121" s="56"/>
    </row>
    <row r="122" spans="1:4">
      <c r="A122" s="35" t="s">
        <v>23</v>
      </c>
      <c r="B122" s="230" t="s">
        <v>38</v>
      </c>
      <c r="C122" s="230"/>
      <c r="D122" s="28"/>
    </row>
    <row r="123" spans="1:4">
      <c r="A123" s="35" t="s">
        <v>70</v>
      </c>
      <c r="B123" s="55" t="s">
        <v>66</v>
      </c>
      <c r="C123" s="36"/>
      <c r="D123" s="56"/>
    </row>
    <row r="124" spans="1:4">
      <c r="A124" s="231" t="s">
        <v>39</v>
      </c>
      <c r="B124" s="231"/>
      <c r="C124" s="231"/>
      <c r="D124" s="30">
        <f>SUM(D116:D122)</f>
        <v>152.05000000000001</v>
      </c>
    </row>
    <row r="126" spans="1:4">
      <c r="A126" s="222" t="s">
        <v>109</v>
      </c>
      <c r="B126" s="223"/>
      <c r="C126" s="223"/>
      <c r="D126" s="223"/>
    </row>
    <row r="128" spans="1:4">
      <c r="A128" s="69">
        <v>6</v>
      </c>
      <c r="B128" s="32" t="s">
        <v>110</v>
      </c>
      <c r="C128" s="85" t="s">
        <v>15</v>
      </c>
      <c r="D128" s="19" t="s">
        <v>16</v>
      </c>
    </row>
    <row r="129" spans="1:7">
      <c r="A129" s="101" t="s">
        <v>17</v>
      </c>
      <c r="B129" s="101" t="s">
        <v>111</v>
      </c>
      <c r="C129" s="308">
        <f>Apresentação!F55</f>
        <v>3.3953999999999998E-2</v>
      </c>
      <c r="D129" s="102">
        <f>($D$124+$D$111+$D$79+$D$68+$D$23)*C129</f>
        <v>115.37820391692</v>
      </c>
    </row>
    <row r="130" spans="1:7">
      <c r="A130" s="101" t="s">
        <v>19</v>
      </c>
      <c r="B130" s="101" t="s">
        <v>112</v>
      </c>
      <c r="C130" s="308">
        <f>Apresentação!F56</f>
        <v>3.3953999999999998E-2</v>
      </c>
      <c r="D130" s="102">
        <f>($D$124+$D$111+$D$79+$D$68+$D$23+D129)*C130</f>
        <v>119.2957554527151</v>
      </c>
    </row>
    <row r="131" spans="1:7" s="87" customFormat="1" ht="12.75">
      <c r="A131" s="211" t="s">
        <v>113</v>
      </c>
      <c r="B131" s="212"/>
      <c r="C131" s="213"/>
      <c r="D131" s="86">
        <f>++D130+D129+D124+D111+D79+D68+D23</f>
        <v>3632.7479393696353</v>
      </c>
    </row>
    <row r="132" spans="1:7" s="87" customFormat="1" ht="33" customHeight="1">
      <c r="A132" s="214" t="s">
        <v>114</v>
      </c>
      <c r="B132" s="215"/>
      <c r="C132" s="216"/>
      <c r="D132" s="86">
        <f>ROUND(D131/(1-(C135+C136+C138+C140+C141)),2)</f>
        <v>3976.74</v>
      </c>
    </row>
    <row r="133" spans="1:7">
      <c r="A133" s="35" t="s">
        <v>21</v>
      </c>
      <c r="B133" s="35" t="s">
        <v>115</v>
      </c>
      <c r="C133" s="45"/>
      <c r="D133" s="35"/>
    </row>
    <row r="134" spans="1:7">
      <c r="A134" s="35" t="s">
        <v>69</v>
      </c>
      <c r="B134" s="35" t="s">
        <v>116</v>
      </c>
      <c r="C134" s="45"/>
      <c r="D134" s="35"/>
    </row>
    <row r="135" spans="1:7">
      <c r="A135" s="101" t="s">
        <v>117</v>
      </c>
      <c r="B135" s="101" t="s">
        <v>118</v>
      </c>
      <c r="C135" s="103">
        <v>6.4999999999999997E-3</v>
      </c>
      <c r="D135" s="102">
        <f>ROUND(C135*$D$132,2)</f>
        <v>25.85</v>
      </c>
      <c r="G135" s="88"/>
    </row>
    <row r="136" spans="1:7">
      <c r="A136" s="101" t="s">
        <v>119</v>
      </c>
      <c r="B136" s="101" t="s">
        <v>120</v>
      </c>
      <c r="C136" s="103">
        <v>0.03</v>
      </c>
      <c r="D136" s="102">
        <f>ROUND(C136*$D$132,2)</f>
        <v>119.3</v>
      </c>
      <c r="G136" s="88"/>
    </row>
    <row r="137" spans="1:7">
      <c r="A137" s="35" t="s">
        <v>121</v>
      </c>
      <c r="B137" s="35" t="s">
        <v>122</v>
      </c>
      <c r="C137" s="45"/>
      <c r="D137" s="46"/>
      <c r="G137" s="88"/>
    </row>
    <row r="138" spans="1:7">
      <c r="A138" s="35" t="s">
        <v>123</v>
      </c>
      <c r="B138" s="35" t="s">
        <v>124</v>
      </c>
      <c r="C138" s="45"/>
      <c r="D138" s="35"/>
      <c r="G138" s="88"/>
    </row>
    <row r="139" spans="1:7">
      <c r="A139" s="35" t="s">
        <v>125</v>
      </c>
      <c r="B139" s="35" t="s">
        <v>126</v>
      </c>
      <c r="C139" s="45"/>
      <c r="D139" s="35"/>
    </row>
    <row r="140" spans="1:7">
      <c r="A140" s="101" t="s">
        <v>127</v>
      </c>
      <c r="B140" s="101" t="s">
        <v>128</v>
      </c>
      <c r="C140" s="103">
        <v>0.05</v>
      </c>
      <c r="D140" s="102">
        <f>ROUND(C140*$D$132,2)</f>
        <v>198.84</v>
      </c>
    </row>
    <row r="141" spans="1:7">
      <c r="A141" s="35" t="s">
        <v>129</v>
      </c>
      <c r="B141" s="35" t="s">
        <v>130</v>
      </c>
      <c r="C141" s="45"/>
      <c r="D141" s="35"/>
    </row>
    <row r="142" spans="1:7">
      <c r="A142" s="217" t="s">
        <v>39</v>
      </c>
      <c r="B142" s="218"/>
      <c r="C142" s="89">
        <f>+C141+C140+C138+C136+C135+C130+C129</f>
        <v>0.15440799999999999</v>
      </c>
      <c r="D142" s="30">
        <f>+D140+D138+D136+D135+D130+D129</f>
        <v>578.66395936963511</v>
      </c>
    </row>
    <row r="144" spans="1:7">
      <c r="A144" s="219" t="s">
        <v>131</v>
      </c>
      <c r="B144" s="219"/>
      <c r="C144" s="219"/>
      <c r="D144" s="219"/>
    </row>
    <row r="145" spans="1:5">
      <c r="A145" s="35" t="s">
        <v>17</v>
      </c>
      <c r="B145" s="220" t="s">
        <v>132</v>
      </c>
      <c r="C145" s="220"/>
      <c r="D145" s="28">
        <f>+D23</f>
        <v>1702.3110000000001</v>
      </c>
    </row>
    <row r="146" spans="1:5">
      <c r="A146" s="35" t="s">
        <v>133</v>
      </c>
      <c r="B146" s="220" t="s">
        <v>134</v>
      </c>
      <c r="C146" s="220"/>
      <c r="D146" s="28">
        <f>+D68</f>
        <v>1491.8229799999999</v>
      </c>
    </row>
    <row r="147" spans="1:5">
      <c r="A147" s="35" t="s">
        <v>21</v>
      </c>
      <c r="B147" s="220" t="s">
        <v>135</v>
      </c>
      <c r="C147" s="220"/>
      <c r="D147" s="28">
        <f>+D79</f>
        <v>31.659999999999997</v>
      </c>
    </row>
    <row r="148" spans="1:5">
      <c r="A148" s="35" t="s">
        <v>23</v>
      </c>
      <c r="B148" s="220" t="s">
        <v>136</v>
      </c>
      <c r="C148" s="220"/>
      <c r="D148" s="28">
        <f>+D111</f>
        <v>20.23</v>
      </c>
    </row>
    <row r="149" spans="1:5">
      <c r="A149" s="35" t="s">
        <v>25</v>
      </c>
      <c r="B149" s="220" t="s">
        <v>137</v>
      </c>
      <c r="C149" s="220"/>
      <c r="D149" s="28">
        <f>+D124</f>
        <v>152.05000000000001</v>
      </c>
    </row>
    <row r="150" spans="1:5">
      <c r="B150" s="221" t="s">
        <v>138</v>
      </c>
      <c r="C150" s="221"/>
      <c r="D150" s="90">
        <f>SUM(D145:D149)</f>
        <v>3398.0739800000001</v>
      </c>
    </row>
    <row r="151" spans="1:5">
      <c r="A151" s="35" t="s">
        <v>27</v>
      </c>
      <c r="B151" s="220" t="s">
        <v>139</v>
      </c>
      <c r="C151" s="220"/>
      <c r="D151" s="28">
        <f>+D142</f>
        <v>578.66395936963511</v>
      </c>
    </row>
    <row r="153" spans="1:5">
      <c r="A153" s="210" t="s">
        <v>140</v>
      </c>
      <c r="B153" s="210"/>
      <c r="C153" s="210"/>
      <c r="D153" s="91">
        <f>ROUND(+D151+D150,2)</f>
        <v>3976.74</v>
      </c>
    </row>
    <row r="155" spans="1:5">
      <c r="A155" s="93" t="s">
        <v>215</v>
      </c>
      <c r="B155" s="93"/>
      <c r="C155" s="93"/>
      <c r="D155" s="93"/>
      <c r="E155" s="93"/>
    </row>
    <row r="156" spans="1:5">
      <c r="A156" s="93" t="s">
        <v>238</v>
      </c>
      <c r="B156" s="93"/>
      <c r="C156" s="93"/>
      <c r="D156" s="93"/>
      <c r="E156" s="93"/>
    </row>
    <row r="157" spans="1:5">
      <c r="A157" s="93"/>
      <c r="B157" s="93"/>
      <c r="C157" s="93"/>
      <c r="D157" s="93"/>
      <c r="E157" s="93"/>
    </row>
    <row r="158" spans="1:5">
      <c r="A158" s="93"/>
      <c r="B158" s="93"/>
      <c r="C158" s="93"/>
      <c r="D158" s="93"/>
      <c r="E158" s="93"/>
    </row>
    <row r="159" spans="1:5">
      <c r="A159" s="93"/>
      <c r="B159" s="93"/>
      <c r="C159" s="93"/>
      <c r="D159" s="93"/>
      <c r="E159" s="93"/>
    </row>
    <row r="160" spans="1:5">
      <c r="A160" s="93"/>
      <c r="B160" s="93"/>
      <c r="C160" s="93"/>
      <c r="D160" s="93"/>
      <c r="E160" s="93"/>
    </row>
    <row r="161" spans="1:5">
      <c r="A161" s="93"/>
      <c r="B161" s="93"/>
      <c r="C161" s="93"/>
      <c r="D161" s="93"/>
      <c r="E161" s="93"/>
    </row>
    <row r="162" spans="1:5">
      <c r="A162" s="93"/>
      <c r="B162" s="93"/>
      <c r="C162" s="93"/>
      <c r="D162" s="93"/>
      <c r="E162" s="93"/>
    </row>
    <row r="163" spans="1:5">
      <c r="A163" s="93"/>
      <c r="B163" s="93"/>
      <c r="C163" s="93"/>
      <c r="D163" s="93"/>
      <c r="E163" s="93"/>
    </row>
    <row r="164" spans="1:5">
      <c r="A164" s="93"/>
      <c r="B164" s="93"/>
      <c r="C164" s="93"/>
      <c r="D164" s="93"/>
      <c r="E164" s="93"/>
    </row>
    <row r="165" spans="1:5">
      <c r="A165" s="93"/>
      <c r="B165" s="93"/>
      <c r="C165" s="93"/>
      <c r="D165" s="93"/>
      <c r="E165" s="93"/>
    </row>
    <row r="166" spans="1:5">
      <c r="A166" s="93"/>
      <c r="B166" s="93"/>
      <c r="C166" s="93"/>
      <c r="D166" s="93"/>
      <c r="E166" s="93"/>
    </row>
    <row r="167" spans="1:5">
      <c r="A167" s="93"/>
      <c r="B167" s="93"/>
      <c r="C167" s="93"/>
      <c r="D167" s="93"/>
      <c r="E167" s="93"/>
    </row>
  </sheetData>
  <mergeCells count="78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</mergeCells>
  <pageMargins left="1.18" right="0.15" top="0.33" bottom="0.59" header="0.31496062992125984" footer="0.31496062992125984"/>
  <pageSetup paperSize="9" scale="85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132"/>
  <sheetViews>
    <sheetView zoomScale="80" zoomScaleNormal="80" workbookViewId="0">
      <selection sqref="A1:C1"/>
    </sheetView>
  </sheetViews>
  <sheetFormatPr defaultRowHeight="15"/>
  <cols>
    <col min="1" max="1" width="73.7109375" customWidth="1"/>
    <col min="2" max="2" width="14" bestFit="1" customWidth="1"/>
    <col min="3" max="3" width="13.7109375" bestFit="1" customWidth="1"/>
    <col min="4" max="4" width="10.7109375" bestFit="1" customWidth="1"/>
    <col min="5" max="5" width="79" customWidth="1"/>
  </cols>
  <sheetData>
    <row r="1" spans="1:3" ht="16.5">
      <c r="A1" s="280" t="s">
        <v>208</v>
      </c>
      <c r="B1" s="280"/>
      <c r="C1" s="280"/>
    </row>
    <row r="3" spans="1:3">
      <c r="A3" s="35" t="s">
        <v>141</v>
      </c>
      <c r="B3" s="35">
        <v>220</v>
      </c>
    </row>
    <row r="4" spans="1:3">
      <c r="A4" s="35" t="s">
        <v>142</v>
      </c>
      <c r="B4" s="35">
        <v>365.25</v>
      </c>
    </row>
    <row r="5" spans="1:3">
      <c r="A5" s="35" t="s">
        <v>143</v>
      </c>
      <c r="B5" s="94">
        <f>(365.25/12)/(7/6)</f>
        <v>26.089285714285712</v>
      </c>
    </row>
    <row r="6" spans="1:3">
      <c r="A6" s="55" t="s">
        <v>18</v>
      </c>
      <c r="B6" s="46">
        <f>+'Aux de Eletricista seg a sab'!D12</f>
        <v>1309.47</v>
      </c>
    </row>
    <row r="7" spans="1:3">
      <c r="A7" s="55" t="s">
        <v>144</v>
      </c>
      <c r="B7" s="46">
        <f>+'Aux de Eletricista seg a sab'!D23</f>
        <v>1702.3110000000001</v>
      </c>
    </row>
    <row r="9" spans="1:3">
      <c r="A9" s="262" t="s">
        <v>145</v>
      </c>
      <c r="B9" s="263"/>
      <c r="C9" s="264"/>
    </row>
    <row r="10" spans="1:3">
      <c r="A10" s="35" t="s">
        <v>146</v>
      </c>
      <c r="B10" s="35">
        <f>+$B$4</f>
        <v>365.25</v>
      </c>
      <c r="C10" s="71"/>
    </row>
    <row r="11" spans="1:3">
      <c r="A11" s="35" t="s">
        <v>147</v>
      </c>
      <c r="B11" s="55">
        <v>12</v>
      </c>
      <c r="C11" s="71"/>
    </row>
    <row r="12" spans="1:3">
      <c r="A12" s="35" t="s">
        <v>148</v>
      </c>
      <c r="B12" s="45">
        <v>1</v>
      </c>
      <c r="C12" s="71"/>
    </row>
    <row r="13" spans="1:3">
      <c r="A13" s="55" t="s">
        <v>149</v>
      </c>
      <c r="B13" s="94">
        <f>(365.25/12)/(7/6)</f>
        <v>26.089285714285712</v>
      </c>
      <c r="C13" s="71"/>
    </row>
    <row r="14" spans="1:3">
      <c r="A14" s="101" t="s">
        <v>150</v>
      </c>
      <c r="B14" s="114">
        <v>4.05</v>
      </c>
      <c r="C14" s="71"/>
    </row>
    <row r="15" spans="1:3">
      <c r="A15" s="35" t="s">
        <v>151</v>
      </c>
      <c r="B15" s="45">
        <v>0.06</v>
      </c>
      <c r="C15" s="71"/>
    </row>
    <row r="16" spans="1:3">
      <c r="A16" s="258" t="s">
        <v>152</v>
      </c>
      <c r="B16" s="260"/>
      <c r="C16" s="92">
        <f>ROUND((B13*(B14*2)-($B$6*B15)),2)</f>
        <v>132.76</v>
      </c>
    </row>
    <row r="18" spans="1:3">
      <c r="A18" s="262" t="s">
        <v>211</v>
      </c>
      <c r="B18" s="263"/>
      <c r="C18" s="264"/>
    </row>
    <row r="19" spans="1:3">
      <c r="A19" s="35" t="s">
        <v>146</v>
      </c>
      <c r="B19" s="35">
        <f>+$B$4</f>
        <v>365.25</v>
      </c>
      <c r="C19" s="71"/>
    </row>
    <row r="20" spans="1:3">
      <c r="A20" s="35" t="s">
        <v>147</v>
      </c>
      <c r="B20" s="55">
        <v>12</v>
      </c>
      <c r="C20" s="71"/>
    </row>
    <row r="21" spans="1:3">
      <c r="A21" s="35" t="s">
        <v>148</v>
      </c>
      <c r="B21" s="45">
        <v>1</v>
      </c>
      <c r="C21" s="71"/>
    </row>
    <row r="22" spans="1:3">
      <c r="A22" s="55" t="s">
        <v>212</v>
      </c>
      <c r="B22" s="94">
        <f>(365.25/12)/(7/6)</f>
        <v>26.089285714285712</v>
      </c>
      <c r="C22" s="71"/>
    </row>
    <row r="23" spans="1:3">
      <c r="A23" s="101" t="s">
        <v>213</v>
      </c>
      <c r="B23" s="114">
        <v>2.1</v>
      </c>
      <c r="C23" s="71"/>
    </row>
    <row r="24" spans="1:3">
      <c r="A24" s="35" t="s">
        <v>154</v>
      </c>
      <c r="B24" s="45">
        <v>0</v>
      </c>
      <c r="C24" s="71"/>
    </row>
    <row r="25" spans="1:3">
      <c r="A25" s="258" t="s">
        <v>153</v>
      </c>
      <c r="B25" s="260"/>
      <c r="C25" s="92">
        <f>ROUND((B22*(B23)-((B22*B23)*B24)),2)</f>
        <v>54.79</v>
      </c>
    </row>
    <row r="28" spans="1:3">
      <c r="A28" s="262" t="s">
        <v>155</v>
      </c>
      <c r="B28" s="263"/>
      <c r="C28" s="264"/>
    </row>
    <row r="29" spans="1:3">
      <c r="A29" s="35" t="s">
        <v>156</v>
      </c>
      <c r="B29" s="46">
        <f>+B7</f>
        <v>1702.3110000000001</v>
      </c>
      <c r="C29" s="71"/>
    </row>
    <row r="30" spans="1:3">
      <c r="A30" s="35" t="s">
        <v>157</v>
      </c>
      <c r="B30" s="35">
        <v>12</v>
      </c>
      <c r="C30" s="71"/>
    </row>
    <row r="31" spans="1:3">
      <c r="A31" s="101" t="s">
        <v>158</v>
      </c>
      <c r="B31" s="103">
        <v>0.1</v>
      </c>
      <c r="C31" s="71"/>
    </row>
    <row r="32" spans="1:3">
      <c r="A32" s="258" t="s">
        <v>159</v>
      </c>
      <c r="B32" s="260"/>
      <c r="C32" s="92">
        <f>ROUND(+(B29/B30)*B31,2)</f>
        <v>14.19</v>
      </c>
    </row>
    <row r="34" spans="1:3">
      <c r="A34" s="265" t="s">
        <v>160</v>
      </c>
      <c r="B34" s="266"/>
      <c r="C34" s="267"/>
    </row>
    <row r="35" spans="1:3" s="57" customFormat="1">
      <c r="A35" s="115" t="s">
        <v>161</v>
      </c>
      <c r="B35" s="103">
        <f>+B31</f>
        <v>0.1</v>
      </c>
      <c r="C35" s="71"/>
    </row>
    <row r="36" spans="1:3">
      <c r="A36" s="35" t="s">
        <v>162</v>
      </c>
      <c r="B36" s="46">
        <f>+'Aux de Eletricista seg a sab'!$D$23</f>
        <v>1702.3110000000001</v>
      </c>
      <c r="C36" s="71"/>
    </row>
    <row r="37" spans="1:3">
      <c r="A37" s="35" t="s">
        <v>44</v>
      </c>
      <c r="B37" s="46">
        <f>+'Aux de Eletricista seg a sab'!$D$29</f>
        <v>141.86000000000001</v>
      </c>
      <c r="C37" s="71"/>
    </row>
    <row r="38" spans="1:3">
      <c r="A38" s="95" t="s">
        <v>47</v>
      </c>
      <c r="B38" s="46">
        <f>+'Aux de Eletricista seg a sab'!$D$31</f>
        <v>141.86000000000001</v>
      </c>
      <c r="C38" s="71"/>
    </row>
    <row r="39" spans="1:3">
      <c r="A39" s="95" t="s">
        <v>49</v>
      </c>
      <c r="B39" s="46">
        <f>+'Aux de Eletricista seg a sab'!$D$32</f>
        <v>47.29</v>
      </c>
      <c r="C39" s="71"/>
    </row>
    <row r="40" spans="1:3">
      <c r="A40" s="96" t="s">
        <v>163</v>
      </c>
      <c r="B40" s="97">
        <f>SUM(B36:B39)</f>
        <v>2033.3210000000004</v>
      </c>
      <c r="C40" s="71"/>
    </row>
    <row r="41" spans="1:3">
      <c r="A41" s="66" t="s">
        <v>164</v>
      </c>
      <c r="B41" s="45">
        <v>0.4</v>
      </c>
      <c r="C41" s="71"/>
    </row>
    <row r="42" spans="1:3">
      <c r="A42" s="66" t="s">
        <v>165</v>
      </c>
      <c r="B42" s="45">
        <f>+'Aux de Eletricista seg a sab'!$C$44</f>
        <v>0.08</v>
      </c>
      <c r="C42" s="71"/>
    </row>
    <row r="43" spans="1:3">
      <c r="A43" s="226" t="s">
        <v>166</v>
      </c>
      <c r="B43" s="227"/>
      <c r="C43" s="82">
        <f>ROUND(+B40*B41*B42*B35,2)</f>
        <v>6.51</v>
      </c>
    </row>
    <row r="44" spans="1:3">
      <c r="A44" s="66" t="s">
        <v>167</v>
      </c>
      <c r="B44" s="141">
        <v>0</v>
      </c>
      <c r="C44" s="71"/>
    </row>
    <row r="45" spans="1:3">
      <c r="A45" s="226" t="s">
        <v>168</v>
      </c>
      <c r="B45" s="227"/>
      <c r="C45" s="98">
        <f>ROUND(B44*B42*B40*B35,2)</f>
        <v>0</v>
      </c>
    </row>
    <row r="46" spans="1:3">
      <c r="A46" s="258" t="s">
        <v>169</v>
      </c>
      <c r="B46" s="260"/>
      <c r="C46" s="84">
        <f>+C45+C43</f>
        <v>6.51</v>
      </c>
    </row>
    <row r="48" spans="1:3">
      <c r="A48" s="262" t="s">
        <v>170</v>
      </c>
      <c r="B48" s="263"/>
      <c r="C48" s="264"/>
    </row>
    <row r="49" spans="1:3">
      <c r="A49" s="35" t="s">
        <v>156</v>
      </c>
      <c r="B49" s="46">
        <f>+B7</f>
        <v>1702.3110000000001</v>
      </c>
      <c r="C49" s="71"/>
    </row>
    <row r="50" spans="1:3">
      <c r="A50" s="35" t="s">
        <v>171</v>
      </c>
      <c r="B50" s="99">
        <v>30</v>
      </c>
      <c r="C50" s="71"/>
    </row>
    <row r="51" spans="1:3">
      <c r="A51" s="35" t="s">
        <v>157</v>
      </c>
      <c r="B51" s="35">
        <v>12</v>
      </c>
      <c r="C51" s="71"/>
    </row>
    <row r="52" spans="1:3">
      <c r="A52" s="35" t="s">
        <v>172</v>
      </c>
      <c r="B52" s="35">
        <v>7</v>
      </c>
      <c r="C52" s="71"/>
    </row>
    <row r="53" spans="1:3">
      <c r="A53" s="101" t="s">
        <v>173</v>
      </c>
      <c r="B53" s="103">
        <v>0.1</v>
      </c>
      <c r="C53" s="71"/>
    </row>
    <row r="54" spans="1:3">
      <c r="A54" s="258" t="s">
        <v>174</v>
      </c>
      <c r="B54" s="260"/>
      <c r="C54" s="92">
        <f>+ROUND(((B49/B50/B51)*B52)*B53,2)</f>
        <v>3.31</v>
      </c>
    </row>
    <row r="56" spans="1:3">
      <c r="A56" s="265" t="s">
        <v>175</v>
      </c>
      <c r="B56" s="266"/>
      <c r="C56" s="267"/>
    </row>
    <row r="57" spans="1:3">
      <c r="A57" s="115" t="s">
        <v>176</v>
      </c>
      <c r="B57" s="103">
        <f>+B53</f>
        <v>0.1</v>
      </c>
      <c r="C57" s="71"/>
    </row>
    <row r="58" spans="1:3">
      <c r="A58" s="35" t="s">
        <v>162</v>
      </c>
      <c r="B58" s="46">
        <f>+'Aux de Eletricista seg a sab'!$D$23</f>
        <v>1702.3110000000001</v>
      </c>
      <c r="C58" s="71"/>
    </row>
    <row r="59" spans="1:3">
      <c r="A59" s="35" t="s">
        <v>44</v>
      </c>
      <c r="B59" s="46">
        <f>+'Aux de Eletricista seg a sab'!$D$29</f>
        <v>141.86000000000001</v>
      </c>
      <c r="C59" s="71"/>
    </row>
    <row r="60" spans="1:3">
      <c r="A60" s="95" t="s">
        <v>47</v>
      </c>
      <c r="B60" s="46">
        <f>+'Aux de Eletricista seg a sab'!$D$31</f>
        <v>141.86000000000001</v>
      </c>
      <c r="C60" s="71"/>
    </row>
    <row r="61" spans="1:3">
      <c r="A61" s="95" t="s">
        <v>49</v>
      </c>
      <c r="B61" s="46">
        <f>+'Aux de Eletricista seg a sab'!$D$32</f>
        <v>47.29</v>
      </c>
      <c r="C61" s="71"/>
    </row>
    <row r="62" spans="1:3">
      <c r="A62" s="96" t="s">
        <v>163</v>
      </c>
      <c r="B62" s="97">
        <f>SUM(B58:B61)</f>
        <v>2033.3210000000004</v>
      </c>
      <c r="C62" s="71"/>
    </row>
    <row r="63" spans="1:3">
      <c r="A63" s="66" t="s">
        <v>164</v>
      </c>
      <c r="B63" s="45">
        <v>0.4</v>
      </c>
      <c r="C63" s="71"/>
    </row>
    <row r="64" spans="1:3">
      <c r="A64" s="66" t="s">
        <v>165</v>
      </c>
      <c r="B64" s="45">
        <f>+'Aux de Eletricista seg a sab'!$C$44</f>
        <v>0.08</v>
      </c>
      <c r="C64" s="71"/>
    </row>
    <row r="65" spans="1:3">
      <c r="A65" s="226" t="s">
        <v>166</v>
      </c>
      <c r="B65" s="227"/>
      <c r="C65" s="82">
        <f>ROUND(+B62*B63*B64*B57,2)</f>
        <v>6.51</v>
      </c>
    </row>
    <row r="66" spans="1:3">
      <c r="A66" s="66" t="s">
        <v>167</v>
      </c>
      <c r="B66" s="141">
        <v>0</v>
      </c>
      <c r="C66" s="71"/>
    </row>
    <row r="67" spans="1:3">
      <c r="A67" s="226" t="s">
        <v>168</v>
      </c>
      <c r="B67" s="227"/>
      <c r="C67" s="98">
        <f>ROUND(B66*B64*B62*B57,2)</f>
        <v>0</v>
      </c>
    </row>
    <row r="68" spans="1:3">
      <c r="A68" s="258" t="s">
        <v>177</v>
      </c>
      <c r="B68" s="260"/>
      <c r="C68" s="84">
        <f>+C67+C65</f>
        <v>6.51</v>
      </c>
    </row>
    <row r="70" spans="1:3">
      <c r="A70" s="265" t="s">
        <v>178</v>
      </c>
      <c r="B70" s="266"/>
      <c r="C70" s="267"/>
    </row>
    <row r="71" spans="1:3">
      <c r="A71" s="271" t="s">
        <v>179</v>
      </c>
      <c r="B71" s="272"/>
      <c r="C71" s="273"/>
    </row>
    <row r="72" spans="1:3">
      <c r="A72" s="274"/>
      <c r="B72" s="275"/>
      <c r="C72" s="276"/>
    </row>
    <row r="73" spans="1:3">
      <c r="A73" s="274"/>
      <c r="B73" s="275"/>
      <c r="C73" s="276"/>
    </row>
    <row r="74" spans="1:3">
      <c r="A74" s="277"/>
      <c r="B74" s="278"/>
      <c r="C74" s="279"/>
    </row>
    <row r="75" spans="1:3">
      <c r="A75" s="100"/>
      <c r="B75" s="100"/>
      <c r="C75" s="100"/>
    </row>
    <row r="76" spans="1:3">
      <c r="A76" s="265" t="s">
        <v>180</v>
      </c>
      <c r="B76" s="266"/>
      <c r="C76" s="267"/>
    </row>
    <row r="77" spans="1:3">
      <c r="A77" s="35" t="s">
        <v>181</v>
      </c>
      <c r="B77" s="46">
        <f>+$B$7</f>
        <v>1702.3110000000001</v>
      </c>
      <c r="C77" s="71"/>
    </row>
    <row r="78" spans="1:3">
      <c r="A78" s="35" t="s">
        <v>147</v>
      </c>
      <c r="B78" s="35">
        <v>30</v>
      </c>
      <c r="C78" s="71"/>
    </row>
    <row r="79" spans="1:3">
      <c r="A79" s="35" t="s">
        <v>182</v>
      </c>
      <c r="B79" s="35">
        <v>12</v>
      </c>
      <c r="C79" s="71"/>
    </row>
    <row r="80" spans="1:3">
      <c r="A80" s="101" t="s">
        <v>183</v>
      </c>
      <c r="B80" s="101">
        <v>1</v>
      </c>
      <c r="C80" s="71"/>
    </row>
    <row r="81" spans="1:3">
      <c r="A81" s="258" t="s">
        <v>184</v>
      </c>
      <c r="B81" s="260"/>
      <c r="C81" s="64">
        <f>+ROUND((B77/B78/B79)*B80,2)</f>
        <v>4.7300000000000004</v>
      </c>
    </row>
    <row r="83" spans="1:3">
      <c r="A83" s="265" t="s">
        <v>185</v>
      </c>
      <c r="B83" s="266"/>
      <c r="C83" s="267"/>
    </row>
    <row r="84" spans="1:3">
      <c r="A84" s="35" t="s">
        <v>181</v>
      </c>
      <c r="B84" s="46">
        <f>+$B$7</f>
        <v>1702.3110000000001</v>
      </c>
      <c r="C84" s="71"/>
    </row>
    <row r="85" spans="1:3">
      <c r="A85" s="35" t="s">
        <v>147</v>
      </c>
      <c r="B85" s="35">
        <v>30</v>
      </c>
      <c r="C85" s="71"/>
    </row>
    <row r="86" spans="1:3">
      <c r="A86" s="35" t="s">
        <v>182</v>
      </c>
      <c r="B86" s="35">
        <v>12</v>
      </c>
      <c r="C86" s="71"/>
    </row>
    <row r="87" spans="1:3">
      <c r="A87" s="55" t="s">
        <v>186</v>
      </c>
      <c r="B87" s="35">
        <v>5</v>
      </c>
      <c r="C87" s="71"/>
    </row>
    <row r="88" spans="1:3">
      <c r="A88" s="101" t="s">
        <v>187</v>
      </c>
      <c r="B88" s="103">
        <v>1.4999999999999999E-2</v>
      </c>
      <c r="C88" s="71"/>
    </row>
    <row r="89" spans="1:3">
      <c r="A89" s="101" t="s">
        <v>188</v>
      </c>
      <c r="B89" s="103">
        <v>0.98029999999999995</v>
      </c>
      <c r="C89" s="71"/>
    </row>
    <row r="90" spans="1:3">
      <c r="A90" s="258" t="s">
        <v>189</v>
      </c>
      <c r="B90" s="260"/>
      <c r="C90" s="92">
        <f>ROUND(+B84/B85/B86*B87*B88*B89,2)</f>
        <v>0.35</v>
      </c>
    </row>
    <row r="92" spans="1:3">
      <c r="A92" s="265" t="s">
        <v>190</v>
      </c>
      <c r="B92" s="266"/>
      <c r="C92" s="267"/>
    </row>
    <row r="93" spans="1:3">
      <c r="A93" s="35" t="s">
        <v>181</v>
      </c>
      <c r="B93" s="46">
        <f>+$B$7</f>
        <v>1702.3110000000001</v>
      </c>
      <c r="C93" s="71"/>
    </row>
    <row r="94" spans="1:3">
      <c r="A94" s="35" t="s">
        <v>147</v>
      </c>
      <c r="B94" s="35">
        <v>30</v>
      </c>
      <c r="C94" s="71"/>
    </row>
    <row r="95" spans="1:3">
      <c r="A95" s="35" t="s">
        <v>182</v>
      </c>
      <c r="B95" s="35">
        <v>12</v>
      </c>
      <c r="C95" s="71"/>
    </row>
    <row r="96" spans="1:3">
      <c r="A96" s="55" t="s">
        <v>191</v>
      </c>
      <c r="B96" s="35">
        <v>15</v>
      </c>
      <c r="C96" s="71"/>
    </row>
    <row r="97" spans="1:3">
      <c r="A97" s="101" t="s">
        <v>192</v>
      </c>
      <c r="B97" s="103">
        <v>0.08</v>
      </c>
      <c r="C97" s="71"/>
    </row>
    <row r="98" spans="1:3">
      <c r="A98" s="258" t="s">
        <v>193</v>
      </c>
      <c r="B98" s="260"/>
      <c r="C98" s="92">
        <f>ROUND(+B93/B94/B95*B96*B97,2)</f>
        <v>5.67</v>
      </c>
    </row>
    <row r="100" spans="1:3">
      <c r="A100" s="265" t="s">
        <v>194</v>
      </c>
      <c r="B100" s="266"/>
      <c r="C100" s="267"/>
    </row>
    <row r="101" spans="1:3">
      <c r="A101" s="35" t="s">
        <v>181</v>
      </c>
      <c r="B101" s="46">
        <f>+$B$7</f>
        <v>1702.3110000000001</v>
      </c>
      <c r="C101" s="71"/>
    </row>
    <row r="102" spans="1:3">
      <c r="A102" s="35" t="s">
        <v>147</v>
      </c>
      <c r="B102" s="35">
        <v>30</v>
      </c>
      <c r="C102" s="71"/>
    </row>
    <row r="103" spans="1:3">
      <c r="A103" s="35" t="s">
        <v>182</v>
      </c>
      <c r="B103" s="35">
        <v>12</v>
      </c>
      <c r="C103" s="71"/>
    </row>
    <row r="104" spans="1:3">
      <c r="A104" s="55" t="s">
        <v>191</v>
      </c>
      <c r="B104" s="35">
        <v>5</v>
      </c>
      <c r="C104" s="71"/>
    </row>
    <row r="105" spans="1:3">
      <c r="A105" s="101" t="s">
        <v>195</v>
      </c>
      <c r="B105" s="103">
        <v>0.4</v>
      </c>
      <c r="C105" s="71"/>
    </row>
    <row r="106" spans="1:3">
      <c r="A106" s="258" t="s">
        <v>196</v>
      </c>
      <c r="B106" s="260"/>
      <c r="C106" s="92">
        <f>ROUND(+B101/B102/B103*B104*B105,2)</f>
        <v>9.4600000000000009</v>
      </c>
    </row>
    <row r="108" spans="1:3">
      <c r="A108" s="265" t="s">
        <v>197</v>
      </c>
      <c r="B108" s="266"/>
      <c r="C108" s="267"/>
    </row>
    <row r="109" spans="1:3">
      <c r="A109" s="268" t="s">
        <v>198</v>
      </c>
      <c r="B109" s="269"/>
      <c r="C109" s="270"/>
    </row>
    <row r="110" spans="1:3">
      <c r="A110" s="35" t="s">
        <v>181</v>
      </c>
      <c r="B110" s="46">
        <f>+$B$7</f>
        <v>1702.3110000000001</v>
      </c>
      <c r="C110" s="71"/>
    </row>
    <row r="111" spans="1:3">
      <c r="A111" s="35" t="s">
        <v>199</v>
      </c>
      <c r="B111" s="46">
        <f>+B110*(1/3)</f>
        <v>567.43700000000001</v>
      </c>
      <c r="C111" s="71"/>
    </row>
    <row r="112" spans="1:3">
      <c r="A112" s="96" t="s">
        <v>163</v>
      </c>
      <c r="B112" s="97">
        <f>SUM(B110:B111)</f>
        <v>2269.748</v>
      </c>
      <c r="C112" s="71"/>
    </row>
    <row r="113" spans="1:3">
      <c r="A113" s="35" t="s">
        <v>200</v>
      </c>
      <c r="B113" s="35">
        <v>4</v>
      </c>
      <c r="C113" s="71"/>
    </row>
    <row r="114" spans="1:3">
      <c r="A114" s="35" t="s">
        <v>182</v>
      </c>
      <c r="B114" s="35">
        <v>12</v>
      </c>
      <c r="C114" s="71"/>
    </row>
    <row r="115" spans="1:3">
      <c r="A115" s="101" t="s">
        <v>201</v>
      </c>
      <c r="B115" s="103">
        <v>0.02</v>
      </c>
      <c r="C115" s="71"/>
    </row>
    <row r="116" spans="1:3">
      <c r="A116" s="101" t="s">
        <v>202</v>
      </c>
      <c r="B116" s="103">
        <v>1.9699999999999999E-2</v>
      </c>
      <c r="C116" s="71"/>
    </row>
    <row r="117" spans="1:3">
      <c r="A117" s="258" t="s">
        <v>203</v>
      </c>
      <c r="B117" s="260"/>
      <c r="C117" s="92">
        <f>ROUND((((+B112*(B113/B114)/B114)*B115)*B116),2)</f>
        <v>0.02</v>
      </c>
    </row>
    <row r="118" spans="1:3">
      <c r="A118" s="258" t="s">
        <v>204</v>
      </c>
      <c r="B118" s="259"/>
      <c r="C118" s="260"/>
    </row>
    <row r="119" spans="1:3">
      <c r="A119" s="35" t="s">
        <v>181</v>
      </c>
      <c r="B119" s="46">
        <f>+'Aux de Eletricista seg a sab'!D23</f>
        <v>1702.3110000000001</v>
      </c>
      <c r="C119" s="71"/>
    </row>
    <row r="120" spans="1:3">
      <c r="A120" s="35" t="s">
        <v>44</v>
      </c>
      <c r="B120" s="46">
        <f>+'Aux de Eletricista seg a sab'!D29</f>
        <v>141.86000000000001</v>
      </c>
      <c r="C120" s="71"/>
    </row>
    <row r="121" spans="1:3">
      <c r="A121" s="96" t="s">
        <v>163</v>
      </c>
      <c r="B121" s="97">
        <f>SUM(B119:B120)</f>
        <v>1844.1710000000003</v>
      </c>
      <c r="C121" s="71"/>
    </row>
    <row r="122" spans="1:3">
      <c r="A122" s="35" t="s">
        <v>200</v>
      </c>
      <c r="B122" s="35">
        <v>4</v>
      </c>
      <c r="C122" s="71"/>
    </row>
    <row r="123" spans="1:3">
      <c r="A123" s="35" t="s">
        <v>182</v>
      </c>
      <c r="B123" s="35">
        <v>12</v>
      </c>
      <c r="C123" s="71"/>
    </row>
    <row r="124" spans="1:3">
      <c r="A124" s="101" t="s">
        <v>201</v>
      </c>
      <c r="B124" s="103">
        <f>+B115</f>
        <v>0.02</v>
      </c>
      <c r="C124" s="71"/>
    </row>
    <row r="125" spans="1:3">
      <c r="A125" s="101" t="s">
        <v>202</v>
      </c>
      <c r="B125" s="103">
        <f>+B116</f>
        <v>1.9699999999999999E-2</v>
      </c>
      <c r="C125" s="71"/>
    </row>
    <row r="126" spans="1:3">
      <c r="A126" s="55" t="s">
        <v>205</v>
      </c>
      <c r="B126" s="45">
        <f>+'Aux de Eletricista seg a sab'!C45</f>
        <v>0.34800000000000003</v>
      </c>
      <c r="C126" s="71"/>
    </row>
    <row r="127" spans="1:3">
      <c r="A127" s="258" t="s">
        <v>206</v>
      </c>
      <c r="B127" s="260"/>
      <c r="C127" s="84">
        <f>ROUND((((B121*(B122/B123)*B124)*B125)*B126),2)</f>
        <v>0.08</v>
      </c>
    </row>
    <row r="129" spans="1:3" ht="30.75" customHeight="1">
      <c r="A129" s="261" t="s">
        <v>228</v>
      </c>
      <c r="B129" s="261"/>
      <c r="C129" s="261"/>
    </row>
    <row r="131" spans="1:3">
      <c r="C131" s="117"/>
    </row>
    <row r="132" spans="1:3">
      <c r="C132" s="77"/>
    </row>
  </sheetData>
  <mergeCells count="33">
    <mergeCell ref="A48:C48"/>
    <mergeCell ref="A1:C1"/>
    <mergeCell ref="A9:C9"/>
    <mergeCell ref="A16:B16"/>
    <mergeCell ref="A28:C28"/>
    <mergeCell ref="A32:B32"/>
    <mergeCell ref="A34:C34"/>
    <mergeCell ref="A43:B43"/>
    <mergeCell ref="A45:B45"/>
    <mergeCell ref="A46:B46"/>
    <mergeCell ref="A92:C92"/>
    <mergeCell ref="A54:B54"/>
    <mergeCell ref="A56:C56"/>
    <mergeCell ref="A65:B65"/>
    <mergeCell ref="A67:B67"/>
    <mergeCell ref="A68:B68"/>
    <mergeCell ref="A70:C70"/>
    <mergeCell ref="A118:C118"/>
    <mergeCell ref="A127:B127"/>
    <mergeCell ref="A129:C129"/>
    <mergeCell ref="A18:C18"/>
    <mergeCell ref="A25:B25"/>
    <mergeCell ref="A98:B98"/>
    <mergeCell ref="A100:C100"/>
    <mergeCell ref="A106:B106"/>
    <mergeCell ref="A108:C108"/>
    <mergeCell ref="A109:C109"/>
    <mergeCell ref="A117:B117"/>
    <mergeCell ref="A71:C74"/>
    <mergeCell ref="A76:C76"/>
    <mergeCell ref="A81:B81"/>
    <mergeCell ref="A83:C83"/>
    <mergeCell ref="A90:B90"/>
  </mergeCells>
  <pageMargins left="1.1417322834645669" right="0.15748031496062992" top="0.35433070866141736" bottom="0.35433070866141736" header="0.31496062992125984" footer="0.15748031496062992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G167"/>
  <sheetViews>
    <sheetView zoomScale="80" zoomScaleNormal="80" workbookViewId="0">
      <selection sqref="A1:D1"/>
    </sheetView>
  </sheetViews>
  <sheetFormatPr defaultRowHeight="1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>
      <c r="A1" s="251" t="s">
        <v>6</v>
      </c>
      <c r="B1" s="252"/>
      <c r="C1" s="252"/>
      <c r="D1" s="253"/>
      <c r="E1" s="12"/>
      <c r="F1" s="12"/>
    </row>
    <row r="3" spans="1:6">
      <c r="A3" s="217" t="s">
        <v>7</v>
      </c>
      <c r="B3" s="218"/>
      <c r="C3" s="218"/>
      <c r="D3" s="229"/>
    </row>
    <row r="4" spans="1:6" s="15" customFormat="1" ht="42" customHeight="1">
      <c r="A4" s="119">
        <v>1</v>
      </c>
      <c r="B4" s="120" t="s">
        <v>8</v>
      </c>
      <c r="C4" s="283" t="s">
        <v>233</v>
      </c>
      <c r="D4" s="284"/>
    </row>
    <row r="5" spans="1:6" s="15" customFormat="1">
      <c r="A5" s="119">
        <v>2</v>
      </c>
      <c r="B5" s="120" t="s">
        <v>9</v>
      </c>
      <c r="C5" s="285" t="str">
        <f>+Apresentação!E25</f>
        <v>9112-05</v>
      </c>
      <c r="D5" s="286"/>
    </row>
    <row r="6" spans="1:6" s="15" customFormat="1">
      <c r="A6" s="119">
        <v>3</v>
      </c>
      <c r="B6" s="120" t="s">
        <v>10</v>
      </c>
      <c r="C6" s="287">
        <f>+Apresentação!F25</f>
        <v>1309.47</v>
      </c>
      <c r="D6" s="287"/>
    </row>
    <row r="7" spans="1:6" s="15" customFormat="1" ht="48.75" customHeight="1">
      <c r="A7" s="119">
        <v>4</v>
      </c>
      <c r="B7" s="120" t="s">
        <v>11</v>
      </c>
      <c r="C7" s="281" t="s">
        <v>209</v>
      </c>
      <c r="D7" s="282"/>
    </row>
    <row r="8" spans="1:6" s="15" customFormat="1" ht="21" customHeight="1">
      <c r="A8" s="119">
        <v>5</v>
      </c>
      <c r="B8" s="120" t="s">
        <v>12</v>
      </c>
      <c r="C8" s="288">
        <v>43524</v>
      </c>
      <c r="D8" s="286"/>
    </row>
    <row r="9" spans="1:6">
      <c r="D9" s="16"/>
    </row>
    <row r="10" spans="1:6">
      <c r="A10" s="222" t="s">
        <v>13</v>
      </c>
      <c r="B10" s="223"/>
      <c r="C10" s="223"/>
      <c r="D10" s="223"/>
    </row>
    <row r="11" spans="1:6">
      <c r="A11" s="17">
        <v>1</v>
      </c>
      <c r="B11" s="18" t="s">
        <v>14</v>
      </c>
      <c r="C11" s="19" t="s">
        <v>15</v>
      </c>
      <c r="D11" s="20" t="s">
        <v>16</v>
      </c>
    </row>
    <row r="12" spans="1:6">
      <c r="A12" s="22" t="s">
        <v>17</v>
      </c>
      <c r="B12" s="230" t="s">
        <v>18</v>
      </c>
      <c r="C12" s="230"/>
      <c r="D12" s="107">
        <f>+C6</f>
        <v>1309.47</v>
      </c>
    </row>
    <row r="13" spans="1:6">
      <c r="A13" s="22" t="s">
        <v>19</v>
      </c>
      <c r="B13" s="24" t="s">
        <v>20</v>
      </c>
      <c r="C13" s="25">
        <v>0.3</v>
      </c>
      <c r="D13" s="23">
        <f>+C13*D12</f>
        <v>392.84100000000001</v>
      </c>
      <c r="E13" s="26"/>
    </row>
    <row r="14" spans="1:6">
      <c r="A14" s="22" t="s">
        <v>21</v>
      </c>
      <c r="B14" s="24" t="s">
        <v>22</v>
      </c>
      <c r="C14" s="25"/>
      <c r="D14" s="23">
        <f>+C14*D12</f>
        <v>0</v>
      </c>
    </row>
    <row r="15" spans="1:6">
      <c r="A15" s="22" t="s">
        <v>23</v>
      </c>
      <c r="B15" s="230" t="s">
        <v>24</v>
      </c>
      <c r="C15" s="230"/>
      <c r="D15" s="23"/>
    </row>
    <row r="16" spans="1:6">
      <c r="A16" s="22" t="s">
        <v>25</v>
      </c>
      <c r="B16" s="230" t="s">
        <v>26</v>
      </c>
      <c r="C16" s="230"/>
      <c r="D16" s="23"/>
    </row>
    <row r="17" spans="1:6">
      <c r="A17" s="22" t="s">
        <v>27</v>
      </c>
      <c r="B17" s="247" t="s">
        <v>28</v>
      </c>
      <c r="C17" s="248"/>
      <c r="D17" s="23"/>
    </row>
    <row r="18" spans="1:6">
      <c r="A18" s="22" t="s">
        <v>29</v>
      </c>
      <c r="B18" s="230" t="s">
        <v>30</v>
      </c>
      <c r="C18" s="230"/>
      <c r="D18" s="23"/>
    </row>
    <row r="19" spans="1:6">
      <c r="A19" s="22" t="s">
        <v>31</v>
      </c>
      <c r="B19" s="247" t="s">
        <v>32</v>
      </c>
      <c r="C19" s="248"/>
      <c r="D19" s="27"/>
    </row>
    <row r="20" spans="1:6">
      <c r="A20" s="22" t="s">
        <v>33</v>
      </c>
      <c r="B20" s="24" t="s">
        <v>34</v>
      </c>
      <c r="C20" s="25"/>
      <c r="D20" s="23"/>
    </row>
    <row r="21" spans="1:6">
      <c r="A21" s="22" t="s">
        <v>35</v>
      </c>
      <c r="B21" s="230" t="s">
        <v>36</v>
      </c>
      <c r="C21" s="230"/>
      <c r="D21" s="28"/>
      <c r="F21" s="29"/>
    </row>
    <row r="22" spans="1:6">
      <c r="A22" s="22" t="s">
        <v>37</v>
      </c>
      <c r="B22" s="230" t="s">
        <v>38</v>
      </c>
      <c r="C22" s="230"/>
      <c r="D22" s="28"/>
    </row>
    <row r="23" spans="1:6">
      <c r="A23" s="231" t="s">
        <v>39</v>
      </c>
      <c r="B23" s="231"/>
      <c r="C23" s="231"/>
      <c r="D23" s="30">
        <f>SUM(D12:D22)</f>
        <v>1702.3110000000001</v>
      </c>
    </row>
    <row r="25" spans="1:6">
      <c r="A25" s="222" t="s">
        <v>40</v>
      </c>
      <c r="B25" s="223"/>
      <c r="C25" s="223"/>
      <c r="D25" s="223"/>
    </row>
    <row r="27" spans="1:6">
      <c r="A27" s="222" t="s">
        <v>41</v>
      </c>
      <c r="B27" s="223"/>
      <c r="C27" s="223"/>
      <c r="D27" s="223"/>
    </row>
    <row r="28" spans="1:6">
      <c r="A28" s="31" t="s">
        <v>42</v>
      </c>
      <c r="B28" s="32" t="s">
        <v>43</v>
      </c>
      <c r="C28" s="33" t="s">
        <v>15</v>
      </c>
      <c r="D28" s="34" t="s">
        <v>16</v>
      </c>
    </row>
    <row r="29" spans="1:6">
      <c r="A29" s="22" t="s">
        <v>17</v>
      </c>
      <c r="B29" s="35" t="s">
        <v>44</v>
      </c>
      <c r="C29" s="36">
        <f>ROUND(+D29/$D$23,4)</f>
        <v>8.3299999999999999E-2</v>
      </c>
      <c r="D29" s="28">
        <f>ROUND(+D23/12,2)</f>
        <v>141.86000000000001</v>
      </c>
    </row>
    <row r="30" spans="1:6">
      <c r="A30" s="37" t="s">
        <v>19</v>
      </c>
      <c r="B30" s="38" t="s">
        <v>45</v>
      </c>
      <c r="C30" s="39">
        <f>ROUND(+D30/$D$23,4)</f>
        <v>0.1111</v>
      </c>
      <c r="D30" s="40">
        <f>+D31+D32</f>
        <v>189.15</v>
      </c>
    </row>
    <row r="31" spans="1:6">
      <c r="A31" s="22" t="s">
        <v>46</v>
      </c>
      <c r="B31" s="41" t="s">
        <v>47</v>
      </c>
      <c r="C31" s="42">
        <f>ROUND(+D31/$D$23,4)</f>
        <v>8.3299999999999999E-2</v>
      </c>
      <c r="D31" s="43">
        <f>ROUND(+D23/12,2)</f>
        <v>141.86000000000001</v>
      </c>
    </row>
    <row r="32" spans="1:6">
      <c r="A32" s="22" t="s">
        <v>48</v>
      </c>
      <c r="B32" s="41" t="s">
        <v>49</v>
      </c>
      <c r="C32" s="42">
        <f>ROUND(+D32/$D$23,4)</f>
        <v>2.7799999999999998E-2</v>
      </c>
      <c r="D32" s="43">
        <f>ROUND(+(D23*1/3)/12,2)</f>
        <v>47.29</v>
      </c>
    </row>
    <row r="33" spans="1:4">
      <c r="A33" s="231" t="s">
        <v>39</v>
      </c>
      <c r="B33" s="231"/>
      <c r="C33" s="231"/>
      <c r="D33" s="30">
        <f>+D30+D29</f>
        <v>331.01</v>
      </c>
    </row>
    <row r="35" spans="1:4" ht="27.75" customHeight="1">
      <c r="A35" s="241" t="s">
        <v>50</v>
      </c>
      <c r="B35" s="242"/>
      <c r="C35" s="242"/>
      <c r="D35" s="242"/>
    </row>
    <row r="36" spans="1:4">
      <c r="A36" s="31" t="s">
        <v>51</v>
      </c>
      <c r="B36" s="44" t="s">
        <v>52</v>
      </c>
      <c r="C36" s="33" t="s">
        <v>15</v>
      </c>
      <c r="D36" s="34" t="s">
        <v>16</v>
      </c>
    </row>
    <row r="37" spans="1:4">
      <c r="A37" s="22" t="s">
        <v>17</v>
      </c>
      <c r="B37" s="35" t="s">
        <v>53</v>
      </c>
      <c r="C37" s="45">
        <v>0.2</v>
      </c>
      <c r="D37" s="46">
        <f>ROUND(C37*($D$23+$D$33),2)</f>
        <v>406.66</v>
      </c>
    </row>
    <row r="38" spans="1:4">
      <c r="A38" s="22" t="s">
        <v>19</v>
      </c>
      <c r="B38" s="35" t="s">
        <v>54</v>
      </c>
      <c r="C38" s="45">
        <v>2.5000000000000001E-2</v>
      </c>
      <c r="D38" s="46">
        <f>ROUND(C38*($D$23+$D$33),2)</f>
        <v>50.83</v>
      </c>
    </row>
    <row r="39" spans="1:4">
      <c r="A39" s="22" t="s">
        <v>21</v>
      </c>
      <c r="B39" s="35" t="s">
        <v>55</v>
      </c>
      <c r="C39" s="45">
        <v>0.01</v>
      </c>
      <c r="D39" s="46">
        <f t="shared" ref="D39:D43" si="0">ROUND(C39*($D$23+$D$33),2)</f>
        <v>20.329999999999998</v>
      </c>
    </row>
    <row r="40" spans="1:4">
      <c r="A40" s="22" t="s">
        <v>23</v>
      </c>
      <c r="B40" s="35" t="s">
        <v>56</v>
      </c>
      <c r="C40" s="45">
        <v>1.4999999999999999E-2</v>
      </c>
      <c r="D40" s="46">
        <f t="shared" si="0"/>
        <v>30.5</v>
      </c>
    </row>
    <row r="41" spans="1:4">
      <c r="A41" s="22" t="s">
        <v>25</v>
      </c>
      <c r="B41" s="35" t="s">
        <v>57</v>
      </c>
      <c r="C41" s="45">
        <v>0.01</v>
      </c>
      <c r="D41" s="46">
        <f t="shared" si="0"/>
        <v>20.329999999999998</v>
      </c>
    </row>
    <row r="42" spans="1:4">
      <c r="A42" s="22" t="s">
        <v>27</v>
      </c>
      <c r="B42" s="35" t="s">
        <v>58</v>
      </c>
      <c r="C42" s="45">
        <v>6.0000000000000001E-3</v>
      </c>
      <c r="D42" s="46">
        <f t="shared" si="0"/>
        <v>12.2</v>
      </c>
    </row>
    <row r="43" spans="1:4">
      <c r="A43" s="22" t="s">
        <v>29</v>
      </c>
      <c r="B43" s="35" t="s">
        <v>59</v>
      </c>
      <c r="C43" s="45">
        <v>2E-3</v>
      </c>
      <c r="D43" s="46">
        <f t="shared" si="0"/>
        <v>4.07</v>
      </c>
    </row>
    <row r="44" spans="1:4">
      <c r="A44" s="22" t="s">
        <v>31</v>
      </c>
      <c r="B44" s="35" t="s">
        <v>60</v>
      </c>
      <c r="C44" s="45">
        <v>0.08</v>
      </c>
      <c r="D44" s="46">
        <f>ROUND(C44*($D$23+$D$33),2)</f>
        <v>162.66999999999999</v>
      </c>
    </row>
    <row r="45" spans="1:4">
      <c r="A45" s="47" t="s">
        <v>39</v>
      </c>
      <c r="B45" s="48"/>
      <c r="C45" s="49">
        <f>SUM(C37:C44)</f>
        <v>0.34800000000000003</v>
      </c>
      <c r="D45" s="50">
        <f>SUM(D37:D44)</f>
        <v>707.59</v>
      </c>
    </row>
    <row r="46" spans="1:4">
      <c r="A46" s="51"/>
      <c r="B46" s="51"/>
      <c r="C46" s="51"/>
      <c r="D46" s="51"/>
    </row>
    <row r="47" spans="1:4">
      <c r="A47" s="241" t="s">
        <v>61</v>
      </c>
      <c r="B47" s="242"/>
      <c r="C47" s="242"/>
      <c r="D47" s="242"/>
    </row>
    <row r="48" spans="1:4">
      <c r="A48" s="31" t="s">
        <v>62</v>
      </c>
      <c r="B48" s="44" t="s">
        <v>63</v>
      </c>
      <c r="C48" s="33"/>
      <c r="D48" s="34" t="s">
        <v>16</v>
      </c>
    </row>
    <row r="49" spans="1:6">
      <c r="A49" s="52" t="s">
        <v>17</v>
      </c>
      <c r="B49" s="35" t="s">
        <v>64</v>
      </c>
      <c r="C49" s="53"/>
      <c r="D49" s="46">
        <f>+'Men Cal Aux Mec seg a sab'!C16</f>
        <v>132.76</v>
      </c>
    </row>
    <row r="50" spans="1:6" s="57" customFormat="1">
      <c r="A50" s="54" t="s">
        <v>65</v>
      </c>
      <c r="B50" s="55" t="s">
        <v>66</v>
      </c>
      <c r="C50" s="36"/>
      <c r="D50" s="56"/>
      <c r="F50" s="58"/>
    </row>
    <row r="51" spans="1:6">
      <c r="A51" s="118" t="s">
        <v>19</v>
      </c>
      <c r="B51" s="101" t="s">
        <v>67</v>
      </c>
      <c r="C51" s="53"/>
      <c r="D51" s="102">
        <v>260</v>
      </c>
      <c r="F51" s="59"/>
    </row>
    <row r="52" spans="1:6" s="57" customFormat="1">
      <c r="A52" s="54" t="s">
        <v>46</v>
      </c>
      <c r="B52" s="55" t="s">
        <v>66</v>
      </c>
      <c r="C52" s="36"/>
      <c r="D52" s="56"/>
      <c r="F52" s="60"/>
    </row>
    <row r="53" spans="1:6" s="57" customFormat="1">
      <c r="A53" s="55" t="s">
        <v>21</v>
      </c>
      <c r="B53" s="55" t="s">
        <v>214</v>
      </c>
      <c r="C53" s="53"/>
      <c r="D53" s="70">
        <f>+'Men Cal Aux Mec seg a sab'!C25</f>
        <v>54.79</v>
      </c>
      <c r="F53" s="60"/>
    </row>
    <row r="54" spans="1:6" s="57" customFormat="1">
      <c r="A54" s="54" t="s">
        <v>69</v>
      </c>
      <c r="B54" s="55" t="s">
        <v>66</v>
      </c>
      <c r="C54" s="36"/>
      <c r="D54" s="56"/>
      <c r="F54" s="60"/>
    </row>
    <row r="55" spans="1:6">
      <c r="A55" s="101" t="s">
        <v>23</v>
      </c>
      <c r="B55" s="101" t="s">
        <v>68</v>
      </c>
      <c r="C55" s="53"/>
      <c r="D55" s="102"/>
      <c r="F55" s="59"/>
    </row>
    <row r="56" spans="1:6">
      <c r="A56" s="54" t="s">
        <v>70</v>
      </c>
      <c r="B56" s="55" t="s">
        <v>66</v>
      </c>
      <c r="C56" s="36"/>
      <c r="D56" s="56"/>
      <c r="F56" s="59"/>
    </row>
    <row r="57" spans="1:6" ht="45">
      <c r="A57" s="101" t="s">
        <v>25</v>
      </c>
      <c r="B57" s="112" t="s">
        <v>227</v>
      </c>
      <c r="C57" s="53"/>
      <c r="D57" s="113">
        <f>+(C6*0.8%)/12</f>
        <v>0.87298000000000009</v>
      </c>
      <c r="F57" s="61"/>
    </row>
    <row r="58" spans="1:6">
      <c r="A58" s="54" t="s">
        <v>71</v>
      </c>
      <c r="B58" s="55" t="s">
        <v>66</v>
      </c>
      <c r="C58" s="36"/>
      <c r="D58" s="56"/>
    </row>
    <row r="59" spans="1:6">
      <c r="A59" s="101" t="s">
        <v>27</v>
      </c>
      <c r="B59" s="243" t="s">
        <v>72</v>
      </c>
      <c r="C59" s="243"/>
      <c r="D59" s="102">
        <v>4.8</v>
      </c>
    </row>
    <row r="60" spans="1:6">
      <c r="A60" s="54" t="s">
        <v>73</v>
      </c>
      <c r="B60" s="55" t="s">
        <v>66</v>
      </c>
      <c r="C60" s="36"/>
      <c r="D60" s="56"/>
    </row>
    <row r="61" spans="1:6">
      <c r="A61" s="217" t="s">
        <v>39</v>
      </c>
      <c r="B61" s="229"/>
      <c r="C61" s="62"/>
      <c r="D61" s="63">
        <f>SUM(D49:D60)</f>
        <v>453.22298000000001</v>
      </c>
    </row>
    <row r="63" spans="1:6">
      <c r="A63" s="222" t="s">
        <v>74</v>
      </c>
      <c r="B63" s="223"/>
      <c r="C63" s="223"/>
      <c r="D63" s="223"/>
    </row>
    <row r="64" spans="1:6">
      <c r="A64" s="64">
        <v>2</v>
      </c>
      <c r="B64" s="240" t="s">
        <v>75</v>
      </c>
      <c r="C64" s="240"/>
      <c r="D64" s="65" t="s">
        <v>16</v>
      </c>
    </row>
    <row r="65" spans="1:4">
      <c r="A65" s="66" t="s">
        <v>42</v>
      </c>
      <c r="B65" s="244" t="s">
        <v>43</v>
      </c>
      <c r="C65" s="244"/>
      <c r="D65" s="46">
        <f>+D33</f>
        <v>331.01</v>
      </c>
    </row>
    <row r="66" spans="1:4">
      <c r="A66" s="66" t="s">
        <v>51</v>
      </c>
      <c r="B66" s="244" t="s">
        <v>52</v>
      </c>
      <c r="C66" s="244"/>
      <c r="D66" s="46">
        <f>+D45</f>
        <v>707.59</v>
      </c>
    </row>
    <row r="67" spans="1:4">
      <c r="A67" s="66" t="s">
        <v>62</v>
      </c>
      <c r="B67" s="244" t="s">
        <v>63</v>
      </c>
      <c r="C67" s="244"/>
      <c r="D67" s="67">
        <f>+D61</f>
        <v>453.22298000000001</v>
      </c>
    </row>
    <row r="68" spans="1:4">
      <c r="A68" s="240" t="s">
        <v>39</v>
      </c>
      <c r="B68" s="240"/>
      <c r="C68" s="240"/>
      <c r="D68" s="68">
        <f>SUM(D65:D67)</f>
        <v>1491.8229799999999</v>
      </c>
    </row>
    <row r="70" spans="1:4">
      <c r="A70" s="222" t="s">
        <v>76</v>
      </c>
      <c r="B70" s="223"/>
      <c r="C70" s="223"/>
      <c r="D70" s="223"/>
    </row>
    <row r="72" spans="1:4">
      <c r="A72" s="69">
        <v>3</v>
      </c>
      <c r="B72" s="32" t="s">
        <v>77</v>
      </c>
      <c r="C72" s="19" t="s">
        <v>15</v>
      </c>
      <c r="D72" s="19" t="s">
        <v>16</v>
      </c>
    </row>
    <row r="73" spans="1:4">
      <c r="A73" s="22" t="s">
        <v>17</v>
      </c>
      <c r="B73" s="55" t="s">
        <v>78</v>
      </c>
      <c r="C73" s="36">
        <f>+D73/$D$23</f>
        <v>8.3357271379906478E-3</v>
      </c>
      <c r="D73" s="70">
        <f>+'Men Cal Aux Mec seg a sab'!C32</f>
        <v>14.19</v>
      </c>
    </row>
    <row r="74" spans="1:4">
      <c r="A74" s="22" t="s">
        <v>19</v>
      </c>
      <c r="B74" s="35" t="s">
        <v>79</v>
      </c>
      <c r="C74" s="71"/>
      <c r="D74" s="28">
        <f>ROUND(+D73*$C$44,2)</f>
        <v>1.1399999999999999</v>
      </c>
    </row>
    <row r="75" spans="1:4" ht="30">
      <c r="A75" s="22" t="s">
        <v>21</v>
      </c>
      <c r="B75" s="72" t="s">
        <v>80</v>
      </c>
      <c r="C75" s="45">
        <f>+D75/$D$23</f>
        <v>3.8242130844481411E-3</v>
      </c>
      <c r="D75" s="28">
        <f>+'Men Cal Aux Mec seg a sab'!C46</f>
        <v>6.51</v>
      </c>
    </row>
    <row r="76" spans="1:4">
      <c r="A76" s="73" t="s">
        <v>23</v>
      </c>
      <c r="B76" s="35" t="s">
        <v>81</v>
      </c>
      <c r="C76" s="45">
        <f>+D76/$D$23</f>
        <v>1.944415562138763E-3</v>
      </c>
      <c r="D76" s="28">
        <f>+'Men Cal Aux Mec seg a sab'!C54</f>
        <v>3.31</v>
      </c>
    </row>
    <row r="77" spans="1:4" ht="30">
      <c r="A77" s="73" t="s">
        <v>25</v>
      </c>
      <c r="B77" s="72" t="s">
        <v>82</v>
      </c>
      <c r="C77" s="71"/>
      <c r="D77" s="74"/>
    </row>
    <row r="78" spans="1:4" ht="30">
      <c r="A78" s="73" t="s">
        <v>27</v>
      </c>
      <c r="B78" s="72" t="s">
        <v>83</v>
      </c>
      <c r="C78" s="45">
        <f>+D78/$D$23</f>
        <v>3.8242130844481411E-3</v>
      </c>
      <c r="D78" s="46">
        <f>+'Men Cal Aux Mec seg a sab'!C68</f>
        <v>6.51</v>
      </c>
    </row>
    <row r="79" spans="1:4">
      <c r="A79" s="217" t="s">
        <v>39</v>
      </c>
      <c r="B79" s="218"/>
      <c r="C79" s="229"/>
      <c r="D79" s="75">
        <f>SUM(D73:D78)</f>
        <v>31.659999999999997</v>
      </c>
    </row>
    <row r="81" spans="1:4">
      <c r="A81" s="222" t="s">
        <v>84</v>
      </c>
      <c r="B81" s="223"/>
      <c r="C81" s="223"/>
      <c r="D81" s="223"/>
    </row>
    <row r="83" spans="1:4">
      <c r="A83" s="237" t="s">
        <v>85</v>
      </c>
      <c r="B83" s="237"/>
      <c r="C83" s="237"/>
      <c r="D83" s="237"/>
    </row>
    <row r="84" spans="1:4">
      <c r="A84" s="69" t="s">
        <v>86</v>
      </c>
      <c r="B84" s="217" t="s">
        <v>87</v>
      </c>
      <c r="C84" s="229"/>
      <c r="D84" s="19" t="s">
        <v>16</v>
      </c>
    </row>
    <row r="85" spans="1:4">
      <c r="A85" s="35" t="s">
        <v>17</v>
      </c>
      <c r="B85" s="224" t="s">
        <v>88</v>
      </c>
      <c r="C85" s="225"/>
      <c r="D85" s="28"/>
    </row>
    <row r="86" spans="1:4">
      <c r="A86" s="55" t="s">
        <v>19</v>
      </c>
      <c r="B86" s="238" t="s">
        <v>87</v>
      </c>
      <c r="C86" s="239"/>
      <c r="D86" s="76">
        <f>+'Men Cal Aux Mec seg a sab'!C81</f>
        <v>4.7300000000000004</v>
      </c>
    </row>
    <row r="87" spans="1:4" s="57" customFormat="1">
      <c r="A87" s="55" t="s">
        <v>21</v>
      </c>
      <c r="B87" s="238" t="s">
        <v>89</v>
      </c>
      <c r="C87" s="239"/>
      <c r="D87" s="76">
        <f>+'Men Cal Aux Mec seg a sab'!C90</f>
        <v>0.35</v>
      </c>
    </row>
    <row r="88" spans="1:4" s="57" customFormat="1">
      <c r="A88" s="55" t="s">
        <v>23</v>
      </c>
      <c r="B88" s="238" t="s">
        <v>90</v>
      </c>
      <c r="C88" s="239"/>
      <c r="D88" s="76">
        <f>+'Men Cal Aux Mec seg a sab'!C98</f>
        <v>5.67</v>
      </c>
    </row>
    <row r="89" spans="1:4" s="57" customFormat="1">
      <c r="A89" s="55" t="s">
        <v>25</v>
      </c>
      <c r="B89" s="238" t="s">
        <v>91</v>
      </c>
      <c r="C89" s="239"/>
      <c r="D89" s="76"/>
    </row>
    <row r="90" spans="1:4" s="57" customFormat="1">
      <c r="A90" s="55" t="s">
        <v>27</v>
      </c>
      <c r="B90" s="238" t="s">
        <v>92</v>
      </c>
      <c r="C90" s="239"/>
      <c r="D90" s="76">
        <f>+'Men Cal Aux Mec seg a sab'!C106</f>
        <v>9.4600000000000009</v>
      </c>
    </row>
    <row r="91" spans="1:4">
      <c r="A91" s="35" t="s">
        <v>29</v>
      </c>
      <c r="B91" s="224" t="s">
        <v>38</v>
      </c>
      <c r="C91" s="225"/>
      <c r="D91" s="28"/>
    </row>
    <row r="92" spans="1:4">
      <c r="A92" s="35" t="s">
        <v>31</v>
      </c>
      <c r="B92" s="224" t="s">
        <v>93</v>
      </c>
      <c r="C92" s="225"/>
      <c r="D92" s="74"/>
    </row>
    <row r="93" spans="1:4">
      <c r="A93" s="231" t="s">
        <v>39</v>
      </c>
      <c r="B93" s="231"/>
      <c r="C93" s="231"/>
      <c r="D93" s="30">
        <f>SUM(D85:D92)</f>
        <v>20.21</v>
      </c>
    </row>
    <row r="94" spans="1:4">
      <c r="D94" s="77"/>
    </row>
    <row r="95" spans="1:4">
      <c r="A95" s="69" t="s">
        <v>94</v>
      </c>
      <c r="B95" s="217" t="s">
        <v>95</v>
      </c>
      <c r="C95" s="229"/>
      <c r="D95" s="19" t="s">
        <v>16</v>
      </c>
    </row>
    <row r="96" spans="1:4" s="57" customFormat="1">
      <c r="A96" s="55" t="s">
        <v>17</v>
      </c>
      <c r="B96" s="232" t="s">
        <v>96</v>
      </c>
      <c r="C96" s="233"/>
      <c r="D96" s="76">
        <f>+'Men Cal Aux Mec seg a sab'!C117</f>
        <v>0.01</v>
      </c>
    </row>
    <row r="97" spans="1:4" s="57" customFormat="1" ht="36.75" customHeight="1">
      <c r="A97" s="55" t="s">
        <v>19</v>
      </c>
      <c r="B97" s="234" t="s">
        <v>97</v>
      </c>
      <c r="C97" s="235"/>
      <c r="D97" s="74"/>
    </row>
    <row r="98" spans="1:4" s="57" customFormat="1" ht="28.5" customHeight="1">
      <c r="A98" s="55" t="s">
        <v>21</v>
      </c>
      <c r="B98" s="234" t="s">
        <v>98</v>
      </c>
      <c r="C98" s="235"/>
      <c r="D98" s="74"/>
    </row>
    <row r="99" spans="1:4">
      <c r="A99" s="35" t="s">
        <v>23</v>
      </c>
      <c r="B99" s="224" t="s">
        <v>38</v>
      </c>
      <c r="C99" s="225"/>
      <c r="D99" s="28"/>
    </row>
    <row r="100" spans="1:4">
      <c r="A100" s="231" t="s">
        <v>39</v>
      </c>
      <c r="B100" s="231"/>
      <c r="C100" s="231"/>
      <c r="D100" s="30">
        <f>SUM(D96:D99)</f>
        <v>0.01</v>
      </c>
    </row>
    <row r="101" spans="1:4">
      <c r="D101" s="77"/>
    </row>
    <row r="102" spans="1:4">
      <c r="A102" s="69" t="s">
        <v>99</v>
      </c>
      <c r="B102" s="231" t="s">
        <v>100</v>
      </c>
      <c r="C102" s="231"/>
      <c r="D102" s="19" t="s">
        <v>16</v>
      </c>
    </row>
    <row r="103" spans="1:4" s="79" customFormat="1">
      <c r="A103" s="73" t="s">
        <v>17</v>
      </c>
      <c r="B103" s="236" t="s">
        <v>101</v>
      </c>
      <c r="C103" s="236"/>
      <c r="D103" s="78"/>
    </row>
    <row r="104" spans="1:4">
      <c r="A104" s="231" t="s">
        <v>39</v>
      </c>
      <c r="B104" s="231"/>
      <c r="C104" s="231"/>
      <c r="D104" s="30">
        <f>SUM(D103:D103)</f>
        <v>0</v>
      </c>
    </row>
    <row r="106" spans="1:4">
      <c r="A106" s="83" t="s">
        <v>102</v>
      </c>
      <c r="B106" s="83"/>
      <c r="C106" s="83"/>
      <c r="D106" s="83"/>
    </row>
    <row r="107" spans="1:4">
      <c r="A107" s="35" t="s">
        <v>86</v>
      </c>
      <c r="B107" s="224" t="s">
        <v>87</v>
      </c>
      <c r="C107" s="225"/>
      <c r="D107" s="46">
        <f>+D93</f>
        <v>20.21</v>
      </c>
    </row>
    <row r="108" spans="1:4">
      <c r="A108" s="35" t="s">
        <v>94</v>
      </c>
      <c r="B108" s="224" t="s">
        <v>95</v>
      </c>
      <c r="C108" s="225"/>
      <c r="D108" s="46">
        <f>+D100</f>
        <v>0.01</v>
      </c>
    </row>
    <row r="109" spans="1:4">
      <c r="A109" s="81"/>
      <c r="B109" s="226" t="s">
        <v>103</v>
      </c>
      <c r="C109" s="227"/>
      <c r="D109" s="82">
        <f>+D108+D107</f>
        <v>20.220000000000002</v>
      </c>
    </row>
    <row r="110" spans="1:4">
      <c r="A110" s="35" t="s">
        <v>99</v>
      </c>
      <c r="B110" s="224" t="s">
        <v>100</v>
      </c>
      <c r="C110" s="225"/>
      <c r="D110" s="46">
        <f>+D104</f>
        <v>0</v>
      </c>
    </row>
    <row r="111" spans="1:4">
      <c r="A111" s="228" t="s">
        <v>39</v>
      </c>
      <c r="B111" s="228"/>
      <c r="C111" s="228"/>
      <c r="D111" s="84">
        <f>+D110+D109</f>
        <v>20.220000000000002</v>
      </c>
    </row>
    <row r="113" spans="1:4">
      <c r="A113" s="222" t="s">
        <v>104</v>
      </c>
      <c r="B113" s="223"/>
      <c r="C113" s="223"/>
      <c r="D113" s="223"/>
    </row>
    <row r="115" spans="1:4">
      <c r="A115" s="69">
        <v>5</v>
      </c>
      <c r="B115" s="217" t="s">
        <v>105</v>
      </c>
      <c r="C115" s="229"/>
      <c r="D115" s="19" t="s">
        <v>16</v>
      </c>
    </row>
    <row r="116" spans="1:4">
      <c r="A116" s="35" t="s">
        <v>17</v>
      </c>
      <c r="B116" s="230" t="s">
        <v>106</v>
      </c>
      <c r="C116" s="230"/>
      <c r="D116" s="28">
        <f>+Uniforme!F31</f>
        <v>91.76</v>
      </c>
    </row>
    <row r="117" spans="1:4">
      <c r="A117" s="35" t="s">
        <v>65</v>
      </c>
      <c r="B117" s="55" t="s">
        <v>66</v>
      </c>
      <c r="C117" s="36"/>
      <c r="D117" s="56"/>
    </row>
    <row r="118" spans="1:4">
      <c r="A118" s="35" t="s">
        <v>19</v>
      </c>
      <c r="B118" s="230" t="s">
        <v>107</v>
      </c>
      <c r="C118" s="230"/>
      <c r="D118" s="28"/>
    </row>
    <row r="119" spans="1:4">
      <c r="A119" s="35" t="s">
        <v>46</v>
      </c>
      <c r="B119" s="55" t="s">
        <v>66</v>
      </c>
      <c r="C119" s="36"/>
      <c r="D119" s="56"/>
    </row>
    <row r="120" spans="1:4">
      <c r="A120" s="35" t="s">
        <v>21</v>
      </c>
      <c r="B120" s="230" t="s">
        <v>108</v>
      </c>
      <c r="C120" s="230"/>
      <c r="D120" s="28">
        <f>+Ferramentas!$G$78</f>
        <v>25.69</v>
      </c>
    </row>
    <row r="121" spans="1:4">
      <c r="A121" s="35" t="s">
        <v>69</v>
      </c>
      <c r="B121" s="55" t="s">
        <v>66</v>
      </c>
      <c r="C121" s="36"/>
      <c r="D121" s="56"/>
    </row>
    <row r="122" spans="1:4">
      <c r="A122" s="35" t="s">
        <v>23</v>
      </c>
      <c r="B122" s="230" t="s">
        <v>38</v>
      </c>
      <c r="C122" s="230"/>
      <c r="D122" s="28"/>
    </row>
    <row r="123" spans="1:4">
      <c r="A123" s="35" t="s">
        <v>70</v>
      </c>
      <c r="B123" s="55" t="s">
        <v>66</v>
      </c>
      <c r="C123" s="36"/>
      <c r="D123" s="56"/>
    </row>
    <row r="124" spans="1:4">
      <c r="A124" s="231" t="s">
        <v>39</v>
      </c>
      <c r="B124" s="231"/>
      <c r="C124" s="231"/>
      <c r="D124" s="30">
        <f>SUM(D116:D122)</f>
        <v>117.45</v>
      </c>
    </row>
    <row r="126" spans="1:4">
      <c r="A126" s="222" t="s">
        <v>109</v>
      </c>
      <c r="B126" s="223"/>
      <c r="C126" s="223"/>
      <c r="D126" s="223"/>
    </row>
    <row r="128" spans="1:4">
      <c r="A128" s="69">
        <v>6</v>
      </c>
      <c r="B128" s="32" t="s">
        <v>110</v>
      </c>
      <c r="C128" s="85" t="s">
        <v>15</v>
      </c>
      <c r="D128" s="19" t="s">
        <v>16</v>
      </c>
    </row>
    <row r="129" spans="1:7">
      <c r="A129" s="101" t="s">
        <v>17</v>
      </c>
      <c r="B129" s="101" t="s">
        <v>111</v>
      </c>
      <c r="C129" s="308">
        <f>Apresentação!F55</f>
        <v>3.3953999999999998E-2</v>
      </c>
      <c r="D129" s="102">
        <f>($D$124+$D$111+$D$79+$D$68+$D$23)*C129</f>
        <v>114.20305597692</v>
      </c>
    </row>
    <row r="130" spans="1:7">
      <c r="A130" s="101" t="s">
        <v>19</v>
      </c>
      <c r="B130" s="101" t="s">
        <v>112</v>
      </c>
      <c r="C130" s="308">
        <f>Apresentação!F56</f>
        <v>3.3953999999999998E-2</v>
      </c>
      <c r="D130" s="102">
        <f>($D$124+$D$111+$D$79+$D$68+$D$23+D129)*C130</f>
        <v>118.08070653956034</v>
      </c>
    </row>
    <row r="131" spans="1:7" s="87" customFormat="1" ht="12.75">
      <c r="A131" s="211" t="s">
        <v>113</v>
      </c>
      <c r="B131" s="212"/>
      <c r="C131" s="213"/>
      <c r="D131" s="86">
        <f>++D130+D129+D124+D111+D79+D68+D23</f>
        <v>3595.7477425164807</v>
      </c>
    </row>
    <row r="132" spans="1:7" s="87" customFormat="1" ht="33" customHeight="1">
      <c r="A132" s="214" t="s">
        <v>114</v>
      </c>
      <c r="B132" s="215"/>
      <c r="C132" s="216"/>
      <c r="D132" s="86">
        <f>ROUND(D131/(1-(C135+C136+C138+C140+C141)),2)</f>
        <v>3936.23</v>
      </c>
    </row>
    <row r="133" spans="1:7">
      <c r="A133" s="35" t="s">
        <v>21</v>
      </c>
      <c r="B133" s="35" t="s">
        <v>115</v>
      </c>
      <c r="C133" s="45"/>
      <c r="D133" s="35"/>
    </row>
    <row r="134" spans="1:7">
      <c r="A134" s="35" t="s">
        <v>69</v>
      </c>
      <c r="B134" s="35" t="s">
        <v>116</v>
      </c>
      <c r="C134" s="45"/>
      <c r="D134" s="35"/>
    </row>
    <row r="135" spans="1:7">
      <c r="A135" s="101" t="s">
        <v>117</v>
      </c>
      <c r="B135" s="101" t="s">
        <v>118</v>
      </c>
      <c r="C135" s="103">
        <v>6.4999999999999997E-3</v>
      </c>
      <c r="D135" s="102">
        <f>ROUND(C135*$D$132,2)</f>
        <v>25.59</v>
      </c>
      <c r="G135" s="88"/>
    </row>
    <row r="136" spans="1:7">
      <c r="A136" s="101" t="s">
        <v>119</v>
      </c>
      <c r="B136" s="101" t="s">
        <v>120</v>
      </c>
      <c r="C136" s="103">
        <v>0.03</v>
      </c>
      <c r="D136" s="102">
        <f>ROUND(C136*$D$132,2)</f>
        <v>118.09</v>
      </c>
      <c r="G136" s="88"/>
    </row>
    <row r="137" spans="1:7">
      <c r="A137" s="35" t="s">
        <v>121</v>
      </c>
      <c r="B137" s="35" t="s">
        <v>122</v>
      </c>
      <c r="C137" s="45"/>
      <c r="D137" s="46"/>
      <c r="G137" s="88"/>
    </row>
    <row r="138" spans="1:7">
      <c r="A138" s="35" t="s">
        <v>123</v>
      </c>
      <c r="B138" s="35" t="s">
        <v>124</v>
      </c>
      <c r="C138" s="45"/>
      <c r="D138" s="35"/>
      <c r="G138" s="88"/>
    </row>
    <row r="139" spans="1:7">
      <c r="A139" s="35" t="s">
        <v>125</v>
      </c>
      <c r="B139" s="35" t="s">
        <v>126</v>
      </c>
      <c r="C139" s="45"/>
      <c r="D139" s="35"/>
    </row>
    <row r="140" spans="1:7">
      <c r="A140" s="101" t="s">
        <v>127</v>
      </c>
      <c r="B140" s="101" t="s">
        <v>128</v>
      </c>
      <c r="C140" s="103">
        <v>0.05</v>
      </c>
      <c r="D140" s="102">
        <f>ROUND(C140*$D$132,2)</f>
        <v>196.81</v>
      </c>
    </row>
    <row r="141" spans="1:7">
      <c r="A141" s="35" t="s">
        <v>129</v>
      </c>
      <c r="B141" s="35" t="s">
        <v>130</v>
      </c>
      <c r="C141" s="45"/>
      <c r="D141" s="35"/>
    </row>
    <row r="142" spans="1:7">
      <c r="A142" s="217" t="s">
        <v>39</v>
      </c>
      <c r="B142" s="218"/>
      <c r="C142" s="89">
        <f>+C141+C140+C138+C136+C135+C130+C129</f>
        <v>0.15440799999999999</v>
      </c>
      <c r="D142" s="30">
        <f>+D140+D138+D136+D135+D130+D129</f>
        <v>572.77376251648036</v>
      </c>
    </row>
    <row r="144" spans="1:7">
      <c r="A144" s="219" t="s">
        <v>131</v>
      </c>
      <c r="B144" s="219"/>
      <c r="C144" s="219"/>
      <c r="D144" s="219"/>
    </row>
    <row r="145" spans="1:5">
      <c r="A145" s="35" t="s">
        <v>17</v>
      </c>
      <c r="B145" s="220" t="s">
        <v>132</v>
      </c>
      <c r="C145" s="220"/>
      <c r="D145" s="28">
        <f>+D23</f>
        <v>1702.3110000000001</v>
      </c>
    </row>
    <row r="146" spans="1:5">
      <c r="A146" s="35" t="s">
        <v>133</v>
      </c>
      <c r="B146" s="220" t="s">
        <v>134</v>
      </c>
      <c r="C146" s="220"/>
      <c r="D146" s="28">
        <f>+D68</f>
        <v>1491.8229799999999</v>
      </c>
    </row>
    <row r="147" spans="1:5">
      <c r="A147" s="35" t="s">
        <v>21</v>
      </c>
      <c r="B147" s="220" t="s">
        <v>135</v>
      </c>
      <c r="C147" s="220"/>
      <c r="D147" s="28">
        <f>+D79</f>
        <v>31.659999999999997</v>
      </c>
    </row>
    <row r="148" spans="1:5">
      <c r="A148" s="35" t="s">
        <v>23</v>
      </c>
      <c r="B148" s="220" t="s">
        <v>136</v>
      </c>
      <c r="C148" s="220"/>
      <c r="D148" s="28">
        <f>+D111</f>
        <v>20.220000000000002</v>
      </c>
    </row>
    <row r="149" spans="1:5">
      <c r="A149" s="35" t="s">
        <v>25</v>
      </c>
      <c r="B149" s="220" t="s">
        <v>137</v>
      </c>
      <c r="C149" s="220"/>
      <c r="D149" s="28">
        <f>+D124</f>
        <v>117.45</v>
      </c>
    </row>
    <row r="150" spans="1:5">
      <c r="B150" s="221" t="s">
        <v>138</v>
      </c>
      <c r="C150" s="221"/>
      <c r="D150" s="90">
        <f>SUM(D145:D149)</f>
        <v>3363.4639799999995</v>
      </c>
    </row>
    <row r="151" spans="1:5">
      <c r="A151" s="35" t="s">
        <v>27</v>
      </c>
      <c r="B151" s="220" t="s">
        <v>139</v>
      </c>
      <c r="C151" s="220"/>
      <c r="D151" s="28">
        <f>+D142</f>
        <v>572.77376251648036</v>
      </c>
    </row>
    <row r="153" spans="1:5">
      <c r="A153" s="210" t="s">
        <v>140</v>
      </c>
      <c r="B153" s="210"/>
      <c r="C153" s="210"/>
      <c r="D153" s="91">
        <f>ROUND(+D151+D150,2)</f>
        <v>3936.24</v>
      </c>
    </row>
    <row r="155" spans="1:5">
      <c r="A155" s="93" t="s">
        <v>215</v>
      </c>
      <c r="B155" s="93"/>
      <c r="C155" s="93"/>
      <c r="D155" s="93"/>
      <c r="E155" s="93"/>
    </row>
    <row r="156" spans="1:5">
      <c r="A156" s="93" t="s">
        <v>238</v>
      </c>
      <c r="B156" s="93"/>
      <c r="C156" s="93"/>
      <c r="D156" s="93"/>
      <c r="E156" s="93"/>
    </row>
    <row r="157" spans="1:5">
      <c r="A157" s="93"/>
      <c r="B157" s="93"/>
      <c r="C157" s="93"/>
      <c r="D157" s="93"/>
      <c r="E157" s="93"/>
    </row>
    <row r="158" spans="1:5">
      <c r="A158" s="93"/>
      <c r="B158" s="93"/>
      <c r="C158" s="93"/>
      <c r="D158" s="93"/>
      <c r="E158" s="93"/>
    </row>
    <row r="159" spans="1:5">
      <c r="A159" s="93"/>
      <c r="B159" s="93"/>
      <c r="C159" s="93"/>
      <c r="D159" s="93"/>
      <c r="E159" s="93"/>
    </row>
    <row r="160" spans="1:5">
      <c r="A160" s="93"/>
      <c r="B160" s="93"/>
      <c r="C160" s="93"/>
      <c r="D160" s="93"/>
      <c r="E160" s="93"/>
    </row>
    <row r="161" spans="1:5">
      <c r="A161" s="93"/>
      <c r="B161" s="93"/>
      <c r="C161" s="93"/>
      <c r="D161" s="93"/>
      <c r="E161" s="93"/>
    </row>
    <row r="162" spans="1:5">
      <c r="A162" s="93"/>
      <c r="B162" s="93"/>
      <c r="C162" s="93"/>
      <c r="D162" s="93"/>
      <c r="E162" s="93"/>
    </row>
    <row r="163" spans="1:5">
      <c r="A163" s="93"/>
      <c r="B163" s="93"/>
      <c r="C163" s="93"/>
      <c r="D163" s="93"/>
      <c r="E163" s="93"/>
    </row>
    <row r="164" spans="1:5">
      <c r="A164" s="93"/>
      <c r="B164" s="93"/>
      <c r="C164" s="93"/>
      <c r="D164" s="93"/>
      <c r="E164" s="93"/>
    </row>
    <row r="165" spans="1:5">
      <c r="A165" s="93"/>
      <c r="B165" s="93"/>
      <c r="C165" s="93"/>
      <c r="D165" s="93"/>
      <c r="E165" s="93"/>
    </row>
    <row r="166" spans="1:5">
      <c r="A166" s="93"/>
      <c r="B166" s="93"/>
      <c r="C166" s="93"/>
      <c r="D166" s="93"/>
      <c r="E166" s="93"/>
    </row>
    <row r="167" spans="1:5">
      <c r="A167" s="93"/>
      <c r="B167" s="93"/>
      <c r="C167" s="93"/>
      <c r="D167" s="93"/>
      <c r="E167" s="93"/>
    </row>
  </sheetData>
  <mergeCells count="78"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C7:D7"/>
    <mergeCell ref="A1:D1"/>
    <mergeCell ref="A3:D3"/>
    <mergeCell ref="C4:D4"/>
    <mergeCell ref="C5:D5"/>
    <mergeCell ref="C6:D6"/>
  </mergeCells>
  <pageMargins left="1.48" right="0.09" top="0.78740157480314965" bottom="0.49" header="0.31496062992125984" footer="0.31496062992125984"/>
  <pageSetup paperSize="9" scale="80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C132"/>
  <sheetViews>
    <sheetView workbookViewId="0">
      <selection sqref="A1:C1"/>
    </sheetView>
  </sheetViews>
  <sheetFormatPr defaultRowHeight="15"/>
  <cols>
    <col min="1" max="1" width="73.7109375" customWidth="1"/>
    <col min="2" max="2" width="14" bestFit="1" customWidth="1"/>
    <col min="3" max="3" width="13.7109375" bestFit="1" customWidth="1"/>
    <col min="4" max="4" width="10.7109375" bestFit="1" customWidth="1"/>
    <col min="5" max="5" width="79" customWidth="1"/>
  </cols>
  <sheetData>
    <row r="1" spans="1:3" ht="38.25" customHeight="1">
      <c r="A1" s="289" t="s">
        <v>232</v>
      </c>
      <c r="B1" s="289"/>
      <c r="C1" s="289"/>
    </row>
    <row r="3" spans="1:3">
      <c r="A3" s="35" t="s">
        <v>141</v>
      </c>
      <c r="B3" s="35">
        <v>220</v>
      </c>
    </row>
    <row r="4" spans="1:3">
      <c r="A4" s="35" t="s">
        <v>142</v>
      </c>
      <c r="B4" s="35">
        <v>365.25</v>
      </c>
    </row>
    <row r="5" spans="1:3">
      <c r="A5" s="35" t="s">
        <v>143</v>
      </c>
      <c r="B5" s="94">
        <f>(365.25/12)/(7/6)</f>
        <v>26.089285714285712</v>
      </c>
    </row>
    <row r="6" spans="1:3">
      <c r="A6" s="55" t="s">
        <v>18</v>
      </c>
      <c r="B6" s="46">
        <f>+'Aux de Mecanica seg a sab'!D12</f>
        <v>1309.47</v>
      </c>
    </row>
    <row r="7" spans="1:3">
      <c r="A7" s="55" t="s">
        <v>144</v>
      </c>
      <c r="B7" s="46">
        <f>+'Aux de Mecanica seg a sab'!D23</f>
        <v>1702.3110000000001</v>
      </c>
    </row>
    <row r="9" spans="1:3">
      <c r="A9" s="262" t="s">
        <v>145</v>
      </c>
      <c r="B9" s="263"/>
      <c r="C9" s="264"/>
    </row>
    <row r="10" spans="1:3">
      <c r="A10" s="35" t="s">
        <v>146</v>
      </c>
      <c r="B10" s="35">
        <f>+$B$4</f>
        <v>365.25</v>
      </c>
      <c r="C10" s="71"/>
    </row>
    <row r="11" spans="1:3">
      <c r="A11" s="35" t="s">
        <v>147</v>
      </c>
      <c r="B11" s="55">
        <v>12</v>
      </c>
      <c r="C11" s="71"/>
    </row>
    <row r="12" spans="1:3">
      <c r="A12" s="35" t="s">
        <v>148</v>
      </c>
      <c r="B12" s="45">
        <v>1</v>
      </c>
      <c r="C12" s="71"/>
    </row>
    <row r="13" spans="1:3">
      <c r="A13" s="55" t="s">
        <v>149</v>
      </c>
      <c r="B13" s="94">
        <f>(365.25/12)/(7/6)</f>
        <v>26.089285714285712</v>
      </c>
      <c r="C13" s="71"/>
    </row>
    <row r="14" spans="1:3">
      <c r="A14" s="101" t="s">
        <v>150</v>
      </c>
      <c r="B14" s="114">
        <v>4.05</v>
      </c>
      <c r="C14" s="71"/>
    </row>
    <row r="15" spans="1:3">
      <c r="A15" s="35" t="s">
        <v>151</v>
      </c>
      <c r="B15" s="45">
        <v>0.06</v>
      </c>
      <c r="C15" s="71"/>
    </row>
    <row r="16" spans="1:3">
      <c r="A16" s="258" t="s">
        <v>152</v>
      </c>
      <c r="B16" s="260"/>
      <c r="C16" s="92">
        <f>ROUND((B13*(B14*2)-($B$6*B15)),2)</f>
        <v>132.76</v>
      </c>
    </row>
    <row r="18" spans="1:3">
      <c r="A18" s="262" t="s">
        <v>211</v>
      </c>
      <c r="B18" s="263"/>
      <c r="C18" s="264"/>
    </row>
    <row r="19" spans="1:3">
      <c r="A19" s="35" t="s">
        <v>146</v>
      </c>
      <c r="B19" s="35">
        <f>+$B$4</f>
        <v>365.25</v>
      </c>
      <c r="C19" s="71"/>
    </row>
    <row r="20" spans="1:3">
      <c r="A20" s="35" t="s">
        <v>147</v>
      </c>
      <c r="B20" s="55">
        <v>12</v>
      </c>
      <c r="C20" s="71"/>
    </row>
    <row r="21" spans="1:3">
      <c r="A21" s="35" t="s">
        <v>148</v>
      </c>
      <c r="B21" s="45">
        <v>1</v>
      </c>
      <c r="C21" s="71"/>
    </row>
    <row r="22" spans="1:3">
      <c r="A22" s="55" t="s">
        <v>212</v>
      </c>
      <c r="B22" s="94">
        <f>(365.25/12)/(7/6)</f>
        <v>26.089285714285712</v>
      </c>
      <c r="C22" s="71"/>
    </row>
    <row r="23" spans="1:3">
      <c r="A23" s="101" t="s">
        <v>213</v>
      </c>
      <c r="B23" s="114">
        <v>2.1</v>
      </c>
      <c r="C23" s="71"/>
    </row>
    <row r="24" spans="1:3">
      <c r="A24" s="35" t="s">
        <v>154</v>
      </c>
      <c r="B24" s="45">
        <v>0</v>
      </c>
      <c r="C24" s="71"/>
    </row>
    <row r="25" spans="1:3">
      <c r="A25" s="258" t="s">
        <v>153</v>
      </c>
      <c r="B25" s="260"/>
      <c r="C25" s="92">
        <f>ROUND((B22*(B23)-((B22*B23)*B24)),2)</f>
        <v>54.79</v>
      </c>
    </row>
    <row r="28" spans="1:3">
      <c r="A28" s="262" t="s">
        <v>155</v>
      </c>
      <c r="B28" s="263"/>
      <c r="C28" s="264"/>
    </row>
    <row r="29" spans="1:3">
      <c r="A29" s="35" t="s">
        <v>156</v>
      </c>
      <c r="B29" s="46">
        <f>+B7</f>
        <v>1702.3110000000001</v>
      </c>
      <c r="C29" s="71"/>
    </row>
    <row r="30" spans="1:3">
      <c r="A30" s="35" t="s">
        <v>157</v>
      </c>
      <c r="B30" s="35">
        <v>12</v>
      </c>
      <c r="C30" s="71"/>
    </row>
    <row r="31" spans="1:3">
      <c r="A31" s="101" t="s">
        <v>158</v>
      </c>
      <c r="B31" s="103">
        <v>0.1</v>
      </c>
      <c r="C31" s="71"/>
    </row>
    <row r="32" spans="1:3">
      <c r="A32" s="258" t="s">
        <v>159</v>
      </c>
      <c r="B32" s="260"/>
      <c r="C32" s="92">
        <f>ROUND(+(B29/B30)*B31,2)</f>
        <v>14.19</v>
      </c>
    </row>
    <row r="34" spans="1:3">
      <c r="A34" s="265" t="s">
        <v>160</v>
      </c>
      <c r="B34" s="266"/>
      <c r="C34" s="267"/>
    </row>
    <row r="35" spans="1:3" s="57" customFormat="1">
      <c r="A35" s="115" t="s">
        <v>161</v>
      </c>
      <c r="B35" s="103">
        <f>+B31</f>
        <v>0.1</v>
      </c>
      <c r="C35" s="71"/>
    </row>
    <row r="36" spans="1:3">
      <c r="A36" s="35" t="s">
        <v>162</v>
      </c>
      <c r="B36" s="46">
        <f>+'Aux de Mecanica seg a sab'!$D$23</f>
        <v>1702.3110000000001</v>
      </c>
      <c r="C36" s="71"/>
    </row>
    <row r="37" spans="1:3">
      <c r="A37" s="35" t="s">
        <v>44</v>
      </c>
      <c r="B37" s="46">
        <f>+'Aux de Mecanica seg a sab'!$D$29</f>
        <v>141.86000000000001</v>
      </c>
      <c r="C37" s="71"/>
    </row>
    <row r="38" spans="1:3">
      <c r="A38" s="95" t="s">
        <v>47</v>
      </c>
      <c r="B38" s="46">
        <f>+'Aux de Mecanica seg a sab'!$D$31</f>
        <v>141.86000000000001</v>
      </c>
      <c r="C38" s="71"/>
    </row>
    <row r="39" spans="1:3">
      <c r="A39" s="95" t="s">
        <v>49</v>
      </c>
      <c r="B39" s="46">
        <f>+'Aux de Mecanica seg a sab'!$D$32</f>
        <v>47.29</v>
      </c>
      <c r="C39" s="71"/>
    </row>
    <row r="40" spans="1:3">
      <c r="A40" s="96" t="s">
        <v>163</v>
      </c>
      <c r="B40" s="97">
        <f>SUM(B36:B39)</f>
        <v>2033.3210000000004</v>
      </c>
      <c r="C40" s="71"/>
    </row>
    <row r="41" spans="1:3">
      <c r="A41" s="66" t="s">
        <v>164</v>
      </c>
      <c r="B41" s="45">
        <v>0.4</v>
      </c>
      <c r="C41" s="71"/>
    </row>
    <row r="42" spans="1:3">
      <c r="A42" s="66" t="s">
        <v>165</v>
      </c>
      <c r="B42" s="45">
        <f>+'Aux de Mecanica seg a sab'!$C$44</f>
        <v>0.08</v>
      </c>
      <c r="C42" s="71"/>
    </row>
    <row r="43" spans="1:3">
      <c r="A43" s="226" t="s">
        <v>166</v>
      </c>
      <c r="B43" s="227"/>
      <c r="C43" s="82">
        <f>ROUND(+B40*B41*B42*B35,2)</f>
        <v>6.51</v>
      </c>
    </row>
    <row r="44" spans="1:3">
      <c r="A44" s="66" t="s">
        <v>167</v>
      </c>
      <c r="B44" s="141">
        <v>0</v>
      </c>
      <c r="C44" s="71"/>
    </row>
    <row r="45" spans="1:3">
      <c r="A45" s="226" t="s">
        <v>168</v>
      </c>
      <c r="B45" s="227"/>
      <c r="C45" s="98">
        <f>ROUND(B44*B42*B40*B35,2)</f>
        <v>0</v>
      </c>
    </row>
    <row r="46" spans="1:3">
      <c r="A46" s="258" t="s">
        <v>169</v>
      </c>
      <c r="B46" s="260"/>
      <c r="C46" s="84">
        <f>+C45+C43</f>
        <v>6.51</v>
      </c>
    </row>
    <row r="48" spans="1:3">
      <c r="A48" s="262" t="s">
        <v>170</v>
      </c>
      <c r="B48" s="263"/>
      <c r="C48" s="264"/>
    </row>
    <row r="49" spans="1:3">
      <c r="A49" s="35" t="s">
        <v>156</v>
      </c>
      <c r="B49" s="46">
        <f>+B7</f>
        <v>1702.3110000000001</v>
      </c>
      <c r="C49" s="71"/>
    </row>
    <row r="50" spans="1:3">
      <c r="A50" s="35" t="s">
        <v>171</v>
      </c>
      <c r="B50" s="99">
        <v>30</v>
      </c>
      <c r="C50" s="71"/>
    </row>
    <row r="51" spans="1:3">
      <c r="A51" s="35" t="s">
        <v>157</v>
      </c>
      <c r="B51" s="35">
        <v>12</v>
      </c>
      <c r="C51" s="71"/>
    </row>
    <row r="52" spans="1:3">
      <c r="A52" s="35" t="s">
        <v>172</v>
      </c>
      <c r="B52" s="35">
        <v>7</v>
      </c>
      <c r="C52" s="71"/>
    </row>
    <row r="53" spans="1:3">
      <c r="A53" s="101" t="s">
        <v>173</v>
      </c>
      <c r="B53" s="103">
        <v>0.1</v>
      </c>
      <c r="C53" s="71"/>
    </row>
    <row r="54" spans="1:3">
      <c r="A54" s="258" t="s">
        <v>174</v>
      </c>
      <c r="B54" s="260"/>
      <c r="C54" s="92">
        <f>+ROUND(((B49/B50/B51)*B52)*B53,2)</f>
        <v>3.31</v>
      </c>
    </row>
    <row r="56" spans="1:3">
      <c r="A56" s="265" t="s">
        <v>175</v>
      </c>
      <c r="B56" s="266"/>
      <c r="C56" s="267"/>
    </row>
    <row r="57" spans="1:3">
      <c r="A57" s="116" t="s">
        <v>176</v>
      </c>
      <c r="B57" s="103">
        <f>+B53</f>
        <v>0.1</v>
      </c>
      <c r="C57" s="71"/>
    </row>
    <row r="58" spans="1:3">
      <c r="A58" s="35" t="s">
        <v>162</v>
      </c>
      <c r="B58" s="46">
        <f>+'Aux de Mecanica seg a sab'!$D$23</f>
        <v>1702.3110000000001</v>
      </c>
      <c r="C58" s="71"/>
    </row>
    <row r="59" spans="1:3">
      <c r="A59" s="35" t="s">
        <v>44</v>
      </c>
      <c r="B59" s="46">
        <f>+'Aux de Mecanica seg a sab'!$D$29</f>
        <v>141.86000000000001</v>
      </c>
      <c r="C59" s="71"/>
    </row>
    <row r="60" spans="1:3">
      <c r="A60" s="95" t="s">
        <v>47</v>
      </c>
      <c r="B60" s="46">
        <f>+'Aux de Mecanica seg a sab'!$D$31</f>
        <v>141.86000000000001</v>
      </c>
      <c r="C60" s="71"/>
    </row>
    <row r="61" spans="1:3">
      <c r="A61" s="95" t="s">
        <v>49</v>
      </c>
      <c r="B61" s="46">
        <f>+'Aux de Mecanica seg a sab'!$D$32</f>
        <v>47.29</v>
      </c>
      <c r="C61" s="71"/>
    </row>
    <row r="62" spans="1:3">
      <c r="A62" s="96" t="s">
        <v>163</v>
      </c>
      <c r="B62" s="97">
        <f>SUM(B58:B61)</f>
        <v>2033.3210000000004</v>
      </c>
      <c r="C62" s="71"/>
    </row>
    <row r="63" spans="1:3">
      <c r="A63" s="66" t="s">
        <v>164</v>
      </c>
      <c r="B63" s="45">
        <v>0.4</v>
      </c>
      <c r="C63" s="71"/>
    </row>
    <row r="64" spans="1:3">
      <c r="A64" s="66" t="s">
        <v>165</v>
      </c>
      <c r="B64" s="45">
        <f>+'Aux de Mecanica seg a sab'!$C$44</f>
        <v>0.08</v>
      </c>
      <c r="C64" s="71"/>
    </row>
    <row r="65" spans="1:3">
      <c r="A65" s="226" t="s">
        <v>166</v>
      </c>
      <c r="B65" s="227"/>
      <c r="C65" s="82">
        <f>ROUND(+B62*B63*B64*B57,2)</f>
        <v>6.51</v>
      </c>
    </row>
    <row r="66" spans="1:3">
      <c r="A66" s="66" t="s">
        <v>167</v>
      </c>
      <c r="B66" s="141">
        <v>0</v>
      </c>
      <c r="C66" s="71"/>
    </row>
    <row r="67" spans="1:3">
      <c r="A67" s="226" t="s">
        <v>168</v>
      </c>
      <c r="B67" s="227"/>
      <c r="C67" s="98">
        <f>ROUND(B66*B64*B62*B57,2)</f>
        <v>0</v>
      </c>
    </row>
    <row r="68" spans="1:3">
      <c r="A68" s="258" t="s">
        <v>177</v>
      </c>
      <c r="B68" s="260"/>
      <c r="C68" s="84">
        <f>+C67+C65</f>
        <v>6.51</v>
      </c>
    </row>
    <row r="70" spans="1:3">
      <c r="A70" s="265" t="s">
        <v>178</v>
      </c>
      <c r="B70" s="266"/>
      <c r="C70" s="267"/>
    </row>
    <row r="71" spans="1:3">
      <c r="A71" s="271" t="s">
        <v>179</v>
      </c>
      <c r="B71" s="272"/>
      <c r="C71" s="273"/>
    </row>
    <row r="72" spans="1:3">
      <c r="A72" s="274"/>
      <c r="B72" s="275"/>
      <c r="C72" s="276"/>
    </row>
    <row r="73" spans="1:3">
      <c r="A73" s="274"/>
      <c r="B73" s="275"/>
      <c r="C73" s="276"/>
    </row>
    <row r="74" spans="1:3">
      <c r="A74" s="277"/>
      <c r="B74" s="278"/>
      <c r="C74" s="279"/>
    </row>
    <row r="75" spans="1:3">
      <c r="A75" s="100"/>
      <c r="B75" s="100"/>
      <c r="C75" s="100"/>
    </row>
    <row r="76" spans="1:3">
      <c r="A76" s="265" t="s">
        <v>180</v>
      </c>
      <c r="B76" s="266"/>
      <c r="C76" s="267"/>
    </row>
    <row r="77" spans="1:3">
      <c r="A77" s="35" t="s">
        <v>181</v>
      </c>
      <c r="B77" s="46">
        <f>+$B$7</f>
        <v>1702.3110000000001</v>
      </c>
      <c r="C77" s="71"/>
    </row>
    <row r="78" spans="1:3">
      <c r="A78" s="35" t="s">
        <v>147</v>
      </c>
      <c r="B78" s="35">
        <v>30</v>
      </c>
      <c r="C78" s="71"/>
    </row>
    <row r="79" spans="1:3">
      <c r="A79" s="35" t="s">
        <v>182</v>
      </c>
      <c r="B79" s="35">
        <v>12</v>
      </c>
      <c r="C79" s="71"/>
    </row>
    <row r="80" spans="1:3">
      <c r="A80" s="101" t="s">
        <v>183</v>
      </c>
      <c r="B80" s="101">
        <v>1</v>
      </c>
      <c r="C80" s="71"/>
    </row>
    <row r="81" spans="1:3">
      <c r="A81" s="258" t="s">
        <v>184</v>
      </c>
      <c r="B81" s="260"/>
      <c r="C81" s="64">
        <f>+ROUND((B77/B78/B79)*B80,2)</f>
        <v>4.7300000000000004</v>
      </c>
    </row>
    <row r="83" spans="1:3">
      <c r="A83" s="265" t="s">
        <v>185</v>
      </c>
      <c r="B83" s="266"/>
      <c r="C83" s="267"/>
    </row>
    <row r="84" spans="1:3">
      <c r="A84" s="35" t="s">
        <v>181</v>
      </c>
      <c r="B84" s="46">
        <f>+$B$7</f>
        <v>1702.3110000000001</v>
      </c>
      <c r="C84" s="71"/>
    </row>
    <row r="85" spans="1:3">
      <c r="A85" s="35" t="s">
        <v>147</v>
      </c>
      <c r="B85" s="35">
        <v>30</v>
      </c>
      <c r="C85" s="71"/>
    </row>
    <row r="86" spans="1:3">
      <c r="A86" s="35" t="s">
        <v>182</v>
      </c>
      <c r="B86" s="35">
        <v>12</v>
      </c>
      <c r="C86" s="71"/>
    </row>
    <row r="87" spans="1:3">
      <c r="A87" s="55" t="s">
        <v>186</v>
      </c>
      <c r="B87" s="35">
        <v>5</v>
      </c>
      <c r="C87" s="71"/>
    </row>
    <row r="88" spans="1:3">
      <c r="A88" s="101" t="s">
        <v>187</v>
      </c>
      <c r="B88" s="103">
        <v>1.4999999999999999E-2</v>
      </c>
      <c r="C88" s="71"/>
    </row>
    <row r="89" spans="1:3">
      <c r="A89" s="101" t="s">
        <v>188</v>
      </c>
      <c r="B89" s="103">
        <v>0.99239999999999995</v>
      </c>
      <c r="C89" s="71"/>
    </row>
    <row r="90" spans="1:3">
      <c r="A90" s="258" t="s">
        <v>189</v>
      </c>
      <c r="B90" s="260"/>
      <c r="C90" s="92">
        <f>ROUND(+B84/B85/B86*B87*B88*B89,2)</f>
        <v>0.35</v>
      </c>
    </row>
    <row r="92" spans="1:3">
      <c r="A92" s="265" t="s">
        <v>190</v>
      </c>
      <c r="B92" s="266"/>
      <c r="C92" s="267"/>
    </row>
    <row r="93" spans="1:3">
      <c r="A93" s="35" t="s">
        <v>181</v>
      </c>
      <c r="B93" s="46">
        <f>+$B$7</f>
        <v>1702.3110000000001</v>
      </c>
      <c r="C93" s="71"/>
    </row>
    <row r="94" spans="1:3">
      <c r="A94" s="35" t="s">
        <v>147</v>
      </c>
      <c r="B94" s="35">
        <v>30</v>
      </c>
      <c r="C94" s="71"/>
    </row>
    <row r="95" spans="1:3">
      <c r="A95" s="35" t="s">
        <v>182</v>
      </c>
      <c r="B95" s="35">
        <v>12</v>
      </c>
      <c r="C95" s="71"/>
    </row>
    <row r="96" spans="1:3">
      <c r="A96" s="55" t="s">
        <v>191</v>
      </c>
      <c r="B96" s="35">
        <v>15</v>
      </c>
      <c r="C96" s="71"/>
    </row>
    <row r="97" spans="1:3">
      <c r="A97" s="101" t="s">
        <v>192</v>
      </c>
      <c r="B97" s="103">
        <v>0.08</v>
      </c>
      <c r="C97" s="71"/>
    </row>
    <row r="98" spans="1:3">
      <c r="A98" s="258" t="s">
        <v>193</v>
      </c>
      <c r="B98" s="260"/>
      <c r="C98" s="92">
        <f>ROUND(+B93/B94/B95*B96*B97,2)</f>
        <v>5.67</v>
      </c>
    </row>
    <row r="100" spans="1:3">
      <c r="A100" s="265" t="s">
        <v>194</v>
      </c>
      <c r="B100" s="266"/>
      <c r="C100" s="267"/>
    </row>
    <row r="101" spans="1:3">
      <c r="A101" s="35" t="s">
        <v>181</v>
      </c>
      <c r="B101" s="46">
        <f>+$B$7</f>
        <v>1702.3110000000001</v>
      </c>
      <c r="C101" s="71"/>
    </row>
    <row r="102" spans="1:3">
      <c r="A102" s="35" t="s">
        <v>147</v>
      </c>
      <c r="B102" s="35">
        <v>30</v>
      </c>
      <c r="C102" s="71"/>
    </row>
    <row r="103" spans="1:3">
      <c r="A103" s="35" t="s">
        <v>182</v>
      </c>
      <c r="B103" s="35">
        <v>12</v>
      </c>
      <c r="C103" s="71"/>
    </row>
    <row r="104" spans="1:3">
      <c r="A104" s="55" t="s">
        <v>191</v>
      </c>
      <c r="B104" s="35">
        <v>5</v>
      </c>
      <c r="C104" s="71"/>
    </row>
    <row r="105" spans="1:3">
      <c r="A105" s="101" t="s">
        <v>195</v>
      </c>
      <c r="B105" s="103">
        <v>0.4</v>
      </c>
      <c r="C105" s="71"/>
    </row>
    <row r="106" spans="1:3">
      <c r="A106" s="258" t="s">
        <v>196</v>
      </c>
      <c r="B106" s="260"/>
      <c r="C106" s="92">
        <f>ROUND(+B101/B102/B103*B104*B105,2)</f>
        <v>9.4600000000000009</v>
      </c>
    </row>
    <row r="108" spans="1:3">
      <c r="A108" s="265" t="s">
        <v>197</v>
      </c>
      <c r="B108" s="266"/>
      <c r="C108" s="267"/>
    </row>
    <row r="109" spans="1:3">
      <c r="A109" s="268" t="s">
        <v>198</v>
      </c>
      <c r="B109" s="269"/>
      <c r="C109" s="270"/>
    </row>
    <row r="110" spans="1:3">
      <c r="A110" s="35" t="s">
        <v>181</v>
      </c>
      <c r="B110" s="46">
        <f>+$B$7</f>
        <v>1702.3110000000001</v>
      </c>
      <c r="C110" s="71"/>
    </row>
    <row r="111" spans="1:3">
      <c r="A111" s="35" t="s">
        <v>199</v>
      </c>
      <c r="B111" s="46">
        <f>+B110*(1/3)</f>
        <v>567.43700000000001</v>
      </c>
      <c r="C111" s="71"/>
    </row>
    <row r="112" spans="1:3">
      <c r="A112" s="96" t="s">
        <v>163</v>
      </c>
      <c r="B112" s="97">
        <f>SUM(B110:B111)</f>
        <v>2269.748</v>
      </c>
      <c r="C112" s="71"/>
    </row>
    <row r="113" spans="1:3">
      <c r="A113" s="35" t="s">
        <v>200</v>
      </c>
      <c r="B113" s="35">
        <v>4</v>
      </c>
      <c r="C113" s="71"/>
    </row>
    <row r="114" spans="1:3">
      <c r="A114" s="35" t="s">
        <v>182</v>
      </c>
      <c r="B114" s="35">
        <v>12</v>
      </c>
      <c r="C114" s="71"/>
    </row>
    <row r="115" spans="1:3">
      <c r="A115" s="101" t="s">
        <v>201</v>
      </c>
      <c r="B115" s="103">
        <v>0.02</v>
      </c>
      <c r="C115" s="71"/>
    </row>
    <row r="116" spans="1:3">
      <c r="A116" s="101" t="s">
        <v>202</v>
      </c>
      <c r="B116" s="103">
        <v>7.6E-3</v>
      </c>
      <c r="C116" s="71"/>
    </row>
    <row r="117" spans="1:3">
      <c r="A117" s="258" t="s">
        <v>203</v>
      </c>
      <c r="B117" s="260"/>
      <c r="C117" s="92">
        <f>ROUND((((+B112*(B113/B114)/B114)*B115)*B116),2)</f>
        <v>0.01</v>
      </c>
    </row>
    <row r="118" spans="1:3">
      <c r="A118" s="258" t="s">
        <v>204</v>
      </c>
      <c r="B118" s="259"/>
      <c r="C118" s="260"/>
    </row>
    <row r="119" spans="1:3">
      <c r="A119" s="35" t="s">
        <v>181</v>
      </c>
      <c r="B119" s="46">
        <f>+'Aux de Mecanica seg a sab'!D23</f>
        <v>1702.3110000000001</v>
      </c>
      <c r="C119" s="71"/>
    </row>
    <row r="120" spans="1:3">
      <c r="A120" s="35" t="s">
        <v>44</v>
      </c>
      <c r="B120" s="46">
        <f>+'Aux de Mecanica seg a sab'!D29</f>
        <v>141.86000000000001</v>
      </c>
      <c r="C120" s="71"/>
    </row>
    <row r="121" spans="1:3">
      <c r="A121" s="96" t="s">
        <v>163</v>
      </c>
      <c r="B121" s="97">
        <f>SUM(B119:B120)</f>
        <v>1844.1710000000003</v>
      </c>
      <c r="C121" s="71"/>
    </row>
    <row r="122" spans="1:3">
      <c r="A122" s="35" t="s">
        <v>200</v>
      </c>
      <c r="B122" s="35">
        <v>4</v>
      </c>
      <c r="C122" s="71"/>
    </row>
    <row r="123" spans="1:3">
      <c r="A123" s="35" t="s">
        <v>182</v>
      </c>
      <c r="B123" s="35">
        <v>12</v>
      </c>
      <c r="C123" s="71"/>
    </row>
    <row r="124" spans="1:3">
      <c r="A124" s="101" t="s">
        <v>201</v>
      </c>
      <c r="B124" s="103">
        <f>+B115</f>
        <v>0.02</v>
      </c>
      <c r="C124" s="71"/>
    </row>
    <row r="125" spans="1:3">
      <c r="A125" s="101" t="s">
        <v>202</v>
      </c>
      <c r="B125" s="103">
        <f>+B116</f>
        <v>7.6E-3</v>
      </c>
      <c r="C125" s="71"/>
    </row>
    <row r="126" spans="1:3">
      <c r="A126" s="55" t="s">
        <v>205</v>
      </c>
      <c r="B126" s="45">
        <f>+'Aux de Mecanica seg a sab'!C45</f>
        <v>0.34800000000000003</v>
      </c>
      <c r="C126" s="71"/>
    </row>
    <row r="127" spans="1:3">
      <c r="A127" s="258" t="s">
        <v>206</v>
      </c>
      <c r="B127" s="260"/>
      <c r="C127" s="84">
        <f>ROUND((((B121*(B122/B123)*B124)*B125)*B126),2)</f>
        <v>0.03</v>
      </c>
    </row>
    <row r="129" spans="1:3" ht="30.75" customHeight="1">
      <c r="A129" s="261" t="s">
        <v>234</v>
      </c>
      <c r="B129" s="261"/>
      <c r="C129" s="261"/>
    </row>
    <row r="130" spans="1:3">
      <c r="C130" s="77"/>
    </row>
    <row r="131" spans="1:3">
      <c r="C131" s="77"/>
    </row>
    <row r="132" spans="1:3">
      <c r="C132" s="77"/>
    </row>
  </sheetData>
  <mergeCells count="33">
    <mergeCell ref="A118:C118"/>
    <mergeCell ref="A127:B127"/>
    <mergeCell ref="A129:C129"/>
    <mergeCell ref="A98:B98"/>
    <mergeCell ref="A100:C100"/>
    <mergeCell ref="A106:B106"/>
    <mergeCell ref="A108:C108"/>
    <mergeCell ref="A109:C109"/>
    <mergeCell ref="A117:B117"/>
    <mergeCell ref="A92:C92"/>
    <mergeCell ref="A54:B54"/>
    <mergeCell ref="A56:C56"/>
    <mergeCell ref="A65:B65"/>
    <mergeCell ref="A67:B67"/>
    <mergeCell ref="A68:B68"/>
    <mergeCell ref="A70:C70"/>
    <mergeCell ref="A71:C74"/>
    <mergeCell ref="A76:C76"/>
    <mergeCell ref="A81:B81"/>
    <mergeCell ref="A83:C83"/>
    <mergeCell ref="A90:B90"/>
    <mergeCell ref="A48:C48"/>
    <mergeCell ref="A1:C1"/>
    <mergeCell ref="A9:C9"/>
    <mergeCell ref="A16:B16"/>
    <mergeCell ref="A18:C18"/>
    <mergeCell ref="A25:B25"/>
    <mergeCell ref="A28:C28"/>
    <mergeCell ref="A32:B32"/>
    <mergeCell ref="A34:C34"/>
    <mergeCell ref="A43:B43"/>
    <mergeCell ref="A45:B45"/>
    <mergeCell ref="A46:B46"/>
  </mergeCells>
  <pageMargins left="1.2" right="0.13" top="0.34" bottom="0.53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167"/>
  <sheetViews>
    <sheetView zoomScale="80" zoomScaleNormal="80" workbookViewId="0">
      <selection sqref="A1:D1"/>
    </sheetView>
  </sheetViews>
  <sheetFormatPr defaultRowHeight="1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>
      <c r="A1" s="251" t="s">
        <v>6</v>
      </c>
      <c r="B1" s="252"/>
      <c r="C1" s="252"/>
      <c r="D1" s="253"/>
      <c r="E1" s="12"/>
      <c r="F1" s="12"/>
    </row>
    <row r="3" spans="1:6">
      <c r="A3" s="217" t="s">
        <v>7</v>
      </c>
      <c r="B3" s="218"/>
      <c r="C3" s="218"/>
      <c r="D3" s="229"/>
    </row>
    <row r="4" spans="1:6" s="15" customFormat="1" ht="42" customHeight="1">
      <c r="A4" s="123">
        <v>1</v>
      </c>
      <c r="B4" s="124" t="s">
        <v>8</v>
      </c>
      <c r="C4" s="292" t="s">
        <v>244</v>
      </c>
      <c r="D4" s="293"/>
    </row>
    <row r="5" spans="1:6" s="15" customFormat="1">
      <c r="A5" s="123">
        <v>2</v>
      </c>
      <c r="B5" s="124" t="s">
        <v>9</v>
      </c>
      <c r="C5" s="294" t="str">
        <f>+Apresentação!E26</f>
        <v>7257-05</v>
      </c>
      <c r="D5" s="295"/>
    </row>
    <row r="6" spans="1:6" s="15" customFormat="1">
      <c r="A6" s="123">
        <v>3</v>
      </c>
      <c r="B6" s="124" t="s">
        <v>10</v>
      </c>
      <c r="C6" s="296">
        <f>+Apresentação!F26</f>
        <v>1811.88</v>
      </c>
      <c r="D6" s="296"/>
    </row>
    <row r="7" spans="1:6" s="15" customFormat="1" ht="48.75" customHeight="1">
      <c r="A7" s="123">
        <v>4</v>
      </c>
      <c r="B7" s="124" t="s">
        <v>11</v>
      </c>
      <c r="C7" s="290" t="s">
        <v>209</v>
      </c>
      <c r="D7" s="291"/>
    </row>
    <row r="8" spans="1:6" s="15" customFormat="1" ht="21" customHeight="1">
      <c r="A8" s="123">
        <v>5</v>
      </c>
      <c r="B8" s="124" t="s">
        <v>12</v>
      </c>
      <c r="C8" s="297">
        <v>43524</v>
      </c>
      <c r="D8" s="295"/>
    </row>
    <row r="9" spans="1:6">
      <c r="D9" s="16"/>
    </row>
    <row r="10" spans="1:6">
      <c r="A10" s="222" t="s">
        <v>13</v>
      </c>
      <c r="B10" s="223"/>
      <c r="C10" s="223"/>
      <c r="D10" s="223"/>
    </row>
    <row r="11" spans="1:6">
      <c r="A11" s="17">
        <v>1</v>
      </c>
      <c r="B11" s="18" t="s">
        <v>14</v>
      </c>
      <c r="C11" s="19" t="s">
        <v>15</v>
      </c>
      <c r="D11" s="20" t="s">
        <v>16</v>
      </c>
    </row>
    <row r="12" spans="1:6">
      <c r="A12" s="22" t="s">
        <v>17</v>
      </c>
      <c r="B12" s="230" t="s">
        <v>18</v>
      </c>
      <c r="C12" s="230"/>
      <c r="D12" s="107">
        <f>+C6</f>
        <v>1811.88</v>
      </c>
    </row>
    <row r="13" spans="1:6">
      <c r="A13" s="22" t="s">
        <v>19</v>
      </c>
      <c r="B13" s="24" t="s">
        <v>20</v>
      </c>
      <c r="C13" s="25">
        <v>0.3</v>
      </c>
      <c r="D13" s="23">
        <f>+C13*D12</f>
        <v>543.56399999999996</v>
      </c>
      <c r="E13" s="26"/>
    </row>
    <row r="14" spans="1:6">
      <c r="A14" s="22" t="s">
        <v>21</v>
      </c>
      <c r="B14" s="24" t="s">
        <v>22</v>
      </c>
      <c r="C14" s="25"/>
      <c r="D14" s="23">
        <f>+C14*D12</f>
        <v>0</v>
      </c>
    </row>
    <row r="15" spans="1:6">
      <c r="A15" s="22" t="s">
        <v>23</v>
      </c>
      <c r="B15" s="230" t="s">
        <v>24</v>
      </c>
      <c r="C15" s="230"/>
      <c r="D15" s="23"/>
    </row>
    <row r="16" spans="1:6">
      <c r="A16" s="22" t="s">
        <v>25</v>
      </c>
      <c r="B16" s="230" t="s">
        <v>26</v>
      </c>
      <c r="C16" s="230"/>
      <c r="D16" s="23"/>
    </row>
    <row r="17" spans="1:6">
      <c r="A17" s="22" t="s">
        <v>27</v>
      </c>
      <c r="B17" s="247" t="s">
        <v>28</v>
      </c>
      <c r="C17" s="248"/>
      <c r="D17" s="23"/>
    </row>
    <row r="18" spans="1:6">
      <c r="A18" s="22" t="s">
        <v>29</v>
      </c>
      <c r="B18" s="230" t="s">
        <v>30</v>
      </c>
      <c r="C18" s="230"/>
      <c r="D18" s="23"/>
    </row>
    <row r="19" spans="1:6">
      <c r="A19" s="22" t="s">
        <v>31</v>
      </c>
      <c r="B19" s="247" t="s">
        <v>32</v>
      </c>
      <c r="C19" s="248"/>
      <c r="D19" s="27"/>
    </row>
    <row r="20" spans="1:6">
      <c r="A20" s="22" t="s">
        <v>33</v>
      </c>
      <c r="B20" s="24" t="s">
        <v>34</v>
      </c>
      <c r="C20" s="25"/>
      <c r="D20" s="23"/>
    </row>
    <row r="21" spans="1:6">
      <c r="A21" s="22" t="s">
        <v>35</v>
      </c>
      <c r="B21" s="230" t="s">
        <v>36</v>
      </c>
      <c r="C21" s="230"/>
      <c r="D21" s="28"/>
      <c r="F21" s="29"/>
    </row>
    <row r="22" spans="1:6">
      <c r="A22" s="22" t="s">
        <v>37</v>
      </c>
      <c r="B22" s="230" t="s">
        <v>38</v>
      </c>
      <c r="C22" s="230"/>
      <c r="D22" s="28"/>
    </row>
    <row r="23" spans="1:6">
      <c r="A23" s="231" t="s">
        <v>39</v>
      </c>
      <c r="B23" s="231"/>
      <c r="C23" s="231"/>
      <c r="D23" s="30">
        <f>SUM(D12:D22)</f>
        <v>2355.444</v>
      </c>
    </row>
    <row r="25" spans="1:6">
      <c r="A25" s="222" t="s">
        <v>40</v>
      </c>
      <c r="B25" s="223"/>
      <c r="C25" s="223"/>
      <c r="D25" s="223"/>
    </row>
    <row r="27" spans="1:6">
      <c r="A27" s="222" t="s">
        <v>41</v>
      </c>
      <c r="B27" s="223"/>
      <c r="C27" s="223"/>
      <c r="D27" s="223"/>
    </row>
    <row r="28" spans="1:6">
      <c r="A28" s="31" t="s">
        <v>42</v>
      </c>
      <c r="B28" s="32" t="s">
        <v>43</v>
      </c>
      <c r="C28" s="33" t="s">
        <v>15</v>
      </c>
      <c r="D28" s="34" t="s">
        <v>16</v>
      </c>
    </row>
    <row r="29" spans="1:6">
      <c r="A29" s="22" t="s">
        <v>17</v>
      </c>
      <c r="B29" s="35" t="s">
        <v>44</v>
      </c>
      <c r="C29" s="36">
        <f>ROUND(+D29/$D$23,4)</f>
        <v>8.3299999999999999E-2</v>
      </c>
      <c r="D29" s="28">
        <f>ROUND(+D23/12,2)</f>
        <v>196.29</v>
      </c>
    </row>
    <row r="30" spans="1:6">
      <c r="A30" s="37" t="s">
        <v>19</v>
      </c>
      <c r="B30" s="38" t="s">
        <v>45</v>
      </c>
      <c r="C30" s="39">
        <f>ROUND(+D30/$D$23,4)</f>
        <v>0.1111</v>
      </c>
      <c r="D30" s="40">
        <f>+D31+D32</f>
        <v>261.72000000000003</v>
      </c>
    </row>
    <row r="31" spans="1:6">
      <c r="A31" s="22" t="s">
        <v>46</v>
      </c>
      <c r="B31" s="41" t="s">
        <v>47</v>
      </c>
      <c r="C31" s="42">
        <f>ROUND(+D31/$D$23,4)</f>
        <v>8.3299999999999999E-2</v>
      </c>
      <c r="D31" s="43">
        <f>ROUND(+D23/12,2)</f>
        <v>196.29</v>
      </c>
    </row>
    <row r="32" spans="1:6">
      <c r="A32" s="22" t="s">
        <v>48</v>
      </c>
      <c r="B32" s="41" t="s">
        <v>49</v>
      </c>
      <c r="C32" s="42">
        <f>ROUND(+D32/$D$23,4)</f>
        <v>2.7799999999999998E-2</v>
      </c>
      <c r="D32" s="43">
        <f>ROUND(+(D23*1/3)/12,2)</f>
        <v>65.430000000000007</v>
      </c>
    </row>
    <row r="33" spans="1:4">
      <c r="A33" s="231" t="s">
        <v>39</v>
      </c>
      <c r="B33" s="231"/>
      <c r="C33" s="231"/>
      <c r="D33" s="30">
        <f>+D30+D29</f>
        <v>458.01</v>
      </c>
    </row>
    <row r="35" spans="1:4" ht="27.75" customHeight="1">
      <c r="A35" s="241" t="s">
        <v>50</v>
      </c>
      <c r="B35" s="242"/>
      <c r="C35" s="242"/>
      <c r="D35" s="242"/>
    </row>
    <row r="36" spans="1:4">
      <c r="A36" s="31" t="s">
        <v>51</v>
      </c>
      <c r="B36" s="44" t="s">
        <v>52</v>
      </c>
      <c r="C36" s="33" t="s">
        <v>15</v>
      </c>
      <c r="D36" s="34" t="s">
        <v>16</v>
      </c>
    </row>
    <row r="37" spans="1:4">
      <c r="A37" s="22" t="s">
        <v>17</v>
      </c>
      <c r="B37" s="35" t="s">
        <v>53</v>
      </c>
      <c r="C37" s="45">
        <v>0.2</v>
      </c>
      <c r="D37" s="46">
        <f>ROUND(C37*($D$23+$D$33),2)</f>
        <v>562.69000000000005</v>
      </c>
    </row>
    <row r="38" spans="1:4">
      <c r="A38" s="22" t="s">
        <v>19</v>
      </c>
      <c r="B38" s="35" t="s">
        <v>54</v>
      </c>
      <c r="C38" s="45">
        <v>2.5000000000000001E-2</v>
      </c>
      <c r="D38" s="46">
        <f>ROUND(C38*($D$23+$D$33),2)</f>
        <v>70.34</v>
      </c>
    </row>
    <row r="39" spans="1:4">
      <c r="A39" s="22" t="s">
        <v>21</v>
      </c>
      <c r="B39" s="35" t="s">
        <v>55</v>
      </c>
      <c r="C39" s="45">
        <v>0.01</v>
      </c>
      <c r="D39" s="46">
        <f t="shared" ref="D39:D43" si="0">ROUND(C39*($D$23+$D$33),2)</f>
        <v>28.13</v>
      </c>
    </row>
    <row r="40" spans="1:4">
      <c r="A40" s="22" t="s">
        <v>23</v>
      </c>
      <c r="B40" s="35" t="s">
        <v>56</v>
      </c>
      <c r="C40" s="45">
        <v>1.4999999999999999E-2</v>
      </c>
      <c r="D40" s="46">
        <f t="shared" si="0"/>
        <v>42.2</v>
      </c>
    </row>
    <row r="41" spans="1:4">
      <c r="A41" s="22" t="s">
        <v>25</v>
      </c>
      <c r="B41" s="35" t="s">
        <v>57</v>
      </c>
      <c r="C41" s="45">
        <v>0.01</v>
      </c>
      <c r="D41" s="46">
        <f t="shared" si="0"/>
        <v>28.13</v>
      </c>
    </row>
    <row r="42" spans="1:4">
      <c r="A42" s="22" t="s">
        <v>27</v>
      </c>
      <c r="B42" s="35" t="s">
        <v>58</v>
      </c>
      <c r="C42" s="45">
        <v>6.0000000000000001E-3</v>
      </c>
      <c r="D42" s="46">
        <f t="shared" si="0"/>
        <v>16.88</v>
      </c>
    </row>
    <row r="43" spans="1:4">
      <c r="A43" s="22" t="s">
        <v>29</v>
      </c>
      <c r="B43" s="35" t="s">
        <v>59</v>
      </c>
      <c r="C43" s="45">
        <v>2E-3</v>
      </c>
      <c r="D43" s="46">
        <f t="shared" si="0"/>
        <v>5.63</v>
      </c>
    </row>
    <row r="44" spans="1:4">
      <c r="A44" s="22" t="s">
        <v>31</v>
      </c>
      <c r="B44" s="35" t="s">
        <v>60</v>
      </c>
      <c r="C44" s="45">
        <v>0.08</v>
      </c>
      <c r="D44" s="46">
        <f>ROUND(C44*($D$23+$D$33),2)</f>
        <v>225.08</v>
      </c>
    </row>
    <row r="45" spans="1:4">
      <c r="A45" s="47" t="s">
        <v>39</v>
      </c>
      <c r="B45" s="48"/>
      <c r="C45" s="49">
        <f>SUM(C37:C44)</f>
        <v>0.34800000000000003</v>
      </c>
      <c r="D45" s="50">
        <f>SUM(D37:D44)</f>
        <v>979.08000000000015</v>
      </c>
    </row>
    <row r="46" spans="1:4">
      <c r="A46" s="51"/>
      <c r="B46" s="51"/>
      <c r="C46" s="51"/>
      <c r="D46" s="51"/>
    </row>
    <row r="47" spans="1:4">
      <c r="A47" s="241" t="s">
        <v>61</v>
      </c>
      <c r="B47" s="242"/>
      <c r="C47" s="242"/>
      <c r="D47" s="242"/>
    </row>
    <row r="48" spans="1:4">
      <c r="A48" s="31" t="s">
        <v>62</v>
      </c>
      <c r="B48" s="44" t="s">
        <v>63</v>
      </c>
      <c r="C48" s="33"/>
      <c r="D48" s="34" t="s">
        <v>16</v>
      </c>
    </row>
    <row r="49" spans="1:6">
      <c r="A49" s="52" t="s">
        <v>17</v>
      </c>
      <c r="B49" s="35" t="s">
        <v>64</v>
      </c>
      <c r="C49" s="53"/>
      <c r="D49" s="46">
        <f>+'Men Cal Mec seg a sab'!C16</f>
        <v>102.61</v>
      </c>
    </row>
    <row r="50" spans="1:6" s="57" customFormat="1">
      <c r="A50" s="54" t="s">
        <v>65</v>
      </c>
      <c r="B50" s="55" t="s">
        <v>66</v>
      </c>
      <c r="C50" s="36"/>
      <c r="D50" s="56"/>
      <c r="F50" s="58"/>
    </row>
    <row r="51" spans="1:6">
      <c r="A51" s="118" t="s">
        <v>19</v>
      </c>
      <c r="B51" s="101" t="s">
        <v>67</v>
      </c>
      <c r="C51" s="53"/>
      <c r="D51" s="102">
        <v>260</v>
      </c>
      <c r="F51" s="59"/>
    </row>
    <row r="52" spans="1:6" s="57" customFormat="1">
      <c r="A52" s="54" t="s">
        <v>46</v>
      </c>
      <c r="B52" s="55" t="s">
        <v>66</v>
      </c>
      <c r="C52" s="36"/>
      <c r="D52" s="56"/>
      <c r="F52" s="60"/>
    </row>
    <row r="53" spans="1:6" s="57" customFormat="1">
      <c r="A53" s="55" t="s">
        <v>21</v>
      </c>
      <c r="B53" s="55" t="s">
        <v>214</v>
      </c>
      <c r="C53" s="53"/>
      <c r="D53" s="70">
        <f>+'Men Cal Mec seg a sab'!C25</f>
        <v>54.79</v>
      </c>
      <c r="F53" s="60"/>
    </row>
    <row r="54" spans="1:6" s="57" customFormat="1">
      <c r="A54" s="54" t="s">
        <v>69</v>
      </c>
      <c r="B54" s="55" t="s">
        <v>66</v>
      </c>
      <c r="C54" s="36"/>
      <c r="D54" s="56"/>
      <c r="F54" s="60"/>
    </row>
    <row r="55" spans="1:6">
      <c r="A55" s="101" t="s">
        <v>23</v>
      </c>
      <c r="B55" s="101" t="s">
        <v>68</v>
      </c>
      <c r="C55" s="53"/>
      <c r="D55" s="102"/>
      <c r="F55" s="59"/>
    </row>
    <row r="56" spans="1:6">
      <c r="A56" s="54" t="s">
        <v>70</v>
      </c>
      <c r="B56" s="55" t="s">
        <v>66</v>
      </c>
      <c r="C56" s="36"/>
      <c r="D56" s="56"/>
      <c r="F56" s="59"/>
    </row>
    <row r="57" spans="1:6" ht="45">
      <c r="A57" s="101" t="s">
        <v>25</v>
      </c>
      <c r="B57" s="112" t="s">
        <v>227</v>
      </c>
      <c r="C57" s="53"/>
      <c r="D57" s="113">
        <f>+(C6*0.8%)/12</f>
        <v>1.2079200000000001</v>
      </c>
      <c r="F57" s="61"/>
    </row>
    <row r="58" spans="1:6">
      <c r="A58" s="54" t="s">
        <v>71</v>
      </c>
      <c r="B58" s="55" t="s">
        <v>66</v>
      </c>
      <c r="C58" s="36"/>
      <c r="D58" s="56"/>
    </row>
    <row r="59" spans="1:6">
      <c r="A59" s="101" t="s">
        <v>27</v>
      </c>
      <c r="B59" s="243" t="s">
        <v>72</v>
      </c>
      <c r="C59" s="243"/>
      <c r="D59" s="102">
        <v>4.8</v>
      </c>
    </row>
    <row r="60" spans="1:6">
      <c r="A60" s="54" t="s">
        <v>73</v>
      </c>
      <c r="B60" s="55" t="s">
        <v>66</v>
      </c>
      <c r="C60" s="36"/>
      <c r="D60" s="56"/>
    </row>
    <row r="61" spans="1:6">
      <c r="A61" s="217" t="s">
        <v>39</v>
      </c>
      <c r="B61" s="229"/>
      <c r="C61" s="62"/>
      <c r="D61" s="63">
        <f>SUM(D49:D60)</f>
        <v>423.40792000000005</v>
      </c>
    </row>
    <row r="63" spans="1:6">
      <c r="A63" s="222" t="s">
        <v>74</v>
      </c>
      <c r="B63" s="223"/>
      <c r="C63" s="223"/>
      <c r="D63" s="223"/>
    </row>
    <row r="64" spans="1:6">
      <c r="A64" s="64">
        <v>2</v>
      </c>
      <c r="B64" s="240" t="s">
        <v>75</v>
      </c>
      <c r="C64" s="240"/>
      <c r="D64" s="65" t="s">
        <v>16</v>
      </c>
    </row>
    <row r="65" spans="1:4">
      <c r="A65" s="66" t="s">
        <v>42</v>
      </c>
      <c r="B65" s="244" t="s">
        <v>43</v>
      </c>
      <c r="C65" s="244"/>
      <c r="D65" s="46">
        <f>+D33</f>
        <v>458.01</v>
      </c>
    </row>
    <row r="66" spans="1:4">
      <c r="A66" s="66" t="s">
        <v>51</v>
      </c>
      <c r="B66" s="244" t="s">
        <v>52</v>
      </c>
      <c r="C66" s="244"/>
      <c r="D66" s="46">
        <f>+D45</f>
        <v>979.08000000000015</v>
      </c>
    </row>
    <row r="67" spans="1:4">
      <c r="A67" s="66" t="s">
        <v>62</v>
      </c>
      <c r="B67" s="244" t="s">
        <v>63</v>
      </c>
      <c r="C67" s="244"/>
      <c r="D67" s="67">
        <f>+D61</f>
        <v>423.40792000000005</v>
      </c>
    </row>
    <row r="68" spans="1:4">
      <c r="A68" s="240" t="s">
        <v>39</v>
      </c>
      <c r="B68" s="240"/>
      <c r="C68" s="240"/>
      <c r="D68" s="68">
        <f>SUM(D65:D67)</f>
        <v>1860.4979200000002</v>
      </c>
    </row>
    <row r="70" spans="1:4">
      <c r="A70" s="222" t="s">
        <v>76</v>
      </c>
      <c r="B70" s="223"/>
      <c r="C70" s="223"/>
      <c r="D70" s="223"/>
    </row>
    <row r="72" spans="1:4">
      <c r="A72" s="69">
        <v>3</v>
      </c>
      <c r="B72" s="32" t="s">
        <v>77</v>
      </c>
      <c r="C72" s="19" t="s">
        <v>15</v>
      </c>
      <c r="D72" s="19" t="s">
        <v>16</v>
      </c>
    </row>
    <row r="73" spans="1:4">
      <c r="A73" s="22" t="s">
        <v>17</v>
      </c>
      <c r="B73" s="55" t="s">
        <v>78</v>
      </c>
      <c r="C73" s="36">
        <f>+D73/$D$23</f>
        <v>8.3338852462635487E-3</v>
      </c>
      <c r="D73" s="70">
        <f>+'Men Cal Mec seg a sab'!C32</f>
        <v>19.63</v>
      </c>
    </row>
    <row r="74" spans="1:4">
      <c r="A74" s="22" t="s">
        <v>19</v>
      </c>
      <c r="B74" s="35" t="s">
        <v>79</v>
      </c>
      <c r="C74" s="71"/>
      <c r="D74" s="28">
        <f>ROUND(+D73*$C$44,2)</f>
        <v>1.57</v>
      </c>
    </row>
    <row r="75" spans="1:4" ht="30">
      <c r="A75" s="22" t="s">
        <v>21</v>
      </c>
      <c r="B75" s="72" t="s">
        <v>80</v>
      </c>
      <c r="C75" s="45">
        <f>+D75/$D$23</f>
        <v>3.8209356707270478E-3</v>
      </c>
      <c r="D75" s="28">
        <f>+'Men Cal Mec seg a sab'!C46</f>
        <v>9</v>
      </c>
    </row>
    <row r="76" spans="1:4">
      <c r="A76" s="73" t="s">
        <v>23</v>
      </c>
      <c r="B76" s="35" t="s">
        <v>81</v>
      </c>
      <c r="C76" s="45">
        <f>+D76/$D$23</f>
        <v>1.9444317079922089E-3</v>
      </c>
      <c r="D76" s="28">
        <f>+'Men Cal Mec seg a sab'!C54</f>
        <v>4.58</v>
      </c>
    </row>
    <row r="77" spans="1:4" ht="30">
      <c r="A77" s="73" t="s">
        <v>25</v>
      </c>
      <c r="B77" s="72" t="s">
        <v>82</v>
      </c>
      <c r="C77" s="71"/>
      <c r="D77" s="74"/>
    </row>
    <row r="78" spans="1:4" ht="30">
      <c r="A78" s="73" t="s">
        <v>27</v>
      </c>
      <c r="B78" s="72" t="s">
        <v>83</v>
      </c>
      <c r="C78" s="45">
        <f>+D78/$D$23</f>
        <v>3.8209356707270478E-3</v>
      </c>
      <c r="D78" s="46">
        <f>+'Men Cal Mec seg a sab'!C68</f>
        <v>9</v>
      </c>
    </row>
    <row r="79" spans="1:4">
      <c r="A79" s="217" t="s">
        <v>39</v>
      </c>
      <c r="B79" s="218"/>
      <c r="C79" s="229"/>
      <c r="D79" s="75">
        <f>SUM(D73:D78)</f>
        <v>43.78</v>
      </c>
    </row>
    <row r="81" spans="1:4">
      <c r="A81" s="222" t="s">
        <v>84</v>
      </c>
      <c r="B81" s="223"/>
      <c r="C81" s="223"/>
      <c r="D81" s="223"/>
    </row>
    <row r="83" spans="1:4">
      <c r="A83" s="237" t="s">
        <v>85</v>
      </c>
      <c r="B83" s="237"/>
      <c r="C83" s="237"/>
      <c r="D83" s="237"/>
    </row>
    <row r="84" spans="1:4">
      <c r="A84" s="69" t="s">
        <v>86</v>
      </c>
      <c r="B84" s="217" t="s">
        <v>87</v>
      </c>
      <c r="C84" s="229"/>
      <c r="D84" s="19" t="s">
        <v>16</v>
      </c>
    </row>
    <row r="85" spans="1:4">
      <c r="A85" s="35" t="s">
        <v>17</v>
      </c>
      <c r="B85" s="224" t="s">
        <v>88</v>
      </c>
      <c r="C85" s="225"/>
      <c r="D85" s="28"/>
    </row>
    <row r="86" spans="1:4">
      <c r="A86" s="55" t="s">
        <v>19</v>
      </c>
      <c r="B86" s="238" t="s">
        <v>87</v>
      </c>
      <c r="C86" s="239"/>
      <c r="D86" s="76">
        <f>+'Men Cal Mec seg a sab'!C81</f>
        <v>6.54</v>
      </c>
    </row>
    <row r="87" spans="1:4" s="57" customFormat="1">
      <c r="A87" s="55" t="s">
        <v>21</v>
      </c>
      <c r="B87" s="238" t="s">
        <v>89</v>
      </c>
      <c r="C87" s="239"/>
      <c r="D87" s="76">
        <f>+'Men Cal Mec seg a sab'!C90</f>
        <v>0.49</v>
      </c>
    </row>
    <row r="88" spans="1:4" s="57" customFormat="1">
      <c r="A88" s="55" t="s">
        <v>23</v>
      </c>
      <c r="B88" s="238" t="s">
        <v>90</v>
      </c>
      <c r="C88" s="239"/>
      <c r="D88" s="76">
        <f>+'Men Cal Mec seg a sab'!C98</f>
        <v>7.85</v>
      </c>
    </row>
    <row r="89" spans="1:4" s="57" customFormat="1">
      <c r="A89" s="55" t="s">
        <v>25</v>
      </c>
      <c r="B89" s="238" t="s">
        <v>91</v>
      </c>
      <c r="C89" s="239"/>
      <c r="D89" s="76"/>
    </row>
    <row r="90" spans="1:4" s="57" customFormat="1">
      <c r="A90" s="55" t="s">
        <v>27</v>
      </c>
      <c r="B90" s="238" t="s">
        <v>92</v>
      </c>
      <c r="C90" s="239"/>
      <c r="D90" s="76">
        <f>+'Men Cal Mec seg a sab'!C106</f>
        <v>13.09</v>
      </c>
    </row>
    <row r="91" spans="1:4">
      <c r="A91" s="35" t="s">
        <v>29</v>
      </c>
      <c r="B91" s="224" t="s">
        <v>38</v>
      </c>
      <c r="C91" s="225"/>
      <c r="D91" s="28"/>
    </row>
    <row r="92" spans="1:4">
      <c r="A92" s="35" t="s">
        <v>31</v>
      </c>
      <c r="B92" s="224" t="s">
        <v>93</v>
      </c>
      <c r="C92" s="225"/>
      <c r="D92" s="74"/>
    </row>
    <row r="93" spans="1:4">
      <c r="A93" s="231" t="s">
        <v>39</v>
      </c>
      <c r="B93" s="231"/>
      <c r="C93" s="231"/>
      <c r="D93" s="30">
        <f>SUM(D85:D92)</f>
        <v>27.97</v>
      </c>
    </row>
    <row r="94" spans="1:4">
      <c r="D94" s="77"/>
    </row>
    <row r="95" spans="1:4">
      <c r="A95" s="69" t="s">
        <v>94</v>
      </c>
      <c r="B95" s="217" t="s">
        <v>95</v>
      </c>
      <c r="C95" s="229"/>
      <c r="D95" s="19" t="s">
        <v>16</v>
      </c>
    </row>
    <row r="96" spans="1:4" s="57" customFormat="1">
      <c r="A96" s="55" t="s">
        <v>17</v>
      </c>
      <c r="B96" s="232" t="s">
        <v>96</v>
      </c>
      <c r="C96" s="233"/>
      <c r="D96" s="76">
        <f>+'Men Cal Mec seg a sab'!C117</f>
        <v>0.02</v>
      </c>
    </row>
    <row r="97" spans="1:4" s="57" customFormat="1" ht="36.75" customHeight="1">
      <c r="A97" s="55" t="s">
        <v>19</v>
      </c>
      <c r="B97" s="234" t="s">
        <v>97</v>
      </c>
      <c r="C97" s="235"/>
      <c r="D97" s="74"/>
    </row>
    <row r="98" spans="1:4" s="57" customFormat="1" ht="28.5" customHeight="1">
      <c r="A98" s="55" t="s">
        <v>21</v>
      </c>
      <c r="B98" s="234" t="s">
        <v>98</v>
      </c>
      <c r="C98" s="235"/>
      <c r="D98" s="74"/>
    </row>
    <row r="99" spans="1:4">
      <c r="A99" s="35" t="s">
        <v>23</v>
      </c>
      <c r="B99" s="224" t="s">
        <v>38</v>
      </c>
      <c r="C99" s="225"/>
      <c r="D99" s="28"/>
    </row>
    <row r="100" spans="1:4">
      <c r="A100" s="231" t="s">
        <v>39</v>
      </c>
      <c r="B100" s="231"/>
      <c r="C100" s="231"/>
      <c r="D100" s="30">
        <f>SUM(D96:D99)</f>
        <v>0.02</v>
      </c>
    </row>
    <row r="101" spans="1:4">
      <c r="D101" s="77"/>
    </row>
    <row r="102" spans="1:4">
      <c r="A102" s="69" t="s">
        <v>99</v>
      </c>
      <c r="B102" s="231" t="s">
        <v>100</v>
      </c>
      <c r="C102" s="231"/>
      <c r="D102" s="19" t="s">
        <v>16</v>
      </c>
    </row>
    <row r="103" spans="1:4" s="79" customFormat="1">
      <c r="A103" s="73" t="s">
        <v>17</v>
      </c>
      <c r="B103" s="236" t="s">
        <v>101</v>
      </c>
      <c r="C103" s="236"/>
      <c r="D103" s="78"/>
    </row>
    <row r="104" spans="1:4">
      <c r="A104" s="231" t="s">
        <v>39</v>
      </c>
      <c r="B104" s="231"/>
      <c r="C104" s="231"/>
      <c r="D104" s="30">
        <f>SUM(D103:D103)</f>
        <v>0</v>
      </c>
    </row>
    <row r="106" spans="1:4">
      <c r="A106" s="83" t="s">
        <v>102</v>
      </c>
      <c r="B106" s="83"/>
      <c r="C106" s="83"/>
      <c r="D106" s="83"/>
    </row>
    <row r="107" spans="1:4">
      <c r="A107" s="35" t="s">
        <v>86</v>
      </c>
      <c r="B107" s="224" t="s">
        <v>87</v>
      </c>
      <c r="C107" s="225"/>
      <c r="D107" s="46">
        <f>+D93</f>
        <v>27.97</v>
      </c>
    </row>
    <row r="108" spans="1:4">
      <c r="A108" s="35" t="s">
        <v>94</v>
      </c>
      <c r="B108" s="224" t="s">
        <v>95</v>
      </c>
      <c r="C108" s="225"/>
      <c r="D108" s="46">
        <f>+D100</f>
        <v>0.02</v>
      </c>
    </row>
    <row r="109" spans="1:4">
      <c r="A109" s="81"/>
      <c r="B109" s="226" t="s">
        <v>103</v>
      </c>
      <c r="C109" s="227"/>
      <c r="D109" s="82">
        <f>+D108+D107</f>
        <v>27.99</v>
      </c>
    </row>
    <row r="110" spans="1:4">
      <c r="A110" s="35" t="s">
        <v>99</v>
      </c>
      <c r="B110" s="224" t="s">
        <v>100</v>
      </c>
      <c r="C110" s="225"/>
      <c r="D110" s="46">
        <f>+D104</f>
        <v>0</v>
      </c>
    </row>
    <row r="111" spans="1:4">
      <c r="A111" s="228" t="s">
        <v>39</v>
      </c>
      <c r="B111" s="228"/>
      <c r="C111" s="228"/>
      <c r="D111" s="84">
        <f>+D110+D109</f>
        <v>27.99</v>
      </c>
    </row>
    <row r="113" spans="1:4">
      <c r="A113" s="222" t="s">
        <v>104</v>
      </c>
      <c r="B113" s="223"/>
      <c r="C113" s="223"/>
      <c r="D113" s="223"/>
    </row>
    <row r="115" spans="1:4">
      <c r="A115" s="69">
        <v>5</v>
      </c>
      <c r="B115" s="217" t="s">
        <v>105</v>
      </c>
      <c r="C115" s="229"/>
      <c r="D115" s="19" t="s">
        <v>16</v>
      </c>
    </row>
    <row r="116" spans="1:4">
      <c r="A116" s="35" t="s">
        <v>17</v>
      </c>
      <c r="B116" s="230" t="s">
        <v>106</v>
      </c>
      <c r="C116" s="230"/>
      <c r="D116" s="28">
        <f>+Uniforme!F31</f>
        <v>91.76</v>
      </c>
    </row>
    <row r="117" spans="1:4">
      <c r="A117" s="35" t="s">
        <v>65</v>
      </c>
      <c r="B117" s="55" t="s">
        <v>66</v>
      </c>
      <c r="C117" s="36"/>
      <c r="D117" s="56"/>
    </row>
    <row r="118" spans="1:4">
      <c r="A118" s="35" t="s">
        <v>19</v>
      </c>
      <c r="B118" s="230" t="s">
        <v>107</v>
      </c>
      <c r="C118" s="230"/>
      <c r="D118" s="28"/>
    </row>
    <row r="119" spans="1:4">
      <c r="A119" s="35" t="s">
        <v>46</v>
      </c>
      <c r="B119" s="55" t="s">
        <v>66</v>
      </c>
      <c r="C119" s="36"/>
      <c r="D119" s="56"/>
    </row>
    <row r="120" spans="1:4">
      <c r="A120" s="35" t="s">
        <v>21</v>
      </c>
      <c r="B120" s="230" t="s">
        <v>108</v>
      </c>
      <c r="C120" s="230"/>
      <c r="D120" s="28">
        <f>+Ferramentas!$G$78</f>
        <v>25.69</v>
      </c>
    </row>
    <row r="121" spans="1:4">
      <c r="A121" s="35" t="s">
        <v>69</v>
      </c>
      <c r="B121" s="55" t="s">
        <v>66</v>
      </c>
      <c r="C121" s="36"/>
      <c r="D121" s="56"/>
    </row>
    <row r="122" spans="1:4">
      <c r="A122" s="35" t="s">
        <v>23</v>
      </c>
      <c r="B122" s="230" t="s">
        <v>38</v>
      </c>
      <c r="C122" s="230"/>
      <c r="D122" s="28"/>
    </row>
    <row r="123" spans="1:4">
      <c r="A123" s="35" t="s">
        <v>70</v>
      </c>
      <c r="B123" s="55" t="s">
        <v>66</v>
      </c>
      <c r="C123" s="36"/>
      <c r="D123" s="56"/>
    </row>
    <row r="124" spans="1:4">
      <c r="A124" s="231" t="s">
        <v>39</v>
      </c>
      <c r="B124" s="231"/>
      <c r="C124" s="231"/>
      <c r="D124" s="30">
        <f>SUM(D116:D122)</f>
        <v>117.45</v>
      </c>
    </row>
    <row r="126" spans="1:4">
      <c r="A126" s="222" t="s">
        <v>109</v>
      </c>
      <c r="B126" s="223"/>
      <c r="C126" s="223"/>
      <c r="D126" s="223"/>
    </row>
    <row r="128" spans="1:4">
      <c r="A128" s="69">
        <v>6</v>
      </c>
      <c r="B128" s="32" t="s">
        <v>110</v>
      </c>
      <c r="C128" s="85" t="s">
        <v>15</v>
      </c>
      <c r="D128" s="19" t="s">
        <v>16</v>
      </c>
    </row>
    <row r="129" spans="1:7">
      <c r="A129" s="101" t="s">
        <v>17</v>
      </c>
      <c r="B129" s="101" t="s">
        <v>111</v>
      </c>
      <c r="C129" s="308">
        <f>Apresentação!F55</f>
        <v>3.3953999999999998E-2</v>
      </c>
      <c r="D129" s="102">
        <f>($D$124+$D$111+$D$79+$D$68+$D$23)*C129</f>
        <v>149.57286783168001</v>
      </c>
    </row>
    <row r="130" spans="1:7">
      <c r="A130" s="101" t="s">
        <v>19</v>
      </c>
      <c r="B130" s="101" t="s">
        <v>112</v>
      </c>
      <c r="C130" s="308">
        <f>Apresentação!F56</f>
        <v>3.3953999999999998E-2</v>
      </c>
      <c r="D130" s="102">
        <f>($D$124+$D$111+$D$79+$D$68+$D$23+D129)*C130</f>
        <v>154.65146498603687</v>
      </c>
    </row>
    <row r="131" spans="1:7" s="87" customFormat="1" ht="12.75">
      <c r="A131" s="211" t="s">
        <v>113</v>
      </c>
      <c r="B131" s="212"/>
      <c r="C131" s="213"/>
      <c r="D131" s="86">
        <f>++D130+D129+D124+D111+D79+D68+D23</f>
        <v>4709.3862528177178</v>
      </c>
    </row>
    <row r="132" spans="1:7" s="87" customFormat="1" ht="33" customHeight="1">
      <c r="A132" s="214" t="s">
        <v>114</v>
      </c>
      <c r="B132" s="215"/>
      <c r="C132" s="216"/>
      <c r="D132" s="86">
        <f>ROUND(D131/(1-(C135+C136+C138+C140+C141)),2)</f>
        <v>5155.32</v>
      </c>
    </row>
    <row r="133" spans="1:7">
      <c r="A133" s="35" t="s">
        <v>21</v>
      </c>
      <c r="B133" s="35" t="s">
        <v>115</v>
      </c>
      <c r="C133" s="45"/>
      <c r="D133" s="35"/>
    </row>
    <row r="134" spans="1:7">
      <c r="A134" s="35" t="s">
        <v>69</v>
      </c>
      <c r="B134" s="35" t="s">
        <v>116</v>
      </c>
      <c r="C134" s="45"/>
      <c r="D134" s="35"/>
    </row>
    <row r="135" spans="1:7">
      <c r="A135" s="101" t="s">
        <v>117</v>
      </c>
      <c r="B135" s="101" t="s">
        <v>118</v>
      </c>
      <c r="C135" s="103">
        <v>6.4999999999999997E-3</v>
      </c>
      <c r="D135" s="102">
        <f>ROUND(C135*$D$132,2)</f>
        <v>33.51</v>
      </c>
      <c r="G135" s="88"/>
    </row>
    <row r="136" spans="1:7">
      <c r="A136" s="101" t="s">
        <v>119</v>
      </c>
      <c r="B136" s="101" t="s">
        <v>120</v>
      </c>
      <c r="C136" s="103">
        <v>0.03</v>
      </c>
      <c r="D136" s="102">
        <f>ROUND(C136*$D$132,2)</f>
        <v>154.66</v>
      </c>
      <c r="G136" s="88"/>
    </row>
    <row r="137" spans="1:7">
      <c r="A137" s="35" t="s">
        <v>121</v>
      </c>
      <c r="B137" s="35" t="s">
        <v>122</v>
      </c>
      <c r="C137" s="45"/>
      <c r="D137" s="46"/>
      <c r="G137" s="88"/>
    </row>
    <row r="138" spans="1:7">
      <c r="A138" s="35" t="s">
        <v>123</v>
      </c>
      <c r="B138" s="35" t="s">
        <v>124</v>
      </c>
      <c r="C138" s="45"/>
      <c r="D138" s="35"/>
      <c r="G138" s="88"/>
    </row>
    <row r="139" spans="1:7">
      <c r="A139" s="35" t="s">
        <v>125</v>
      </c>
      <c r="B139" s="35" t="s">
        <v>126</v>
      </c>
      <c r="C139" s="45"/>
      <c r="D139" s="35"/>
    </row>
    <row r="140" spans="1:7">
      <c r="A140" s="101" t="s">
        <v>127</v>
      </c>
      <c r="B140" s="101" t="s">
        <v>128</v>
      </c>
      <c r="C140" s="103">
        <v>0.05</v>
      </c>
      <c r="D140" s="102">
        <f>ROUND(C140*$D$132,2)</f>
        <v>257.77</v>
      </c>
    </row>
    <row r="141" spans="1:7">
      <c r="A141" s="35" t="s">
        <v>129</v>
      </c>
      <c r="B141" s="35" t="s">
        <v>130</v>
      </c>
      <c r="C141" s="45"/>
      <c r="D141" s="35"/>
    </row>
    <row r="142" spans="1:7">
      <c r="A142" s="217" t="s">
        <v>39</v>
      </c>
      <c r="B142" s="218"/>
      <c r="C142" s="89">
        <f>+C141+C140+C138+C136+C135+C130+C129</f>
        <v>0.15440799999999999</v>
      </c>
      <c r="D142" s="30">
        <f>+D140+D138+D136+D135+D130+D129</f>
        <v>750.16433281771685</v>
      </c>
    </row>
    <row r="144" spans="1:7">
      <c r="A144" s="219" t="s">
        <v>131</v>
      </c>
      <c r="B144" s="219"/>
      <c r="C144" s="219"/>
      <c r="D144" s="219"/>
    </row>
    <row r="145" spans="1:5">
      <c r="A145" s="35" t="s">
        <v>17</v>
      </c>
      <c r="B145" s="220" t="s">
        <v>132</v>
      </c>
      <c r="C145" s="220"/>
      <c r="D145" s="28">
        <f>+D23</f>
        <v>2355.444</v>
      </c>
    </row>
    <row r="146" spans="1:5">
      <c r="A146" s="35" t="s">
        <v>133</v>
      </c>
      <c r="B146" s="220" t="s">
        <v>134</v>
      </c>
      <c r="C146" s="220"/>
      <c r="D146" s="28">
        <f>+D68</f>
        <v>1860.4979200000002</v>
      </c>
    </row>
    <row r="147" spans="1:5">
      <c r="A147" s="35" t="s">
        <v>21</v>
      </c>
      <c r="B147" s="220" t="s">
        <v>135</v>
      </c>
      <c r="C147" s="220"/>
      <c r="D147" s="28">
        <f>+D79</f>
        <v>43.78</v>
      </c>
    </row>
    <row r="148" spans="1:5">
      <c r="A148" s="35" t="s">
        <v>23</v>
      </c>
      <c r="B148" s="220" t="s">
        <v>136</v>
      </c>
      <c r="C148" s="220"/>
      <c r="D148" s="28">
        <f>+D111</f>
        <v>27.99</v>
      </c>
    </row>
    <row r="149" spans="1:5">
      <c r="A149" s="35" t="s">
        <v>25</v>
      </c>
      <c r="B149" s="220" t="s">
        <v>137</v>
      </c>
      <c r="C149" s="220"/>
      <c r="D149" s="28">
        <f>+D124</f>
        <v>117.45</v>
      </c>
    </row>
    <row r="150" spans="1:5">
      <c r="B150" s="221" t="s">
        <v>138</v>
      </c>
      <c r="C150" s="221"/>
      <c r="D150" s="90">
        <f>SUM(D145:D149)</f>
        <v>4405.1619199999996</v>
      </c>
    </row>
    <row r="151" spans="1:5">
      <c r="A151" s="35" t="s">
        <v>27</v>
      </c>
      <c r="B151" s="220" t="s">
        <v>139</v>
      </c>
      <c r="C151" s="220"/>
      <c r="D151" s="28">
        <f>+D142</f>
        <v>750.16433281771685</v>
      </c>
    </row>
    <row r="153" spans="1:5">
      <c r="A153" s="210" t="s">
        <v>140</v>
      </c>
      <c r="B153" s="210"/>
      <c r="C153" s="210"/>
      <c r="D153" s="91">
        <f>ROUND(+D151+D150,2)</f>
        <v>5155.33</v>
      </c>
    </row>
    <row r="155" spans="1:5">
      <c r="A155" s="93" t="s">
        <v>215</v>
      </c>
      <c r="B155" s="93"/>
      <c r="C155" s="93"/>
      <c r="D155" s="93"/>
      <c r="E155" s="93"/>
    </row>
    <row r="156" spans="1:5">
      <c r="A156" s="93" t="s">
        <v>238</v>
      </c>
      <c r="B156" s="93"/>
      <c r="C156" s="93"/>
      <c r="D156" s="93"/>
      <c r="E156" s="93"/>
    </row>
    <row r="157" spans="1:5">
      <c r="A157" s="93"/>
      <c r="B157" s="93"/>
      <c r="C157" s="93"/>
      <c r="D157" s="93"/>
      <c r="E157" s="93"/>
    </row>
    <row r="158" spans="1:5">
      <c r="A158" s="93"/>
      <c r="B158" s="93"/>
      <c r="C158" s="93"/>
      <c r="D158" s="93"/>
      <c r="E158" s="93"/>
    </row>
    <row r="159" spans="1:5">
      <c r="A159" s="93"/>
      <c r="B159" s="93"/>
      <c r="C159" s="93"/>
      <c r="D159" s="93"/>
      <c r="E159" s="93"/>
    </row>
    <row r="160" spans="1:5">
      <c r="A160" s="93"/>
      <c r="B160" s="93"/>
      <c r="C160" s="93"/>
      <c r="D160" s="93"/>
      <c r="E160" s="93"/>
    </row>
    <row r="161" spans="1:5">
      <c r="A161" s="93"/>
      <c r="B161" s="93"/>
      <c r="C161" s="93"/>
      <c r="D161" s="93"/>
      <c r="E161" s="93"/>
    </row>
    <row r="162" spans="1:5">
      <c r="A162" s="93"/>
      <c r="B162" s="93"/>
      <c r="C162" s="93"/>
      <c r="D162" s="93"/>
      <c r="E162" s="93"/>
    </row>
    <row r="163" spans="1:5">
      <c r="A163" s="93"/>
      <c r="B163" s="93"/>
      <c r="C163" s="93"/>
      <c r="D163" s="93"/>
      <c r="E163" s="93"/>
    </row>
    <row r="164" spans="1:5">
      <c r="A164" s="93"/>
      <c r="B164" s="93"/>
      <c r="C164" s="93"/>
      <c r="D164" s="93"/>
      <c r="E164" s="93"/>
    </row>
    <row r="165" spans="1:5">
      <c r="A165" s="93"/>
      <c r="B165" s="93"/>
      <c r="C165" s="93"/>
      <c r="D165" s="93"/>
      <c r="E165" s="93"/>
    </row>
    <row r="166" spans="1:5">
      <c r="A166" s="93"/>
      <c r="B166" s="93"/>
      <c r="C166" s="93"/>
      <c r="D166" s="93"/>
      <c r="E166" s="93"/>
    </row>
    <row r="167" spans="1:5">
      <c r="A167" s="93"/>
      <c r="B167" s="93"/>
      <c r="C167" s="93"/>
      <c r="D167" s="93"/>
      <c r="E167" s="93"/>
    </row>
  </sheetData>
  <mergeCells count="78"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C7:D7"/>
    <mergeCell ref="A1:D1"/>
    <mergeCell ref="A3:D3"/>
    <mergeCell ref="C4:D4"/>
    <mergeCell ref="C5:D5"/>
    <mergeCell ref="C6:D6"/>
  </mergeCells>
  <pageMargins left="1.21" right="0.21" top="0.28000000000000003" bottom="0.49" header="0.31496062992125984" footer="0.31496062992125984"/>
  <pageSetup paperSize="9" scale="80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C132"/>
  <sheetViews>
    <sheetView workbookViewId="0">
      <selection sqref="A1:C1"/>
    </sheetView>
  </sheetViews>
  <sheetFormatPr defaultRowHeight="15"/>
  <cols>
    <col min="1" max="1" width="73.7109375" customWidth="1"/>
    <col min="2" max="2" width="14" bestFit="1" customWidth="1"/>
    <col min="3" max="3" width="13.7109375" bestFit="1" customWidth="1"/>
    <col min="4" max="4" width="10.7109375" bestFit="1" customWidth="1"/>
    <col min="5" max="5" width="79" customWidth="1"/>
  </cols>
  <sheetData>
    <row r="1" spans="1:3" ht="38.25" customHeight="1">
      <c r="A1" s="298" t="s">
        <v>235</v>
      </c>
      <c r="B1" s="298"/>
      <c r="C1" s="298"/>
    </row>
    <row r="3" spans="1:3">
      <c r="A3" s="35" t="s">
        <v>141</v>
      </c>
      <c r="B3" s="35">
        <v>220</v>
      </c>
    </row>
    <row r="4" spans="1:3">
      <c r="A4" s="35" t="s">
        <v>142</v>
      </c>
      <c r="B4" s="35">
        <v>365.25</v>
      </c>
    </row>
    <row r="5" spans="1:3">
      <c r="A5" s="35" t="s">
        <v>143</v>
      </c>
      <c r="B5" s="94">
        <f>(365.25/12)/(7/6)</f>
        <v>26.089285714285712</v>
      </c>
    </row>
    <row r="6" spans="1:3">
      <c r="A6" s="55" t="s">
        <v>18</v>
      </c>
      <c r="B6" s="46">
        <f>+'Mecanico Refrigeracao seg a sab'!D12</f>
        <v>1811.88</v>
      </c>
    </row>
    <row r="7" spans="1:3">
      <c r="A7" s="55" t="s">
        <v>144</v>
      </c>
      <c r="B7" s="46">
        <f>+'Mecanico Refrigeracao seg a sab'!D23</f>
        <v>2355.444</v>
      </c>
    </row>
    <row r="9" spans="1:3">
      <c r="A9" s="262" t="s">
        <v>145</v>
      </c>
      <c r="B9" s="263"/>
      <c r="C9" s="264"/>
    </row>
    <row r="10" spans="1:3">
      <c r="A10" s="35" t="s">
        <v>146</v>
      </c>
      <c r="B10" s="35">
        <f>+$B$4</f>
        <v>365.25</v>
      </c>
      <c r="C10" s="71"/>
    </row>
    <row r="11" spans="1:3">
      <c r="A11" s="35" t="s">
        <v>147</v>
      </c>
      <c r="B11" s="55">
        <v>12</v>
      </c>
      <c r="C11" s="71"/>
    </row>
    <row r="12" spans="1:3">
      <c r="A12" s="35" t="s">
        <v>148</v>
      </c>
      <c r="B12" s="45">
        <v>1</v>
      </c>
      <c r="C12" s="71"/>
    </row>
    <row r="13" spans="1:3">
      <c r="A13" s="55" t="s">
        <v>149</v>
      </c>
      <c r="B13" s="94">
        <f>(365.25/12)/(7/6)</f>
        <v>26.089285714285712</v>
      </c>
      <c r="C13" s="71"/>
    </row>
    <row r="14" spans="1:3">
      <c r="A14" s="101" t="s">
        <v>150</v>
      </c>
      <c r="B14" s="114">
        <v>4.05</v>
      </c>
      <c r="C14" s="71"/>
    </row>
    <row r="15" spans="1:3">
      <c r="A15" s="35" t="s">
        <v>151</v>
      </c>
      <c r="B15" s="45">
        <v>0.06</v>
      </c>
      <c r="C15" s="71"/>
    </row>
    <row r="16" spans="1:3">
      <c r="A16" s="258" t="s">
        <v>152</v>
      </c>
      <c r="B16" s="260"/>
      <c r="C16" s="92">
        <f>ROUND((B13*(B14*2)-($B$6*B15)),2)</f>
        <v>102.61</v>
      </c>
    </row>
    <row r="18" spans="1:3">
      <c r="A18" s="262" t="s">
        <v>211</v>
      </c>
      <c r="B18" s="263"/>
      <c r="C18" s="264"/>
    </row>
    <row r="19" spans="1:3">
      <c r="A19" s="35" t="s">
        <v>146</v>
      </c>
      <c r="B19" s="35">
        <f>+$B$4</f>
        <v>365.25</v>
      </c>
      <c r="C19" s="71"/>
    </row>
    <row r="20" spans="1:3">
      <c r="A20" s="35" t="s">
        <v>147</v>
      </c>
      <c r="B20" s="55">
        <v>12</v>
      </c>
      <c r="C20" s="71"/>
    </row>
    <row r="21" spans="1:3">
      <c r="A21" s="35" t="s">
        <v>148</v>
      </c>
      <c r="B21" s="45">
        <v>1</v>
      </c>
      <c r="C21" s="71"/>
    </row>
    <row r="22" spans="1:3">
      <c r="A22" s="55" t="s">
        <v>212</v>
      </c>
      <c r="B22" s="94">
        <f>(365.25/12)/(7/6)</f>
        <v>26.089285714285712</v>
      </c>
      <c r="C22" s="71"/>
    </row>
    <row r="23" spans="1:3">
      <c r="A23" s="101" t="s">
        <v>213</v>
      </c>
      <c r="B23" s="114">
        <v>2.1</v>
      </c>
      <c r="C23" s="71"/>
    </row>
    <row r="24" spans="1:3">
      <c r="A24" s="35" t="s">
        <v>154</v>
      </c>
      <c r="B24" s="45">
        <v>0</v>
      </c>
      <c r="C24" s="71"/>
    </row>
    <row r="25" spans="1:3">
      <c r="A25" s="258" t="s">
        <v>153</v>
      </c>
      <c r="B25" s="260"/>
      <c r="C25" s="92">
        <f>ROUND((B22*(B23)-((B22*B23)*B24)),2)</f>
        <v>54.79</v>
      </c>
    </row>
    <row r="28" spans="1:3">
      <c r="A28" s="262" t="s">
        <v>155</v>
      </c>
      <c r="B28" s="263"/>
      <c r="C28" s="264"/>
    </row>
    <row r="29" spans="1:3">
      <c r="A29" s="35" t="s">
        <v>156</v>
      </c>
      <c r="B29" s="46">
        <f>+B7</f>
        <v>2355.444</v>
      </c>
      <c r="C29" s="71"/>
    </row>
    <row r="30" spans="1:3">
      <c r="A30" s="35" t="s">
        <v>157</v>
      </c>
      <c r="B30" s="35">
        <v>12</v>
      </c>
      <c r="C30" s="71"/>
    </row>
    <row r="31" spans="1:3">
      <c r="A31" s="101" t="s">
        <v>158</v>
      </c>
      <c r="B31" s="103">
        <v>0.1</v>
      </c>
      <c r="C31" s="71"/>
    </row>
    <row r="32" spans="1:3">
      <c r="A32" s="258" t="s">
        <v>159</v>
      </c>
      <c r="B32" s="260"/>
      <c r="C32" s="92">
        <f>ROUND(+(B29/B30)*B31,2)</f>
        <v>19.63</v>
      </c>
    </row>
    <row r="34" spans="1:3">
      <c r="A34" s="265" t="s">
        <v>160</v>
      </c>
      <c r="B34" s="266"/>
      <c r="C34" s="267"/>
    </row>
    <row r="35" spans="1:3" s="57" customFormat="1">
      <c r="A35" s="115" t="s">
        <v>161</v>
      </c>
      <c r="B35" s="103">
        <f>+B31</f>
        <v>0.1</v>
      </c>
      <c r="C35" s="71"/>
    </row>
    <row r="36" spans="1:3">
      <c r="A36" s="35" t="s">
        <v>162</v>
      </c>
      <c r="B36" s="46">
        <f>+'Mecanico Refrigeracao seg a sab'!$D$23</f>
        <v>2355.444</v>
      </c>
      <c r="C36" s="71"/>
    </row>
    <row r="37" spans="1:3">
      <c r="A37" s="35" t="s">
        <v>44</v>
      </c>
      <c r="B37" s="46">
        <f>+'Mecanico Refrigeracao seg a sab'!$D$29</f>
        <v>196.29</v>
      </c>
      <c r="C37" s="71"/>
    </row>
    <row r="38" spans="1:3">
      <c r="A38" s="95" t="s">
        <v>47</v>
      </c>
      <c r="B38" s="46">
        <f>+'Mecanico Refrigeracao seg a sab'!$D$31</f>
        <v>196.29</v>
      </c>
      <c r="C38" s="71"/>
    </row>
    <row r="39" spans="1:3">
      <c r="A39" s="95" t="s">
        <v>49</v>
      </c>
      <c r="B39" s="46">
        <f>+'Mecanico Refrigeracao seg a sab'!$D$32</f>
        <v>65.430000000000007</v>
      </c>
      <c r="C39" s="71"/>
    </row>
    <row r="40" spans="1:3">
      <c r="A40" s="96" t="s">
        <v>163</v>
      </c>
      <c r="B40" s="97">
        <f>SUM(B36:B39)</f>
        <v>2813.4539999999997</v>
      </c>
      <c r="C40" s="71"/>
    </row>
    <row r="41" spans="1:3">
      <c r="A41" s="66" t="s">
        <v>164</v>
      </c>
      <c r="B41" s="45">
        <v>0.4</v>
      </c>
      <c r="C41" s="71"/>
    </row>
    <row r="42" spans="1:3">
      <c r="A42" s="66" t="s">
        <v>165</v>
      </c>
      <c r="B42" s="45">
        <f>+'Mecanico Refrigeracao seg a sab'!$C$44</f>
        <v>0.08</v>
      </c>
      <c r="C42" s="71"/>
    </row>
    <row r="43" spans="1:3">
      <c r="A43" s="226" t="s">
        <v>166</v>
      </c>
      <c r="B43" s="227"/>
      <c r="C43" s="82">
        <f>ROUND(+B40*B41*B42*B35,2)</f>
        <v>9</v>
      </c>
    </row>
    <row r="44" spans="1:3">
      <c r="A44" s="66" t="s">
        <v>167</v>
      </c>
      <c r="B44" s="141">
        <v>0</v>
      </c>
      <c r="C44" s="71"/>
    </row>
    <row r="45" spans="1:3">
      <c r="A45" s="226" t="s">
        <v>168</v>
      </c>
      <c r="B45" s="227"/>
      <c r="C45" s="98">
        <f>ROUND(B44*B42*B40*B35,2)</f>
        <v>0</v>
      </c>
    </row>
    <row r="46" spans="1:3">
      <c r="A46" s="258" t="s">
        <v>169</v>
      </c>
      <c r="B46" s="260"/>
      <c r="C46" s="84">
        <f>+C45+C43</f>
        <v>9</v>
      </c>
    </row>
    <row r="48" spans="1:3">
      <c r="A48" s="262" t="s">
        <v>170</v>
      </c>
      <c r="B48" s="263"/>
      <c r="C48" s="264"/>
    </row>
    <row r="49" spans="1:3">
      <c r="A49" s="35" t="s">
        <v>156</v>
      </c>
      <c r="B49" s="46">
        <f>+B7</f>
        <v>2355.444</v>
      </c>
      <c r="C49" s="71"/>
    </row>
    <row r="50" spans="1:3">
      <c r="A50" s="35" t="s">
        <v>171</v>
      </c>
      <c r="B50" s="99">
        <v>30</v>
      </c>
      <c r="C50" s="71"/>
    </row>
    <row r="51" spans="1:3">
      <c r="A51" s="35" t="s">
        <v>157</v>
      </c>
      <c r="B51" s="35">
        <v>12</v>
      </c>
      <c r="C51" s="71"/>
    </row>
    <row r="52" spans="1:3">
      <c r="A52" s="35" t="s">
        <v>172</v>
      </c>
      <c r="B52" s="35">
        <v>7</v>
      </c>
      <c r="C52" s="71"/>
    </row>
    <row r="53" spans="1:3">
      <c r="A53" s="101" t="s">
        <v>173</v>
      </c>
      <c r="B53" s="103">
        <v>0.1</v>
      </c>
      <c r="C53" s="71"/>
    </row>
    <row r="54" spans="1:3">
      <c r="A54" s="258" t="s">
        <v>174</v>
      </c>
      <c r="B54" s="260"/>
      <c r="C54" s="92">
        <f>+ROUND(((B49/B50/B51)*B52)*B53,2)</f>
        <v>4.58</v>
      </c>
    </row>
    <row r="56" spans="1:3">
      <c r="A56" s="265" t="s">
        <v>175</v>
      </c>
      <c r="B56" s="266"/>
      <c r="C56" s="267"/>
    </row>
    <row r="57" spans="1:3">
      <c r="A57" s="116" t="s">
        <v>176</v>
      </c>
      <c r="B57" s="103">
        <f>+B53</f>
        <v>0.1</v>
      </c>
      <c r="C57" s="71"/>
    </row>
    <row r="58" spans="1:3">
      <c r="A58" s="35" t="s">
        <v>162</v>
      </c>
      <c r="B58" s="46">
        <f>+'Mecanico Refrigeracao seg a sab'!$D$23</f>
        <v>2355.444</v>
      </c>
      <c r="C58" s="71"/>
    </row>
    <row r="59" spans="1:3">
      <c r="A59" s="35" t="s">
        <v>44</v>
      </c>
      <c r="B59" s="46">
        <f>+'Mecanico Refrigeracao seg a sab'!$D$29</f>
        <v>196.29</v>
      </c>
      <c r="C59" s="71"/>
    </row>
    <row r="60" spans="1:3">
      <c r="A60" s="95" t="s">
        <v>47</v>
      </c>
      <c r="B60" s="46">
        <f>+'Mecanico Refrigeracao seg a sab'!$D$31</f>
        <v>196.29</v>
      </c>
      <c r="C60" s="71"/>
    </row>
    <row r="61" spans="1:3">
      <c r="A61" s="95" t="s">
        <v>49</v>
      </c>
      <c r="B61" s="46">
        <f>+'Mecanico Refrigeracao seg a sab'!$D$32</f>
        <v>65.430000000000007</v>
      </c>
      <c r="C61" s="71"/>
    </row>
    <row r="62" spans="1:3">
      <c r="A62" s="96" t="s">
        <v>163</v>
      </c>
      <c r="B62" s="97">
        <f>SUM(B58:B61)</f>
        <v>2813.4539999999997</v>
      </c>
      <c r="C62" s="71"/>
    </row>
    <row r="63" spans="1:3">
      <c r="A63" s="66" t="s">
        <v>164</v>
      </c>
      <c r="B63" s="45">
        <v>0.4</v>
      </c>
      <c r="C63" s="71"/>
    </row>
    <row r="64" spans="1:3">
      <c r="A64" s="66" t="s">
        <v>165</v>
      </c>
      <c r="B64" s="45">
        <f>+'Mecanico Refrigeracao seg a sab'!$C$44</f>
        <v>0.08</v>
      </c>
      <c r="C64" s="71"/>
    </row>
    <row r="65" spans="1:3">
      <c r="A65" s="226" t="s">
        <v>166</v>
      </c>
      <c r="B65" s="227"/>
      <c r="C65" s="82">
        <f>ROUND(+B62*B63*B64*B57,2)</f>
        <v>9</v>
      </c>
    </row>
    <row r="66" spans="1:3">
      <c r="A66" s="66" t="s">
        <v>167</v>
      </c>
      <c r="B66" s="141">
        <v>0</v>
      </c>
      <c r="C66" s="71"/>
    </row>
    <row r="67" spans="1:3">
      <c r="A67" s="226" t="s">
        <v>168</v>
      </c>
      <c r="B67" s="227"/>
      <c r="C67" s="98">
        <f>ROUND(B66*B64*B62*B57,2)</f>
        <v>0</v>
      </c>
    </row>
    <row r="68" spans="1:3">
      <c r="A68" s="258" t="s">
        <v>177</v>
      </c>
      <c r="B68" s="260"/>
      <c r="C68" s="84">
        <f>+C67+C65</f>
        <v>9</v>
      </c>
    </row>
    <row r="70" spans="1:3">
      <c r="A70" s="265" t="s">
        <v>178</v>
      </c>
      <c r="B70" s="266"/>
      <c r="C70" s="267"/>
    </row>
    <row r="71" spans="1:3">
      <c r="A71" s="271" t="s">
        <v>179</v>
      </c>
      <c r="B71" s="272"/>
      <c r="C71" s="273"/>
    </row>
    <row r="72" spans="1:3">
      <c r="A72" s="274"/>
      <c r="B72" s="275"/>
      <c r="C72" s="276"/>
    </row>
    <row r="73" spans="1:3">
      <c r="A73" s="274"/>
      <c r="B73" s="275"/>
      <c r="C73" s="276"/>
    </row>
    <row r="74" spans="1:3">
      <c r="A74" s="277"/>
      <c r="B74" s="278"/>
      <c r="C74" s="279"/>
    </row>
    <row r="75" spans="1:3">
      <c r="A75" s="100"/>
      <c r="B75" s="100"/>
      <c r="C75" s="100"/>
    </row>
    <row r="76" spans="1:3">
      <c r="A76" s="265" t="s">
        <v>180</v>
      </c>
      <c r="B76" s="266"/>
      <c r="C76" s="267"/>
    </row>
    <row r="77" spans="1:3">
      <c r="A77" s="35" t="s">
        <v>181</v>
      </c>
      <c r="B77" s="46">
        <f>+$B$7</f>
        <v>2355.444</v>
      </c>
      <c r="C77" s="71"/>
    </row>
    <row r="78" spans="1:3">
      <c r="A78" s="35" t="s">
        <v>147</v>
      </c>
      <c r="B78" s="35">
        <v>30</v>
      </c>
      <c r="C78" s="71"/>
    </row>
    <row r="79" spans="1:3">
      <c r="A79" s="35" t="s">
        <v>182</v>
      </c>
      <c r="B79" s="35">
        <v>12</v>
      </c>
      <c r="C79" s="71"/>
    </row>
    <row r="80" spans="1:3">
      <c r="A80" s="101" t="s">
        <v>183</v>
      </c>
      <c r="B80" s="101">
        <v>1</v>
      </c>
      <c r="C80" s="71"/>
    </row>
    <row r="81" spans="1:3">
      <c r="A81" s="258" t="s">
        <v>184</v>
      </c>
      <c r="B81" s="260"/>
      <c r="C81" s="64">
        <f>+ROUND((B77/B78/B79)*B80,2)</f>
        <v>6.54</v>
      </c>
    </row>
    <row r="83" spans="1:3">
      <c r="A83" s="265" t="s">
        <v>185</v>
      </c>
      <c r="B83" s="266"/>
      <c r="C83" s="267"/>
    </row>
    <row r="84" spans="1:3">
      <c r="A84" s="35" t="s">
        <v>181</v>
      </c>
      <c r="B84" s="46">
        <f>+$B$7</f>
        <v>2355.444</v>
      </c>
      <c r="C84" s="71"/>
    </row>
    <row r="85" spans="1:3">
      <c r="A85" s="35" t="s">
        <v>147</v>
      </c>
      <c r="B85" s="35">
        <v>30</v>
      </c>
      <c r="C85" s="71"/>
    </row>
    <row r="86" spans="1:3">
      <c r="A86" s="35" t="s">
        <v>182</v>
      </c>
      <c r="B86" s="35">
        <v>12</v>
      </c>
      <c r="C86" s="71"/>
    </row>
    <row r="87" spans="1:3">
      <c r="A87" s="55" t="s">
        <v>186</v>
      </c>
      <c r="B87" s="35">
        <v>5</v>
      </c>
      <c r="C87" s="71"/>
    </row>
    <row r="88" spans="1:3">
      <c r="A88" s="101" t="s">
        <v>187</v>
      </c>
      <c r="B88" s="103">
        <v>1.4999999999999999E-2</v>
      </c>
      <c r="C88" s="71"/>
    </row>
    <row r="89" spans="1:3">
      <c r="A89" s="101" t="s">
        <v>188</v>
      </c>
      <c r="B89" s="103">
        <v>0.99060000000000004</v>
      </c>
      <c r="C89" s="71"/>
    </row>
    <row r="90" spans="1:3">
      <c r="A90" s="258" t="s">
        <v>189</v>
      </c>
      <c r="B90" s="260"/>
      <c r="C90" s="92">
        <f>ROUND(+B84/B85/B86*B87*B88*B89,2)</f>
        <v>0.49</v>
      </c>
    </row>
    <row r="92" spans="1:3">
      <c r="A92" s="265" t="s">
        <v>190</v>
      </c>
      <c r="B92" s="266"/>
      <c r="C92" s="267"/>
    </row>
    <row r="93" spans="1:3">
      <c r="A93" s="35" t="s">
        <v>181</v>
      </c>
      <c r="B93" s="46">
        <f>+$B$7</f>
        <v>2355.444</v>
      </c>
      <c r="C93" s="71"/>
    </row>
    <row r="94" spans="1:3">
      <c r="A94" s="35" t="s">
        <v>147</v>
      </c>
      <c r="B94" s="35">
        <v>30</v>
      </c>
      <c r="C94" s="71"/>
    </row>
    <row r="95" spans="1:3">
      <c r="A95" s="35" t="s">
        <v>182</v>
      </c>
      <c r="B95" s="35">
        <v>12</v>
      </c>
      <c r="C95" s="71"/>
    </row>
    <row r="96" spans="1:3">
      <c r="A96" s="55" t="s">
        <v>191</v>
      </c>
      <c r="B96" s="35">
        <v>15</v>
      </c>
      <c r="C96" s="71"/>
    </row>
    <row r="97" spans="1:3">
      <c r="A97" s="101" t="s">
        <v>192</v>
      </c>
      <c r="B97" s="103">
        <v>0.08</v>
      </c>
      <c r="C97" s="71"/>
    </row>
    <row r="98" spans="1:3">
      <c r="A98" s="258" t="s">
        <v>193</v>
      </c>
      <c r="B98" s="260"/>
      <c r="C98" s="92">
        <f>ROUND(+B93/B94/B95*B96*B97,2)</f>
        <v>7.85</v>
      </c>
    </row>
    <row r="100" spans="1:3">
      <c r="A100" s="265" t="s">
        <v>194</v>
      </c>
      <c r="B100" s="266"/>
      <c r="C100" s="267"/>
    </row>
    <row r="101" spans="1:3">
      <c r="A101" s="35" t="s">
        <v>181</v>
      </c>
      <c r="B101" s="46">
        <f>+$B$7</f>
        <v>2355.444</v>
      </c>
      <c r="C101" s="71"/>
    </row>
    <row r="102" spans="1:3">
      <c r="A102" s="35" t="s">
        <v>147</v>
      </c>
      <c r="B102" s="35">
        <v>30</v>
      </c>
      <c r="C102" s="71"/>
    </row>
    <row r="103" spans="1:3">
      <c r="A103" s="35" t="s">
        <v>182</v>
      </c>
      <c r="B103" s="35">
        <v>12</v>
      </c>
      <c r="C103" s="71"/>
    </row>
    <row r="104" spans="1:3">
      <c r="A104" s="55" t="s">
        <v>191</v>
      </c>
      <c r="B104" s="35">
        <v>5</v>
      </c>
      <c r="C104" s="71"/>
    </row>
    <row r="105" spans="1:3">
      <c r="A105" s="101" t="s">
        <v>195</v>
      </c>
      <c r="B105" s="103">
        <v>0.4</v>
      </c>
      <c r="C105" s="71"/>
    </row>
    <row r="106" spans="1:3">
      <c r="A106" s="258" t="s">
        <v>196</v>
      </c>
      <c r="B106" s="260"/>
      <c r="C106" s="92">
        <f>ROUND(+B101/B102/B103*B104*B105,2)</f>
        <v>13.09</v>
      </c>
    </row>
    <row r="108" spans="1:3">
      <c r="A108" s="265" t="s">
        <v>197</v>
      </c>
      <c r="B108" s="266"/>
      <c r="C108" s="267"/>
    </row>
    <row r="109" spans="1:3">
      <c r="A109" s="268" t="s">
        <v>198</v>
      </c>
      <c r="B109" s="269"/>
      <c r="C109" s="270"/>
    </row>
    <row r="110" spans="1:3">
      <c r="A110" s="35" t="s">
        <v>181</v>
      </c>
      <c r="B110" s="46">
        <f>+$B$7</f>
        <v>2355.444</v>
      </c>
      <c r="C110" s="71"/>
    </row>
    <row r="111" spans="1:3">
      <c r="A111" s="35" t="s">
        <v>199</v>
      </c>
      <c r="B111" s="46">
        <f>+B110*(1/3)</f>
        <v>785.14799999999991</v>
      </c>
      <c r="C111" s="71"/>
    </row>
    <row r="112" spans="1:3">
      <c r="A112" s="96" t="s">
        <v>163</v>
      </c>
      <c r="B112" s="97">
        <f>SUM(B110:B111)</f>
        <v>3140.5919999999996</v>
      </c>
      <c r="C112" s="71"/>
    </row>
    <row r="113" spans="1:3">
      <c r="A113" s="35" t="s">
        <v>200</v>
      </c>
      <c r="B113" s="35">
        <v>4</v>
      </c>
      <c r="C113" s="71"/>
    </row>
    <row r="114" spans="1:3">
      <c r="A114" s="35" t="s">
        <v>182</v>
      </c>
      <c r="B114" s="35">
        <v>12</v>
      </c>
      <c r="C114" s="71"/>
    </row>
    <row r="115" spans="1:3">
      <c r="A115" s="101" t="s">
        <v>201</v>
      </c>
      <c r="B115" s="103">
        <v>0.02</v>
      </c>
      <c r="C115" s="71"/>
    </row>
    <row r="116" spans="1:3">
      <c r="A116" s="101" t="s">
        <v>202</v>
      </c>
      <c r="B116" s="103">
        <v>9.4000000000000004E-3</v>
      </c>
      <c r="C116" s="71"/>
    </row>
    <row r="117" spans="1:3">
      <c r="A117" s="258" t="s">
        <v>203</v>
      </c>
      <c r="B117" s="260"/>
      <c r="C117" s="92">
        <f>ROUND((((+B112*(B113/B114)/B114)*B115)*B116),2)</f>
        <v>0.02</v>
      </c>
    </row>
    <row r="118" spans="1:3">
      <c r="A118" s="258" t="s">
        <v>204</v>
      </c>
      <c r="B118" s="259"/>
      <c r="C118" s="260"/>
    </row>
    <row r="119" spans="1:3">
      <c r="A119" s="35" t="s">
        <v>181</v>
      </c>
      <c r="B119" s="46">
        <f>+'Mecanico Refrigeracao seg a sab'!D23</f>
        <v>2355.444</v>
      </c>
      <c r="C119" s="71"/>
    </row>
    <row r="120" spans="1:3">
      <c r="A120" s="35" t="s">
        <v>44</v>
      </c>
      <c r="B120" s="46">
        <f>+'Mecanico Refrigeracao seg a sab'!D29</f>
        <v>196.29</v>
      </c>
      <c r="C120" s="71"/>
    </row>
    <row r="121" spans="1:3">
      <c r="A121" s="96" t="s">
        <v>163</v>
      </c>
      <c r="B121" s="97">
        <f>SUM(B119:B120)</f>
        <v>2551.7339999999999</v>
      </c>
      <c r="C121" s="71"/>
    </row>
    <row r="122" spans="1:3">
      <c r="A122" s="35" t="s">
        <v>200</v>
      </c>
      <c r="B122" s="35">
        <v>4</v>
      </c>
      <c r="C122" s="71"/>
    </row>
    <row r="123" spans="1:3">
      <c r="A123" s="35" t="s">
        <v>182</v>
      </c>
      <c r="B123" s="35">
        <v>12</v>
      </c>
      <c r="C123" s="71"/>
    </row>
    <row r="124" spans="1:3">
      <c r="A124" s="101" t="s">
        <v>201</v>
      </c>
      <c r="B124" s="103">
        <f>+B115</f>
        <v>0.02</v>
      </c>
      <c r="C124" s="71"/>
    </row>
    <row r="125" spans="1:3">
      <c r="A125" s="101" t="s">
        <v>202</v>
      </c>
      <c r="B125" s="103">
        <f>+B116</f>
        <v>9.4000000000000004E-3</v>
      </c>
      <c r="C125" s="71"/>
    </row>
    <row r="126" spans="1:3">
      <c r="A126" s="55" t="s">
        <v>205</v>
      </c>
      <c r="B126" s="45">
        <f>+'Mecanico Refrigeracao seg a sab'!C45</f>
        <v>0.34800000000000003</v>
      </c>
      <c r="C126" s="71"/>
    </row>
    <row r="127" spans="1:3">
      <c r="A127" s="258" t="s">
        <v>206</v>
      </c>
      <c r="B127" s="260"/>
      <c r="C127" s="84">
        <f>ROUND((((B121*(B122/B123)*B124)*B125)*B126),2)</f>
        <v>0.06</v>
      </c>
    </row>
    <row r="129" spans="1:3" ht="30.75" customHeight="1">
      <c r="A129" s="261" t="s">
        <v>239</v>
      </c>
      <c r="B129" s="261"/>
      <c r="C129" s="261"/>
    </row>
    <row r="130" spans="1:3">
      <c r="C130" s="77"/>
    </row>
    <row r="131" spans="1:3">
      <c r="C131" s="77"/>
    </row>
    <row r="132" spans="1:3">
      <c r="C132" s="77"/>
    </row>
  </sheetData>
  <mergeCells count="33">
    <mergeCell ref="A118:C118"/>
    <mergeCell ref="A127:B127"/>
    <mergeCell ref="A129:C129"/>
    <mergeCell ref="A98:B98"/>
    <mergeCell ref="A100:C100"/>
    <mergeCell ref="A106:B106"/>
    <mergeCell ref="A108:C108"/>
    <mergeCell ref="A109:C109"/>
    <mergeCell ref="A117:B117"/>
    <mergeCell ref="A92:C92"/>
    <mergeCell ref="A54:B54"/>
    <mergeCell ref="A56:C56"/>
    <mergeCell ref="A65:B65"/>
    <mergeCell ref="A67:B67"/>
    <mergeCell ref="A68:B68"/>
    <mergeCell ref="A70:C70"/>
    <mergeCell ref="A71:C74"/>
    <mergeCell ref="A76:C76"/>
    <mergeCell ref="A81:B81"/>
    <mergeCell ref="A83:C83"/>
    <mergeCell ref="A90:B90"/>
    <mergeCell ref="A48:C48"/>
    <mergeCell ref="A1:C1"/>
    <mergeCell ref="A9:C9"/>
    <mergeCell ref="A16:B16"/>
    <mergeCell ref="A18:C18"/>
    <mergeCell ref="A25:B25"/>
    <mergeCell ref="A28:C28"/>
    <mergeCell ref="A32:B32"/>
    <mergeCell ref="A34:C34"/>
    <mergeCell ref="A43:B43"/>
    <mergeCell ref="A45:B45"/>
    <mergeCell ref="A46:B46"/>
  </mergeCells>
  <pageMargins left="1.42" right="0.13" top="0.35" bottom="0.54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4</vt:i4>
      </vt:variant>
    </vt:vector>
  </HeadingPairs>
  <TitlesOfParts>
    <vt:vector size="17" baseType="lpstr">
      <vt:lpstr>Apresentação</vt:lpstr>
      <vt:lpstr>Uniforme</vt:lpstr>
      <vt:lpstr>Ferramentas</vt:lpstr>
      <vt:lpstr>Aux de Eletricista seg a sab</vt:lpstr>
      <vt:lpstr>Men Cal Aux Eletr seg a sab</vt:lpstr>
      <vt:lpstr>Aux de Mecanica seg a sab</vt:lpstr>
      <vt:lpstr>Men Cal Aux Mec seg a sab</vt:lpstr>
      <vt:lpstr>Mecanico Refrigeracao seg a sab</vt:lpstr>
      <vt:lpstr>Men Cal Mec seg a sab</vt:lpstr>
      <vt:lpstr>Eletricista seg a sab</vt:lpstr>
      <vt:lpstr>Men Cal Eletricista seg a sab</vt:lpstr>
      <vt:lpstr>Encarregado seg a sab</vt:lpstr>
      <vt:lpstr>Men Cal Encarregado seg a sab</vt:lpstr>
      <vt:lpstr>Apresentação!Area_de_impressao</vt:lpstr>
      <vt:lpstr>'Aux de Eletricista seg a sab'!Area_de_impressao</vt:lpstr>
      <vt:lpstr>Ferramentas!Area_de_impressao</vt:lpstr>
      <vt:lpstr>Uniforme!Area_de_impressao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User</cp:lastModifiedBy>
  <cp:lastPrinted>2020-01-09T14:01:11Z</cp:lastPrinted>
  <dcterms:created xsi:type="dcterms:W3CDTF">2019-12-12T15:09:38Z</dcterms:created>
  <dcterms:modified xsi:type="dcterms:W3CDTF">2020-07-02T17:16:09Z</dcterms:modified>
</cp:coreProperties>
</file>