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frj\Documents\Limpeza HU 2019\"/>
    </mc:Choice>
  </mc:AlternateContent>
  <bookViews>
    <workbookView xWindow="720" yWindow="240" windowWidth="27660" windowHeight="14256" activeTab="1"/>
  </bookViews>
  <sheets>
    <sheet name="Resumo" sheetId="1" r:id="rId1"/>
    <sheet name="Custo Limpeza" sheetId="17" r:id="rId2"/>
    <sheet name="Servente 44h seg a sex" sheetId="3" r:id="rId3"/>
    <sheet name="Men Cal Servente 44h" sheetId="4" r:id="rId4"/>
    <sheet name="Servente 44h 40% seg a sex" sheetId="13" r:id="rId5"/>
    <sheet name="Men Cal Servente 44h 40%" sheetId="14" r:id="rId6"/>
    <sheet name="Encarregado 44h Seg Sex" sheetId="18" r:id="rId7"/>
    <sheet name="Men Cal Enc 44h seg sex " sheetId="19" r:id="rId8"/>
    <sheet name="Servente 12 36 20% Diurno" sheetId="5" r:id="rId9"/>
    <sheet name="MenCal Servente 12 36 20%Diurno" sheetId="6" r:id="rId10"/>
    <sheet name="Servente 12 36 40% Diurno" sheetId="15" r:id="rId11"/>
    <sheet name="MenCal Servente 12 36 40%Diurno" sheetId="16" r:id="rId12"/>
    <sheet name="Servente 12 36 40% Noturno" sheetId="7" r:id="rId13"/>
    <sheet name="MenCal Servente 12 36 40% Not" sheetId="8" r:id="rId14"/>
    <sheet name="Encarregado 12 36 Diurno" sheetId="10" r:id="rId15"/>
    <sheet name="Men Cal Enc 12 36 Diurno" sheetId="11" r:id="rId16"/>
    <sheet name="Encarregado 12 36 Noturno" sheetId="21" r:id="rId17"/>
    <sheet name="Men Cal Enc 12 36 Noturno" sheetId="22" r:id="rId18"/>
    <sheet name="Limpador de  Vidro 44h " sheetId="23" r:id="rId19"/>
    <sheet name="Men Cal Limpador 44h" sheetId="24" r:id="rId20"/>
    <sheet name="Uniforme" sheetId="9" r:id="rId21"/>
    <sheet name="Custo do Insumo" sheetId="20" r:id="rId22"/>
    <sheet name="Controle de Material" sheetId="25" r:id="rId23"/>
    <sheet name="IMR" sheetId="26" r:id="rId24"/>
    <sheet name="Controle Area Física" sheetId="28" r:id="rId25"/>
    <sheet name="Consolidador" sheetId="27" r:id="rId26"/>
  </sheets>
  <definedNames>
    <definedName name="_xlnm.Print_Area" localSheetId="25">Consolidador!$A$1:$J$52</definedName>
    <definedName name="_xlnm.Print_Area" localSheetId="24">'Controle Area Física'!$A$1:$I$34</definedName>
    <definedName name="_xlnm.Print_Area" localSheetId="22">'Controle de Material'!$A$1:$AE$92</definedName>
    <definedName name="_xlnm.Print_Area" localSheetId="21">'Custo do Insumo'!$A$6:$V$97</definedName>
    <definedName name="_xlnm.Print_Area" localSheetId="1">'Custo Limpeza'!$H$75:$X$116</definedName>
    <definedName name="_xlnm.Print_Area" localSheetId="14">'Encarregado 12 36 Diurno'!$A$1:$D$155</definedName>
    <definedName name="_xlnm.Print_Area" localSheetId="16">'Encarregado 12 36 Noturno'!$A$1:$D$155</definedName>
    <definedName name="_xlnm.Print_Area" localSheetId="6">'Encarregado 44h Seg Sex'!$A$1:$D$155</definedName>
    <definedName name="_xlnm.Print_Area" localSheetId="23">IMR!$A$1:$M$110</definedName>
    <definedName name="_xlnm.Print_Area" localSheetId="18">'Limpador de  Vidro 44h '!$A$1:$D$154</definedName>
    <definedName name="_xlnm.Print_Area" localSheetId="15">'Men Cal Enc 12 36 Diurno'!$A$1:$C$130</definedName>
    <definedName name="_xlnm.Print_Area" localSheetId="17">'Men Cal Enc 12 36 Noturno'!$A$1:$C$166</definedName>
    <definedName name="_xlnm.Print_Area" localSheetId="7">'Men Cal Enc 44h seg sex '!$A$1:$C$130</definedName>
    <definedName name="_xlnm.Print_Area" localSheetId="19">'Men Cal Limpador 44h'!$A$1:$C$164</definedName>
    <definedName name="_xlnm.Print_Area" localSheetId="3">'Men Cal Servente 44h'!$A$1:$C$164</definedName>
    <definedName name="_xlnm.Print_Area" localSheetId="5">'Men Cal Servente 44h 40%'!$A$1:$C$164</definedName>
    <definedName name="_xlnm.Print_Area" localSheetId="9">'MenCal Servente 12 36 20%Diurno'!$A$1:$C$164</definedName>
    <definedName name="_xlnm.Print_Area" localSheetId="13">'MenCal Servente 12 36 40% Not'!$A$1:$C$164</definedName>
    <definedName name="_xlnm.Print_Area" localSheetId="11">'MenCal Servente 12 36 40%Diurno'!$A$1:$C$164</definedName>
    <definedName name="_xlnm.Print_Area" localSheetId="0">Resumo!$A$1:$H$42</definedName>
    <definedName name="_xlnm.Print_Area" localSheetId="8">'Servente 12 36 20% Diurno'!$A$1:$D$154</definedName>
    <definedName name="_xlnm.Print_Area" localSheetId="10">'Servente 12 36 40% Diurno'!$A$1:$D$154</definedName>
    <definedName name="_xlnm.Print_Area" localSheetId="12">'Servente 12 36 40% Noturno'!$A$1:$D$154</definedName>
    <definedName name="_xlnm.Print_Area" localSheetId="4">'Servente 44h 40% seg a sex'!$A$1:$D$154</definedName>
    <definedName name="_xlnm.Print_Area" localSheetId="2">'Servente 44h seg a sex'!$A$1:$D$154</definedName>
    <definedName name="_xlnm.Print_Area" localSheetId="20">Uniforme!$A$1:$F$17</definedName>
  </definedNames>
  <calcPr calcId="152511"/>
</workbook>
</file>

<file path=xl/calcChain.xml><?xml version="1.0" encoding="utf-8"?>
<calcChain xmlns="http://schemas.openxmlformats.org/spreadsheetml/2006/main">
  <c r="B124" i="24" l="1"/>
  <c r="B123" i="24"/>
  <c r="B125" i="22"/>
  <c r="B125" i="11"/>
  <c r="B124" i="8"/>
  <c r="B123" i="8"/>
  <c r="B124" i="16"/>
  <c r="B123" i="16"/>
  <c r="B124" i="6"/>
  <c r="B123" i="6"/>
  <c r="B126" i="19"/>
  <c r="B125" i="19"/>
  <c r="B124" i="14"/>
  <c r="B123" i="14"/>
  <c r="B124" i="4"/>
  <c r="B123" i="4"/>
  <c r="F26" i="28" l="1"/>
  <c r="F25" i="28"/>
  <c r="H25" i="28" s="1"/>
  <c r="C26" i="28"/>
  <c r="B26" i="28"/>
  <c r="C25" i="28"/>
  <c r="B25" i="28"/>
  <c r="F24" i="28"/>
  <c r="H24" i="28" s="1"/>
  <c r="C24" i="28"/>
  <c r="B24" i="28"/>
  <c r="F23" i="28"/>
  <c r="H23" i="28" s="1"/>
  <c r="F22" i="28"/>
  <c r="H22" i="28" s="1"/>
  <c r="C23" i="28"/>
  <c r="B23" i="28"/>
  <c r="C22" i="28"/>
  <c r="B22" i="28"/>
  <c r="F21" i="28"/>
  <c r="H21" i="28" s="1"/>
  <c r="C21" i="28"/>
  <c r="B21" i="28"/>
  <c r="F20" i="28"/>
  <c r="H20" i="28" s="1"/>
  <c r="C20" i="28"/>
  <c r="B20" i="28"/>
  <c r="H26" i="28"/>
  <c r="F19" i="28"/>
  <c r="H19" i="28" s="1"/>
  <c r="F18" i="28"/>
  <c r="H18" i="28" s="1"/>
  <c r="C18" i="28"/>
  <c r="B18" i="28"/>
  <c r="F17" i="28"/>
  <c r="H17" i="28" s="1"/>
  <c r="F16" i="28"/>
  <c r="H16" i="28" s="1"/>
  <c r="F15" i="28"/>
  <c r="H15" i="28" s="1"/>
  <c r="E41" i="1"/>
  <c r="E40" i="1"/>
  <c r="E39" i="1"/>
  <c r="E38" i="1"/>
  <c r="E37" i="1"/>
  <c r="E36" i="1"/>
  <c r="E35" i="1"/>
  <c r="E34" i="1"/>
  <c r="E33" i="1"/>
  <c r="E32" i="1"/>
  <c r="E31" i="1"/>
  <c r="B31" i="1"/>
  <c r="B32" i="1" s="1"/>
  <c r="B33" i="1" s="1"/>
  <c r="B34" i="1" s="1"/>
  <c r="B35" i="1" s="1"/>
  <c r="B36" i="1" s="1"/>
  <c r="B37" i="1" s="1"/>
  <c r="B38" i="1" s="1"/>
  <c r="B39" i="1" s="1"/>
  <c r="B40" i="1" s="1"/>
  <c r="B41" i="1" s="1"/>
  <c r="E30" i="1"/>
  <c r="C61" i="21" l="1"/>
  <c r="C59" i="21"/>
  <c r="C57" i="21"/>
  <c r="C55" i="21"/>
  <c r="C61" i="10"/>
  <c r="C59" i="10"/>
  <c r="C57" i="10"/>
  <c r="C55" i="10"/>
  <c r="C61" i="18"/>
  <c r="C59" i="18"/>
  <c r="C57" i="18"/>
  <c r="C55" i="18"/>
  <c r="X115" i="17" l="1"/>
  <c r="J34" i="27"/>
  <c r="J35" i="27" s="1"/>
  <c r="J38" i="26"/>
  <c r="L38" i="26" s="1"/>
  <c r="I38" i="26"/>
  <c r="K38" i="26" s="1"/>
  <c r="M38" i="26" s="1"/>
  <c r="A38" i="26"/>
  <c r="B38" i="26" s="1"/>
  <c r="C38" i="26" s="1"/>
  <c r="J37" i="26"/>
  <c r="L37" i="26" s="1"/>
  <c r="I37" i="26"/>
  <c r="K37" i="26" s="1"/>
  <c r="M37" i="26" s="1"/>
  <c r="A37" i="26"/>
  <c r="B37" i="26" s="1"/>
  <c r="C37" i="26" s="1"/>
  <c r="J36" i="26"/>
  <c r="L36" i="26" s="1"/>
  <c r="I35" i="26"/>
  <c r="K35" i="26" s="1"/>
  <c r="I36" i="26" s="1"/>
  <c r="K36" i="26" s="1"/>
  <c r="M36" i="26" s="1"/>
  <c r="H35" i="26"/>
  <c r="H37" i="26" s="1"/>
  <c r="G35" i="26"/>
  <c r="G37" i="26" s="1"/>
  <c r="F35" i="26"/>
  <c r="F37" i="26" s="1"/>
  <c r="S34" i="26"/>
  <c r="N34" i="26" s="1"/>
  <c r="S33" i="26"/>
  <c r="N33" i="26" s="1"/>
  <c r="S32" i="26"/>
  <c r="N32" i="26" s="1"/>
  <c r="S31" i="26"/>
  <c r="N31" i="26" s="1"/>
  <c r="S30" i="26"/>
  <c r="N30" i="26"/>
  <c r="S29" i="26"/>
  <c r="N29" i="26" s="1"/>
  <c r="S28" i="26"/>
  <c r="N28" i="26" s="1"/>
  <c r="S27" i="26"/>
  <c r="N27" i="26" s="1"/>
  <c r="S26" i="26"/>
  <c r="N26" i="26" s="1"/>
  <c r="S25" i="26"/>
  <c r="N25" i="26" s="1"/>
  <c r="S24" i="26"/>
  <c r="N24" i="26" s="1"/>
  <c r="S23" i="26"/>
  <c r="N23" i="26" s="1"/>
  <c r="S21" i="26"/>
  <c r="N21" i="26"/>
  <c r="S19" i="26"/>
  <c r="N19" i="26" s="1"/>
  <c r="S18" i="26"/>
  <c r="N18" i="26" s="1"/>
  <c r="S17" i="26"/>
  <c r="N17" i="26" s="1"/>
  <c r="S16" i="26"/>
  <c r="N16" i="26" s="1"/>
  <c r="S14" i="26"/>
  <c r="N14" i="26" s="1"/>
  <c r="Q84" i="25"/>
  <c r="R84" i="25" s="1"/>
  <c r="D89" i="25"/>
  <c r="Q89" i="25" s="1"/>
  <c r="C89" i="25"/>
  <c r="B89" i="25"/>
  <c r="D88" i="25"/>
  <c r="Q88" i="25" s="1"/>
  <c r="C88" i="25"/>
  <c r="B88" i="25"/>
  <c r="D87" i="25"/>
  <c r="Q87" i="25" s="1"/>
  <c r="R87" i="25" s="1"/>
  <c r="C87" i="25"/>
  <c r="B87" i="25"/>
  <c r="D86" i="25"/>
  <c r="Q86" i="25" s="1"/>
  <c r="R86" i="25" s="1"/>
  <c r="C86" i="25"/>
  <c r="B86" i="25"/>
  <c r="D85" i="25"/>
  <c r="Q85" i="25" s="1"/>
  <c r="R85" i="25" s="1"/>
  <c r="C85" i="25"/>
  <c r="B85" i="25"/>
  <c r="D84" i="25"/>
  <c r="C84" i="25"/>
  <c r="B84" i="25"/>
  <c r="D83" i="25"/>
  <c r="Q83" i="25" s="1"/>
  <c r="R83" i="25" s="1"/>
  <c r="C83" i="25"/>
  <c r="B83" i="25"/>
  <c r="D82" i="25"/>
  <c r="Q82" i="25" s="1"/>
  <c r="R82" i="25" s="1"/>
  <c r="C82" i="25"/>
  <c r="B82" i="25"/>
  <c r="D81" i="25"/>
  <c r="Q81" i="25" s="1"/>
  <c r="R81" i="25" s="1"/>
  <c r="C81" i="25"/>
  <c r="B81" i="25"/>
  <c r="D80" i="25"/>
  <c r="C80" i="25"/>
  <c r="B80" i="25"/>
  <c r="D79" i="25"/>
  <c r="Q79" i="25" s="1"/>
  <c r="R79" i="25" s="1"/>
  <c r="C79" i="25"/>
  <c r="B79" i="25"/>
  <c r="D78" i="25"/>
  <c r="C78" i="25"/>
  <c r="B78" i="25"/>
  <c r="D77" i="25"/>
  <c r="Q77" i="25" s="1"/>
  <c r="C77" i="25"/>
  <c r="B77" i="25"/>
  <c r="D76" i="25"/>
  <c r="Q76" i="25" s="1"/>
  <c r="C76" i="25"/>
  <c r="B76" i="25"/>
  <c r="D75" i="25"/>
  <c r="Q75" i="25" s="1"/>
  <c r="C75" i="25"/>
  <c r="B75" i="25"/>
  <c r="D74" i="25"/>
  <c r="Q74" i="25" s="1"/>
  <c r="C74" i="25"/>
  <c r="B74" i="25"/>
  <c r="D73" i="25"/>
  <c r="Q73" i="25" s="1"/>
  <c r="C73" i="25"/>
  <c r="B73" i="25"/>
  <c r="D72" i="25"/>
  <c r="Q72" i="25" s="1"/>
  <c r="C72" i="25"/>
  <c r="B72" i="25"/>
  <c r="D71" i="25"/>
  <c r="Q71" i="25" s="1"/>
  <c r="C71" i="25"/>
  <c r="B71" i="25"/>
  <c r="D70" i="25"/>
  <c r="Q70" i="25" s="1"/>
  <c r="C70" i="25"/>
  <c r="B70" i="25"/>
  <c r="D69" i="25"/>
  <c r="Q69" i="25" s="1"/>
  <c r="C69" i="25"/>
  <c r="B69" i="25"/>
  <c r="D68" i="25"/>
  <c r="Q68" i="25" s="1"/>
  <c r="C68" i="25"/>
  <c r="B68" i="25"/>
  <c r="D67" i="25"/>
  <c r="Q67" i="25" s="1"/>
  <c r="C67" i="25"/>
  <c r="B67" i="25"/>
  <c r="D66" i="25"/>
  <c r="Q66" i="25" s="1"/>
  <c r="C66" i="25"/>
  <c r="B66" i="25"/>
  <c r="D65" i="25"/>
  <c r="Q65" i="25" s="1"/>
  <c r="C65" i="25"/>
  <c r="B65" i="25"/>
  <c r="D64" i="25"/>
  <c r="Q64" i="25" s="1"/>
  <c r="C64" i="25"/>
  <c r="B64" i="25"/>
  <c r="D63" i="25"/>
  <c r="Q63" i="25" s="1"/>
  <c r="C63" i="25"/>
  <c r="B63" i="25"/>
  <c r="D62" i="25"/>
  <c r="C62" i="25"/>
  <c r="B62" i="25"/>
  <c r="D61" i="25"/>
  <c r="Q61" i="25" s="1"/>
  <c r="C61" i="25"/>
  <c r="B61" i="25"/>
  <c r="D60" i="25"/>
  <c r="Q60" i="25" s="1"/>
  <c r="C60" i="25"/>
  <c r="B60" i="25"/>
  <c r="D59" i="25"/>
  <c r="Q59" i="25" s="1"/>
  <c r="C59" i="25"/>
  <c r="B59" i="25"/>
  <c r="D58" i="25"/>
  <c r="Q58" i="25" s="1"/>
  <c r="C58" i="25"/>
  <c r="B58" i="25"/>
  <c r="D57" i="25"/>
  <c r="Q57" i="25" s="1"/>
  <c r="C57" i="25"/>
  <c r="B57" i="25"/>
  <c r="D56" i="25"/>
  <c r="Q56" i="25" s="1"/>
  <c r="C56" i="25"/>
  <c r="B56" i="25"/>
  <c r="D55" i="25"/>
  <c r="Q55" i="25" s="1"/>
  <c r="C55" i="25"/>
  <c r="B55" i="25"/>
  <c r="D54" i="25"/>
  <c r="Q54" i="25" s="1"/>
  <c r="C54" i="25"/>
  <c r="B54" i="25"/>
  <c r="D53" i="25"/>
  <c r="Q53" i="25" s="1"/>
  <c r="C53" i="25"/>
  <c r="B53" i="25"/>
  <c r="D52" i="25"/>
  <c r="Q52" i="25" s="1"/>
  <c r="C52" i="25"/>
  <c r="B52" i="25"/>
  <c r="D51" i="25"/>
  <c r="Q51" i="25" s="1"/>
  <c r="C51" i="25"/>
  <c r="B51" i="25"/>
  <c r="D50" i="25"/>
  <c r="Q50" i="25" s="1"/>
  <c r="C50" i="25"/>
  <c r="B50" i="25"/>
  <c r="D49" i="25"/>
  <c r="Q49" i="25" s="1"/>
  <c r="C49" i="25"/>
  <c r="B49" i="25"/>
  <c r="D48" i="25"/>
  <c r="Q48" i="25" s="1"/>
  <c r="C48" i="25"/>
  <c r="B48" i="25"/>
  <c r="D47" i="25"/>
  <c r="Q47" i="25" s="1"/>
  <c r="C47" i="25"/>
  <c r="B47" i="25"/>
  <c r="D46" i="25"/>
  <c r="Q46" i="25" s="1"/>
  <c r="C46" i="25"/>
  <c r="B46" i="25"/>
  <c r="D45" i="25"/>
  <c r="Q45" i="25" s="1"/>
  <c r="C45" i="25"/>
  <c r="B45" i="25"/>
  <c r="D44" i="25"/>
  <c r="Q44" i="25" s="1"/>
  <c r="C44" i="25"/>
  <c r="B44" i="25"/>
  <c r="D43" i="25"/>
  <c r="Q43" i="25" s="1"/>
  <c r="C43" i="25"/>
  <c r="B43" i="25"/>
  <c r="D42" i="25"/>
  <c r="Q42" i="25" s="1"/>
  <c r="C42" i="25"/>
  <c r="B42" i="25"/>
  <c r="D41" i="25"/>
  <c r="Q41" i="25" s="1"/>
  <c r="C41" i="25"/>
  <c r="B41" i="25"/>
  <c r="D40" i="25"/>
  <c r="Q40" i="25" s="1"/>
  <c r="C40" i="25"/>
  <c r="B40" i="25"/>
  <c r="Q39" i="25"/>
  <c r="D39" i="25"/>
  <c r="C39" i="25"/>
  <c r="B39" i="25"/>
  <c r="D38" i="25"/>
  <c r="Q38" i="25" s="1"/>
  <c r="C38" i="25"/>
  <c r="B38" i="25"/>
  <c r="D37" i="25"/>
  <c r="Q37" i="25" s="1"/>
  <c r="C37" i="25"/>
  <c r="B37" i="25"/>
  <c r="D36" i="25"/>
  <c r="Q36" i="25" s="1"/>
  <c r="C36" i="25"/>
  <c r="B36" i="25"/>
  <c r="D35" i="25"/>
  <c r="Q35" i="25" s="1"/>
  <c r="C35" i="25"/>
  <c r="B35" i="25"/>
  <c r="D34" i="25"/>
  <c r="Q34" i="25" s="1"/>
  <c r="C34" i="25"/>
  <c r="B34" i="25"/>
  <c r="D33" i="25"/>
  <c r="Q33" i="25" s="1"/>
  <c r="C33" i="25"/>
  <c r="B33" i="25"/>
  <c r="D32" i="25"/>
  <c r="Q32" i="25" s="1"/>
  <c r="C32" i="25"/>
  <c r="B32" i="25"/>
  <c r="D31" i="25"/>
  <c r="Q31" i="25" s="1"/>
  <c r="C31" i="25"/>
  <c r="B31" i="25"/>
  <c r="D30" i="25"/>
  <c r="Q30" i="25" s="1"/>
  <c r="C30" i="25"/>
  <c r="B30" i="25"/>
  <c r="D29" i="25"/>
  <c r="Q29" i="25" s="1"/>
  <c r="C29" i="25"/>
  <c r="B29" i="25"/>
  <c r="D28" i="25"/>
  <c r="Q28" i="25" s="1"/>
  <c r="C28" i="25"/>
  <c r="B28" i="25"/>
  <c r="D27" i="25"/>
  <c r="Q27" i="25" s="1"/>
  <c r="C27" i="25"/>
  <c r="B27" i="25"/>
  <c r="D26" i="25"/>
  <c r="Q26" i="25" s="1"/>
  <c r="C26" i="25"/>
  <c r="B26" i="25"/>
  <c r="D25" i="25"/>
  <c r="Q25" i="25" s="1"/>
  <c r="C25" i="25"/>
  <c r="B25" i="25"/>
  <c r="D24" i="25"/>
  <c r="Q24" i="25" s="1"/>
  <c r="C24" i="25"/>
  <c r="B24" i="25"/>
  <c r="D23" i="25"/>
  <c r="Q23" i="25" s="1"/>
  <c r="C23" i="25"/>
  <c r="B23" i="25"/>
  <c r="D22" i="25"/>
  <c r="Q22" i="25" s="1"/>
  <c r="C22" i="25"/>
  <c r="B22" i="25"/>
  <c r="D21" i="25"/>
  <c r="Q21" i="25" s="1"/>
  <c r="C21" i="25"/>
  <c r="B21" i="25"/>
  <c r="D20" i="25"/>
  <c r="Q20" i="25" s="1"/>
  <c r="C20" i="25"/>
  <c r="B20" i="25"/>
  <c r="D19" i="25"/>
  <c r="Q19" i="25" s="1"/>
  <c r="C19" i="25"/>
  <c r="B19" i="25"/>
  <c r="D18" i="25"/>
  <c r="Q18" i="25" s="1"/>
  <c r="C18" i="25"/>
  <c r="B18" i="25"/>
  <c r="D17" i="25"/>
  <c r="Q17" i="25" s="1"/>
  <c r="C17" i="25"/>
  <c r="B17" i="25"/>
  <c r="D16" i="25"/>
  <c r="Q16" i="25" s="1"/>
  <c r="C16" i="25"/>
  <c r="B16" i="25"/>
  <c r="D15" i="25"/>
  <c r="Q15" i="25" s="1"/>
  <c r="C15" i="25"/>
  <c r="B15" i="25"/>
  <c r="D14" i="25"/>
  <c r="Q14" i="25" s="1"/>
  <c r="C14" i="25"/>
  <c r="B14" i="25"/>
  <c r="D13" i="25"/>
  <c r="Q13" i="25" s="1"/>
  <c r="C13" i="25"/>
  <c r="B13" i="25"/>
  <c r="D12" i="25"/>
  <c r="Q12" i="25" s="1"/>
  <c r="C12" i="25"/>
  <c r="B12" i="25"/>
  <c r="D11" i="25"/>
  <c r="C11" i="25"/>
  <c r="B11" i="25"/>
  <c r="D10" i="25"/>
  <c r="Q10" i="25" s="1"/>
  <c r="C10" i="25"/>
  <c r="B10" i="25"/>
  <c r="D9" i="25"/>
  <c r="Q9" i="25" s="1"/>
  <c r="C9" i="25"/>
  <c r="B9" i="25"/>
  <c r="D8" i="25"/>
  <c r="Q8" i="25" s="1"/>
  <c r="C8" i="25"/>
  <c r="B8" i="25"/>
  <c r="D7" i="25"/>
  <c r="Q7" i="25" s="1"/>
  <c r="C7" i="25"/>
  <c r="B7" i="25"/>
  <c r="D6" i="25"/>
  <c r="Q6" i="25" s="1"/>
  <c r="C6" i="25"/>
  <c r="B6" i="25"/>
  <c r="D5" i="25"/>
  <c r="Q5" i="25" s="1"/>
  <c r="C5" i="25"/>
  <c r="B5" i="25"/>
  <c r="D4" i="25"/>
  <c r="Q4" i="25" s="1"/>
  <c r="R4" i="25" s="1"/>
  <c r="C4" i="25"/>
  <c r="B4" i="25"/>
  <c r="Q78" i="25" l="1"/>
  <c r="F38" i="26"/>
  <c r="H38" i="26" s="1"/>
  <c r="A36" i="26" s="1"/>
  <c r="R23" i="25"/>
  <c r="Q80" i="25"/>
  <c r="R80" i="25" s="1"/>
  <c r="R15" i="25"/>
  <c r="R76" i="25"/>
  <c r="R89" i="25"/>
  <c r="R65" i="25"/>
  <c r="R8" i="25"/>
  <c r="R29" i="25"/>
  <c r="R31" i="25"/>
  <c r="R33" i="25"/>
  <c r="R37" i="25"/>
  <c r="R67" i="25"/>
  <c r="R47" i="25"/>
  <c r="Q11" i="25"/>
  <c r="R11" i="25" s="1"/>
  <c r="R13" i="25"/>
  <c r="R17" i="25"/>
  <c r="R21" i="25"/>
  <c r="Q62" i="25"/>
  <c r="R62" i="25" s="1"/>
  <c r="R64" i="25"/>
  <c r="R14" i="25"/>
  <c r="R44" i="25"/>
  <c r="R48" i="25"/>
  <c r="R54" i="25"/>
  <c r="R38" i="25"/>
  <c r="R52" i="25"/>
  <c r="R60" i="25"/>
  <c r="R24" i="25"/>
  <c r="R28" i="25"/>
  <c r="R30" i="25"/>
  <c r="R36" i="25"/>
  <c r="R51" i="25"/>
  <c r="R59" i="25"/>
  <c r="R68" i="25"/>
  <c r="R66" i="25"/>
  <c r="R78" i="25"/>
  <c r="R42" i="25"/>
  <c r="R50" i="25"/>
  <c r="R58" i="25"/>
  <c r="R26" i="25"/>
  <c r="R34" i="25"/>
  <c r="R10" i="25"/>
  <c r="R39" i="25"/>
  <c r="R41" i="25"/>
  <c r="R55" i="25"/>
  <c r="R57" i="25"/>
  <c r="R73" i="25"/>
  <c r="R72" i="25"/>
  <c r="R69" i="25"/>
  <c r="K47" i="26" l="1"/>
  <c r="B36" i="26"/>
  <c r="C36" i="26" s="1"/>
  <c r="R18" i="25"/>
  <c r="R56" i="25"/>
  <c r="R61" i="25"/>
  <c r="R5" i="25"/>
  <c r="R25" i="25"/>
  <c r="R22" i="25"/>
  <c r="R75" i="25"/>
  <c r="R77" i="25"/>
  <c r="R70" i="25"/>
  <c r="R49" i="25"/>
  <c r="R32" i="25"/>
  <c r="R53" i="25"/>
  <c r="R88" i="25"/>
  <c r="R40" i="25"/>
  <c r="R63" i="25"/>
  <c r="R45" i="25"/>
  <c r="R7" i="25"/>
  <c r="R27" i="25"/>
  <c r="R6" i="25"/>
  <c r="R71" i="25"/>
  <c r="R74" i="25"/>
  <c r="R9" i="25"/>
  <c r="R46" i="25"/>
  <c r="R16" i="25"/>
  <c r="R35" i="25"/>
  <c r="R20" i="25"/>
  <c r="R19" i="25"/>
  <c r="R43" i="25"/>
  <c r="R12" i="25"/>
  <c r="B63" i="24" l="1"/>
  <c r="B41" i="24"/>
  <c r="B161" i="24"/>
  <c r="B156" i="24"/>
  <c r="B150" i="24"/>
  <c r="B151" i="24" s="1"/>
  <c r="B162" i="24" s="1"/>
  <c r="B163" i="24" s="1"/>
  <c r="B146" i="24"/>
  <c r="B142" i="24"/>
  <c r="B139" i="24"/>
  <c r="B34" i="24"/>
  <c r="B19" i="24"/>
  <c r="B10" i="24"/>
  <c r="B5" i="24"/>
  <c r="B22" i="24" s="1"/>
  <c r="C25" i="24" s="1"/>
  <c r="D51" i="23" s="1"/>
  <c r="C142" i="23"/>
  <c r="C123" i="23"/>
  <c r="D123" i="23" s="1"/>
  <c r="C121" i="23"/>
  <c r="D121" i="23" s="1"/>
  <c r="C119" i="23"/>
  <c r="D119" i="23" s="1"/>
  <c r="C117" i="23"/>
  <c r="D104" i="23"/>
  <c r="D110" i="23" s="1"/>
  <c r="C60" i="23"/>
  <c r="D60" i="23" s="1"/>
  <c r="C58" i="23"/>
  <c r="D58" i="23" s="1"/>
  <c r="C56" i="23"/>
  <c r="D56" i="23" s="1"/>
  <c r="C54" i="23"/>
  <c r="D54" i="23" s="1"/>
  <c r="C52" i="23"/>
  <c r="C50" i="23"/>
  <c r="C39" i="23"/>
  <c r="C45" i="23" s="1"/>
  <c r="B125" i="24" s="1"/>
  <c r="C6" i="23"/>
  <c r="D12" i="23" s="1"/>
  <c r="D13" i="23" s="1"/>
  <c r="I64" i="17"/>
  <c r="I63" i="17"/>
  <c r="I60" i="17"/>
  <c r="I59" i="17"/>
  <c r="I56" i="17"/>
  <c r="I55" i="17"/>
  <c r="I52" i="17"/>
  <c r="I51" i="17"/>
  <c r="I48" i="17"/>
  <c r="I47" i="17"/>
  <c r="I44" i="17"/>
  <c r="I43" i="17"/>
  <c r="I39" i="17"/>
  <c r="I40" i="17"/>
  <c r="I38" i="17"/>
  <c r="B13" i="24" l="1"/>
  <c r="B6" i="24"/>
  <c r="C16" i="24" s="1"/>
  <c r="D49" i="23" s="1"/>
  <c r="C136" i="24"/>
  <c r="C153" i="24"/>
  <c r="C152" i="24"/>
  <c r="C135" i="24"/>
  <c r="D52" i="23"/>
  <c r="D14" i="23"/>
  <c r="I35" i="17"/>
  <c r="I34" i="17"/>
  <c r="I32" i="17"/>
  <c r="B64" i="22"/>
  <c r="B42" i="22"/>
  <c r="C153" i="22"/>
  <c r="B156" i="22"/>
  <c r="B142" i="22"/>
  <c r="B139" i="22"/>
  <c r="C136" i="22"/>
  <c r="B161" i="22"/>
  <c r="B150" i="22"/>
  <c r="B151" i="22" s="1"/>
  <c r="B146" i="22"/>
  <c r="B126" i="22"/>
  <c r="B57" i="22"/>
  <c r="B35" i="22"/>
  <c r="B23" i="22"/>
  <c r="C26" i="22" s="1"/>
  <c r="D52" i="21" s="1"/>
  <c r="B20" i="22"/>
  <c r="B14" i="22"/>
  <c r="B11" i="22"/>
  <c r="B5" i="22"/>
  <c r="C143" i="21"/>
  <c r="C124" i="21"/>
  <c r="D124" i="21" s="1"/>
  <c r="C122" i="21"/>
  <c r="D122" i="21" s="1"/>
  <c r="C120" i="21"/>
  <c r="D120" i="21" s="1"/>
  <c r="C118" i="21"/>
  <c r="D105" i="21"/>
  <c r="D111" i="21" s="1"/>
  <c r="D61" i="21"/>
  <c r="D59" i="21"/>
  <c r="D57" i="21"/>
  <c r="D55" i="21"/>
  <c r="C53" i="21"/>
  <c r="C51" i="21"/>
  <c r="C40" i="21"/>
  <c r="C46" i="21" s="1"/>
  <c r="B127" i="22" s="1"/>
  <c r="C7" i="21"/>
  <c r="D13" i="21" s="1"/>
  <c r="C6" i="21"/>
  <c r="D21" i="21" s="1"/>
  <c r="I31" i="17"/>
  <c r="J95" i="20"/>
  <c r="J94" i="20"/>
  <c r="J93" i="20"/>
  <c r="J92" i="20"/>
  <c r="J91" i="20"/>
  <c r="J90" i="20"/>
  <c r="J89" i="20"/>
  <c r="J88" i="20"/>
  <c r="J87" i="20"/>
  <c r="J86" i="20"/>
  <c r="J85" i="20"/>
  <c r="J84" i="20"/>
  <c r="J83" i="20"/>
  <c r="J82" i="20"/>
  <c r="C5" i="20"/>
  <c r="P6" i="20" s="1"/>
  <c r="C4" i="20"/>
  <c r="O6" i="20" s="1"/>
  <c r="C3" i="20"/>
  <c r="N6" i="20" s="1"/>
  <c r="C2" i="20"/>
  <c r="L6" i="20" s="1"/>
  <c r="C1" i="20"/>
  <c r="J6" i="20" s="1"/>
  <c r="D53" i="21" l="1"/>
  <c r="H42" i="20"/>
  <c r="I42" i="20" s="1"/>
  <c r="J42" i="20" s="1"/>
  <c r="K42" i="20" s="1"/>
  <c r="L42" i="20" s="1"/>
  <c r="M42" i="20" s="1"/>
  <c r="H43" i="20"/>
  <c r="I43" i="20" s="1"/>
  <c r="J43" i="20" s="1"/>
  <c r="K43" i="20" s="1"/>
  <c r="L43" i="20" s="1"/>
  <c r="M43" i="20" s="1"/>
  <c r="H39" i="20"/>
  <c r="I39" i="20" s="1"/>
  <c r="J39" i="20" s="1"/>
  <c r="K39" i="20" s="1"/>
  <c r="L39" i="20" s="1"/>
  <c r="M39" i="20" s="1"/>
  <c r="H40" i="20"/>
  <c r="I40" i="20" s="1"/>
  <c r="J40" i="20" s="1"/>
  <c r="K40" i="20" s="1"/>
  <c r="L40" i="20" s="1"/>
  <c r="M40" i="20" s="1"/>
  <c r="H41" i="20"/>
  <c r="I41" i="20" s="1"/>
  <c r="J41" i="20" s="1"/>
  <c r="K41" i="20" s="1"/>
  <c r="L41" i="20" s="1"/>
  <c r="M41" i="20" s="1"/>
  <c r="H38" i="20"/>
  <c r="I38" i="20" s="1"/>
  <c r="J38" i="20" s="1"/>
  <c r="K38" i="20" s="1"/>
  <c r="L38" i="20" s="1"/>
  <c r="M38" i="20" s="1"/>
  <c r="H37" i="20"/>
  <c r="I37" i="20" s="1"/>
  <c r="J37" i="20" s="1"/>
  <c r="K37" i="20" s="1"/>
  <c r="L37" i="20" s="1"/>
  <c r="M37" i="20" s="1"/>
  <c r="D23" i="23"/>
  <c r="C154" i="24"/>
  <c r="C155" i="24" s="1"/>
  <c r="C158" i="24" s="1"/>
  <c r="C164" i="24" s="1"/>
  <c r="C137" i="24"/>
  <c r="C138" i="24" s="1"/>
  <c r="C141" i="24" s="1"/>
  <c r="C143" i="24" s="1"/>
  <c r="B6" i="22"/>
  <c r="C17" i="22" s="1"/>
  <c r="D50" i="21" s="1"/>
  <c r="D51" i="21" s="1"/>
  <c r="C152" i="22"/>
  <c r="D15" i="21"/>
  <c r="C137" i="22" s="1"/>
  <c r="C135" i="22"/>
  <c r="B162" i="22"/>
  <c r="B163" i="22" s="1"/>
  <c r="K90" i="20"/>
  <c r="L90" i="20" s="1"/>
  <c r="M90" i="20" s="1"/>
  <c r="N90" i="20" s="1"/>
  <c r="O90" i="20" s="1"/>
  <c r="P90" i="20" s="1"/>
  <c r="Q90" i="20" s="1"/>
  <c r="K84" i="20"/>
  <c r="L84" i="20" s="1"/>
  <c r="M84" i="20" s="1"/>
  <c r="N84" i="20" s="1"/>
  <c r="O84" i="20" s="1"/>
  <c r="P84" i="20" s="1"/>
  <c r="Q84" i="20" s="1"/>
  <c r="H78" i="20"/>
  <c r="I78" i="20" s="1"/>
  <c r="J78" i="20" s="1"/>
  <c r="K78" i="20" s="1"/>
  <c r="L78" i="20" s="1"/>
  <c r="M78" i="20" s="1"/>
  <c r="P78" i="20" s="1"/>
  <c r="H77" i="20"/>
  <c r="I77" i="20" s="1"/>
  <c r="J77" i="20" s="1"/>
  <c r="K77" i="20" s="1"/>
  <c r="L77" i="20" s="1"/>
  <c r="M77" i="20" s="1"/>
  <c r="O77" i="20" s="1"/>
  <c r="K92" i="20"/>
  <c r="L92" i="20" s="1"/>
  <c r="M92" i="20" s="1"/>
  <c r="N92" i="20" s="1"/>
  <c r="O92" i="20" s="1"/>
  <c r="P92" i="20" s="1"/>
  <c r="K89" i="20"/>
  <c r="L89" i="20" s="1"/>
  <c r="M89" i="20" s="1"/>
  <c r="N89" i="20" s="1"/>
  <c r="O89" i="20" s="1"/>
  <c r="P89" i="20" s="1"/>
  <c r="K83" i="20"/>
  <c r="L83" i="20" s="1"/>
  <c r="M83" i="20" s="1"/>
  <c r="N83" i="20" s="1"/>
  <c r="O83" i="20" s="1"/>
  <c r="P83" i="20" s="1"/>
  <c r="K86" i="20"/>
  <c r="L86" i="20" s="1"/>
  <c r="M86" i="20" s="1"/>
  <c r="N86" i="20" s="1"/>
  <c r="O86" i="20" s="1"/>
  <c r="P86" i="20" s="1"/>
  <c r="Q86" i="20" s="1"/>
  <c r="K91" i="20"/>
  <c r="L91" i="20" s="1"/>
  <c r="M91" i="20" s="1"/>
  <c r="N91" i="20" s="1"/>
  <c r="O91" i="20" s="1"/>
  <c r="P91" i="20" s="1"/>
  <c r="K85" i="20"/>
  <c r="L85" i="20" s="1"/>
  <c r="M85" i="20" s="1"/>
  <c r="N85" i="20" s="1"/>
  <c r="O85" i="20" s="1"/>
  <c r="P85" i="20" s="1"/>
  <c r="K88" i="20"/>
  <c r="L88" i="20" s="1"/>
  <c r="M88" i="20" s="1"/>
  <c r="N88" i="20" s="1"/>
  <c r="O88" i="20" s="1"/>
  <c r="P88" i="20" s="1"/>
  <c r="Q88" i="20" s="1"/>
  <c r="K93" i="20"/>
  <c r="L93" i="20" s="1"/>
  <c r="M93" i="20" s="1"/>
  <c r="N93" i="20" s="1"/>
  <c r="O93" i="20" s="1"/>
  <c r="P93" i="20" s="1"/>
  <c r="K94" i="20"/>
  <c r="L94" i="20" s="1"/>
  <c r="M94" i="20" s="1"/>
  <c r="N94" i="20" s="1"/>
  <c r="O94" i="20" s="1"/>
  <c r="P94" i="20" s="1"/>
  <c r="Q94" i="20" s="1"/>
  <c r="K82" i="20"/>
  <c r="L82" i="20" s="1"/>
  <c r="M82" i="20" s="1"/>
  <c r="N82" i="20" s="1"/>
  <c r="O82" i="20" s="1"/>
  <c r="P82" i="20" s="1"/>
  <c r="K87" i="20"/>
  <c r="L87" i="20" s="1"/>
  <c r="M87" i="20" s="1"/>
  <c r="N87" i="20" s="1"/>
  <c r="O87" i="20" s="1"/>
  <c r="P87" i="20" s="1"/>
  <c r="K95" i="20"/>
  <c r="L95" i="20" s="1"/>
  <c r="M95" i="20" s="1"/>
  <c r="N95" i="20" s="1"/>
  <c r="O95" i="20" s="1"/>
  <c r="P95" i="20" s="1"/>
  <c r="H74" i="20"/>
  <c r="I74" i="20" s="1"/>
  <c r="J74" i="20" s="1"/>
  <c r="K74" i="20" s="1"/>
  <c r="L74" i="20" s="1"/>
  <c r="M74" i="20" s="1"/>
  <c r="P74" i="20" s="1"/>
  <c r="H11" i="20"/>
  <c r="I11" i="20" s="1"/>
  <c r="J11" i="20" s="1"/>
  <c r="K11" i="20" s="1"/>
  <c r="L11" i="20" s="1"/>
  <c r="M11" i="20" s="1"/>
  <c r="H20" i="20"/>
  <c r="I20" i="20" s="1"/>
  <c r="J20" i="20" s="1"/>
  <c r="K20" i="20" s="1"/>
  <c r="L20" i="20" s="1"/>
  <c r="M20" i="20" s="1"/>
  <c r="N20" i="20" s="1"/>
  <c r="H30" i="20"/>
  <c r="I30" i="20" s="1"/>
  <c r="J30" i="20" s="1"/>
  <c r="K30" i="20" s="1"/>
  <c r="L30" i="20" s="1"/>
  <c r="M30" i="20" s="1"/>
  <c r="P30" i="20" s="1"/>
  <c r="H59" i="20"/>
  <c r="I59" i="20" s="1"/>
  <c r="J59" i="20" s="1"/>
  <c r="K59" i="20" s="1"/>
  <c r="L59" i="20" s="1"/>
  <c r="M59" i="20" s="1"/>
  <c r="H12" i="20"/>
  <c r="I12" i="20" s="1"/>
  <c r="J12" i="20" s="1"/>
  <c r="K12" i="20" s="1"/>
  <c r="L12" i="20" s="1"/>
  <c r="M12" i="20" s="1"/>
  <c r="P12" i="20" s="1"/>
  <c r="H17" i="20"/>
  <c r="I17" i="20" s="1"/>
  <c r="J17" i="20" s="1"/>
  <c r="K17" i="20" s="1"/>
  <c r="L17" i="20" s="1"/>
  <c r="M17" i="20" s="1"/>
  <c r="P17" i="20" s="1"/>
  <c r="H22" i="20"/>
  <c r="I22" i="20" s="1"/>
  <c r="J22" i="20" s="1"/>
  <c r="K22" i="20" s="1"/>
  <c r="L22" i="20" s="1"/>
  <c r="M22" i="20" s="1"/>
  <c r="P22" i="20" s="1"/>
  <c r="H47" i="20"/>
  <c r="I47" i="20" s="1"/>
  <c r="J47" i="20" s="1"/>
  <c r="K47" i="20" s="1"/>
  <c r="L47" i="20" s="1"/>
  <c r="M47" i="20" s="1"/>
  <c r="P47" i="20" s="1"/>
  <c r="H56" i="20"/>
  <c r="I56" i="20" s="1"/>
  <c r="J56" i="20" s="1"/>
  <c r="K56" i="20" s="1"/>
  <c r="L56" i="20" s="1"/>
  <c r="M56" i="20" s="1"/>
  <c r="O56" i="20" s="1"/>
  <c r="H60" i="20"/>
  <c r="I60" i="20" s="1"/>
  <c r="J60" i="20" s="1"/>
  <c r="K60" i="20" s="1"/>
  <c r="L60" i="20" s="1"/>
  <c r="M60" i="20" s="1"/>
  <c r="N60" i="20" s="1"/>
  <c r="H65" i="20"/>
  <c r="I65" i="20" s="1"/>
  <c r="J65" i="20" s="1"/>
  <c r="K65" i="20" s="1"/>
  <c r="L65" i="20" s="1"/>
  <c r="M65" i="20" s="1"/>
  <c r="O65" i="20" s="1"/>
  <c r="H68" i="20"/>
  <c r="I68" i="20" s="1"/>
  <c r="J68" i="20" s="1"/>
  <c r="K68" i="20" s="1"/>
  <c r="L68" i="20" s="1"/>
  <c r="M68" i="20" s="1"/>
  <c r="H71" i="20"/>
  <c r="I71" i="20" s="1"/>
  <c r="J71" i="20" s="1"/>
  <c r="K71" i="20" s="1"/>
  <c r="L71" i="20" s="1"/>
  <c r="M71" i="20" s="1"/>
  <c r="O71" i="20" s="1"/>
  <c r="H73" i="20"/>
  <c r="I73" i="20" s="1"/>
  <c r="J73" i="20" s="1"/>
  <c r="K73" i="20" s="1"/>
  <c r="L73" i="20" s="1"/>
  <c r="M73" i="20" s="1"/>
  <c r="O73" i="20" s="1"/>
  <c r="H79" i="20"/>
  <c r="I79" i="20" s="1"/>
  <c r="J79" i="20" s="1"/>
  <c r="K79" i="20" s="1"/>
  <c r="L79" i="20" s="1"/>
  <c r="M79" i="20" s="1"/>
  <c r="O79" i="20" s="1"/>
  <c r="H16" i="20"/>
  <c r="I16" i="20" s="1"/>
  <c r="J16" i="20" s="1"/>
  <c r="K16" i="20" s="1"/>
  <c r="L16" i="20" s="1"/>
  <c r="M16" i="20" s="1"/>
  <c r="O16" i="20" s="1"/>
  <c r="H27" i="20"/>
  <c r="I27" i="20" s="1"/>
  <c r="J27" i="20" s="1"/>
  <c r="K27" i="20" s="1"/>
  <c r="L27" i="20" s="1"/>
  <c r="M27" i="20" s="1"/>
  <c r="H31" i="20"/>
  <c r="I31" i="20" s="1"/>
  <c r="J31" i="20" s="1"/>
  <c r="K31" i="20" s="1"/>
  <c r="L31" i="20" s="1"/>
  <c r="M31" i="20" s="1"/>
  <c r="N31" i="20" s="1"/>
  <c r="H36" i="20"/>
  <c r="I36" i="20" s="1"/>
  <c r="J36" i="20" s="1"/>
  <c r="K36" i="20" s="1"/>
  <c r="L36" i="20" s="1"/>
  <c r="M36" i="20" s="1"/>
  <c r="H55" i="20"/>
  <c r="I55" i="20" s="1"/>
  <c r="J55" i="20" s="1"/>
  <c r="K55" i="20" s="1"/>
  <c r="L55" i="20" s="1"/>
  <c r="M55" i="20" s="1"/>
  <c r="N55" i="20" s="1"/>
  <c r="H64" i="20"/>
  <c r="I64" i="20" s="1"/>
  <c r="J64" i="20" s="1"/>
  <c r="K64" i="20" s="1"/>
  <c r="L64" i="20" s="1"/>
  <c r="M64" i="20" s="1"/>
  <c r="O64" i="20" s="1"/>
  <c r="H21" i="20"/>
  <c r="I21" i="20" s="1"/>
  <c r="J21" i="20" s="1"/>
  <c r="K21" i="20" s="1"/>
  <c r="L21" i="20" s="1"/>
  <c r="M21" i="20" s="1"/>
  <c r="N21" i="20" s="1"/>
  <c r="H26" i="20"/>
  <c r="I26" i="20" s="1"/>
  <c r="J26" i="20" s="1"/>
  <c r="K26" i="20" s="1"/>
  <c r="L26" i="20" s="1"/>
  <c r="M26" i="20" s="1"/>
  <c r="O26" i="20" s="1"/>
  <c r="H46" i="20"/>
  <c r="I46" i="20" s="1"/>
  <c r="J46" i="20" s="1"/>
  <c r="K46" i="20" s="1"/>
  <c r="L46" i="20" s="1"/>
  <c r="M46" i="20" s="1"/>
  <c r="O46" i="20" s="1"/>
  <c r="H51" i="20"/>
  <c r="I51" i="20" s="1"/>
  <c r="J51" i="20" s="1"/>
  <c r="K51" i="20" s="1"/>
  <c r="L51" i="20" s="1"/>
  <c r="M51" i="20" s="1"/>
  <c r="H63" i="20"/>
  <c r="I63" i="20" s="1"/>
  <c r="J63" i="20" s="1"/>
  <c r="K63" i="20" s="1"/>
  <c r="L63" i="20" s="1"/>
  <c r="M63" i="20" s="1"/>
  <c r="P63" i="20" s="1"/>
  <c r="H70" i="20"/>
  <c r="I70" i="20" s="1"/>
  <c r="J70" i="20" s="1"/>
  <c r="K70" i="20" s="1"/>
  <c r="L70" i="20" s="1"/>
  <c r="M70" i="20" s="1"/>
  <c r="P70" i="20" s="1"/>
  <c r="H15" i="20"/>
  <c r="I15" i="20" s="1"/>
  <c r="J15" i="20" s="1"/>
  <c r="K15" i="20" s="1"/>
  <c r="L15" i="20" s="1"/>
  <c r="M15" i="20" s="1"/>
  <c r="P15" i="20" s="1"/>
  <c r="H25" i="20"/>
  <c r="I25" i="20" s="1"/>
  <c r="J25" i="20" s="1"/>
  <c r="K25" i="20" s="1"/>
  <c r="L25" i="20" s="1"/>
  <c r="M25" i="20" s="1"/>
  <c r="O25" i="20" s="1"/>
  <c r="H54" i="20"/>
  <c r="I54" i="20" s="1"/>
  <c r="J54" i="20" s="1"/>
  <c r="K54" i="20" s="1"/>
  <c r="L54" i="20" s="1"/>
  <c r="M54" i="20" s="1"/>
  <c r="O54" i="20" s="1"/>
  <c r="H76" i="20"/>
  <c r="I76" i="20" s="1"/>
  <c r="J76" i="20" s="1"/>
  <c r="K76" i="20" s="1"/>
  <c r="L76" i="20" s="1"/>
  <c r="M76" i="20" s="1"/>
  <c r="H10" i="20"/>
  <c r="I10" i="20" s="1"/>
  <c r="J10" i="20" s="1"/>
  <c r="K10" i="20" s="1"/>
  <c r="L10" i="20" s="1"/>
  <c r="M10" i="20" s="1"/>
  <c r="O10" i="20" s="1"/>
  <c r="H24" i="20"/>
  <c r="I24" i="20" s="1"/>
  <c r="J24" i="20" s="1"/>
  <c r="K24" i="20" s="1"/>
  <c r="L24" i="20" s="1"/>
  <c r="M24" i="20" s="1"/>
  <c r="P24" i="20" s="1"/>
  <c r="H35" i="20"/>
  <c r="I35" i="20" s="1"/>
  <c r="J35" i="20" s="1"/>
  <c r="K35" i="20" s="1"/>
  <c r="L35" i="20" s="1"/>
  <c r="M35" i="20" s="1"/>
  <c r="N35" i="20" s="1"/>
  <c r="H45" i="20"/>
  <c r="I45" i="20" s="1"/>
  <c r="J45" i="20" s="1"/>
  <c r="K45" i="20" s="1"/>
  <c r="L45" i="20" s="1"/>
  <c r="M45" i="20" s="1"/>
  <c r="P45" i="20" s="1"/>
  <c r="H62" i="20"/>
  <c r="I62" i="20" s="1"/>
  <c r="J62" i="20" s="1"/>
  <c r="K62" i="20" s="1"/>
  <c r="L62" i="20" s="1"/>
  <c r="M62" i="20" s="1"/>
  <c r="N62" i="20" s="1"/>
  <c r="H67" i="20"/>
  <c r="I67" i="20" s="1"/>
  <c r="J67" i="20" s="1"/>
  <c r="K67" i="20" s="1"/>
  <c r="L67" i="20" s="1"/>
  <c r="M67" i="20" s="1"/>
  <c r="H75" i="20"/>
  <c r="I75" i="20" s="1"/>
  <c r="J75" i="20" s="1"/>
  <c r="K75" i="20" s="1"/>
  <c r="L75" i="20" s="1"/>
  <c r="M75" i="20" s="1"/>
  <c r="P75" i="20" s="1"/>
  <c r="H8" i="20"/>
  <c r="I8" i="20" s="1"/>
  <c r="J8" i="20" s="1"/>
  <c r="K8" i="20" s="1"/>
  <c r="L8" i="20" s="1"/>
  <c r="M8" i="20" s="1"/>
  <c r="H9" i="20"/>
  <c r="I9" i="20" s="1"/>
  <c r="J9" i="20" s="1"/>
  <c r="K9" i="20" s="1"/>
  <c r="L9" i="20" s="1"/>
  <c r="M9" i="20" s="1"/>
  <c r="N9" i="20" s="1"/>
  <c r="H14" i="20"/>
  <c r="I14" i="20" s="1"/>
  <c r="J14" i="20" s="1"/>
  <c r="K14" i="20" s="1"/>
  <c r="L14" i="20" s="1"/>
  <c r="M14" i="20" s="1"/>
  <c r="N14" i="20" s="1"/>
  <c r="H29" i="20"/>
  <c r="I29" i="20" s="1"/>
  <c r="J29" i="20" s="1"/>
  <c r="K29" i="20" s="1"/>
  <c r="L29" i="20" s="1"/>
  <c r="M29" i="20" s="1"/>
  <c r="P29" i="20" s="1"/>
  <c r="H34" i="20"/>
  <c r="I34" i="20" s="1"/>
  <c r="J34" i="20" s="1"/>
  <c r="K34" i="20" s="1"/>
  <c r="L34" i="20" s="1"/>
  <c r="M34" i="20" s="1"/>
  <c r="P34" i="20" s="1"/>
  <c r="H50" i="20"/>
  <c r="I50" i="20" s="1"/>
  <c r="J50" i="20" s="1"/>
  <c r="K50" i="20" s="1"/>
  <c r="L50" i="20" s="1"/>
  <c r="M50" i="20" s="1"/>
  <c r="O50" i="20" s="1"/>
  <c r="H53" i="20"/>
  <c r="I53" i="20" s="1"/>
  <c r="J53" i="20" s="1"/>
  <c r="K53" i="20" s="1"/>
  <c r="L53" i="20" s="1"/>
  <c r="M53" i="20" s="1"/>
  <c r="P53" i="20" s="1"/>
  <c r="H69" i="20"/>
  <c r="I69" i="20" s="1"/>
  <c r="J69" i="20" s="1"/>
  <c r="K69" i="20" s="1"/>
  <c r="L69" i="20" s="1"/>
  <c r="M69" i="20" s="1"/>
  <c r="O69" i="20" s="1"/>
  <c r="H19" i="20"/>
  <c r="I19" i="20" s="1"/>
  <c r="J19" i="20" s="1"/>
  <c r="K19" i="20" s="1"/>
  <c r="L19" i="20" s="1"/>
  <c r="M19" i="20" s="1"/>
  <c r="N19" i="20" s="1"/>
  <c r="H23" i="20"/>
  <c r="I23" i="20" s="1"/>
  <c r="J23" i="20" s="1"/>
  <c r="K23" i="20" s="1"/>
  <c r="L23" i="20" s="1"/>
  <c r="M23" i="20" s="1"/>
  <c r="N23" i="20" s="1"/>
  <c r="H28" i="20"/>
  <c r="I28" i="20" s="1"/>
  <c r="J28" i="20" s="1"/>
  <c r="K28" i="20" s="1"/>
  <c r="L28" i="20" s="1"/>
  <c r="M28" i="20" s="1"/>
  <c r="N28" i="20" s="1"/>
  <c r="H33" i="20"/>
  <c r="I33" i="20" s="1"/>
  <c r="J33" i="20" s="1"/>
  <c r="K33" i="20" s="1"/>
  <c r="L33" i="20" s="1"/>
  <c r="M33" i="20" s="1"/>
  <c r="O33" i="20" s="1"/>
  <c r="H44" i="20"/>
  <c r="I44" i="20" s="1"/>
  <c r="J44" i="20" s="1"/>
  <c r="K44" i="20" s="1"/>
  <c r="L44" i="20" s="1"/>
  <c r="M44" i="20" s="1"/>
  <c r="N44" i="20" s="1"/>
  <c r="H49" i="20"/>
  <c r="I49" i="20" s="1"/>
  <c r="J49" i="20" s="1"/>
  <c r="K49" i="20" s="1"/>
  <c r="L49" i="20" s="1"/>
  <c r="M49" i="20" s="1"/>
  <c r="P49" i="20" s="1"/>
  <c r="H58" i="20"/>
  <c r="I58" i="20" s="1"/>
  <c r="J58" i="20" s="1"/>
  <c r="K58" i="20" s="1"/>
  <c r="L58" i="20" s="1"/>
  <c r="M58" i="20" s="1"/>
  <c r="O58" i="20" s="1"/>
  <c r="H61" i="20"/>
  <c r="I61" i="20" s="1"/>
  <c r="J61" i="20" s="1"/>
  <c r="K61" i="20" s="1"/>
  <c r="L61" i="20" s="1"/>
  <c r="M61" i="20" s="1"/>
  <c r="O61" i="20" s="1"/>
  <c r="H13" i="20"/>
  <c r="I13" i="20" s="1"/>
  <c r="J13" i="20" s="1"/>
  <c r="K13" i="20" s="1"/>
  <c r="L13" i="20" s="1"/>
  <c r="M13" i="20" s="1"/>
  <c r="O13" i="20" s="1"/>
  <c r="H18" i="20"/>
  <c r="I18" i="20" s="1"/>
  <c r="J18" i="20" s="1"/>
  <c r="K18" i="20" s="1"/>
  <c r="L18" i="20" s="1"/>
  <c r="M18" i="20" s="1"/>
  <c r="N18" i="20" s="1"/>
  <c r="H32" i="20"/>
  <c r="I32" i="20" s="1"/>
  <c r="J32" i="20" s="1"/>
  <c r="K32" i="20" s="1"/>
  <c r="L32" i="20" s="1"/>
  <c r="M32" i="20" s="1"/>
  <c r="N32" i="20" s="1"/>
  <c r="H48" i="20"/>
  <c r="I48" i="20" s="1"/>
  <c r="J48" i="20" s="1"/>
  <c r="K48" i="20" s="1"/>
  <c r="L48" i="20" s="1"/>
  <c r="M48" i="20" s="1"/>
  <c r="P48" i="20" s="1"/>
  <c r="H52" i="20"/>
  <c r="I52" i="20" s="1"/>
  <c r="J52" i="20" s="1"/>
  <c r="K52" i="20" s="1"/>
  <c r="L52" i="20" s="1"/>
  <c r="M52" i="20" s="1"/>
  <c r="P52" i="20" s="1"/>
  <c r="H57" i="20"/>
  <c r="I57" i="20" s="1"/>
  <c r="J57" i="20" s="1"/>
  <c r="K57" i="20" s="1"/>
  <c r="L57" i="20" s="1"/>
  <c r="M57" i="20" s="1"/>
  <c r="N57" i="20" s="1"/>
  <c r="H66" i="20"/>
  <c r="I66" i="20" s="1"/>
  <c r="J66" i="20" s="1"/>
  <c r="K66" i="20" s="1"/>
  <c r="L66" i="20" s="1"/>
  <c r="M66" i="20" s="1"/>
  <c r="H72" i="20"/>
  <c r="I72" i="20" s="1"/>
  <c r="J72" i="20" s="1"/>
  <c r="K72" i="20" s="1"/>
  <c r="L72" i="20" s="1"/>
  <c r="M72" i="20" s="1"/>
  <c r="O37" i="20" l="1"/>
  <c r="N37" i="20"/>
  <c r="P37" i="20"/>
  <c r="Q37" i="20" s="1"/>
  <c r="R37" i="20" s="1"/>
  <c r="O41" i="20"/>
  <c r="N41" i="20"/>
  <c r="P41" i="20"/>
  <c r="P38" i="20"/>
  <c r="O38" i="20"/>
  <c r="N38" i="20"/>
  <c r="O39" i="20"/>
  <c r="P39" i="20"/>
  <c r="N39" i="20"/>
  <c r="O43" i="20"/>
  <c r="P43" i="20"/>
  <c r="N43" i="20"/>
  <c r="O40" i="20"/>
  <c r="N40" i="20"/>
  <c r="P40" i="20"/>
  <c r="O42" i="20"/>
  <c r="P42" i="20"/>
  <c r="N42" i="20"/>
  <c r="C138" i="22"/>
  <c r="C141" i="22" s="1"/>
  <c r="C143" i="22" s="1"/>
  <c r="D16" i="21" s="1"/>
  <c r="B118" i="24"/>
  <c r="B57" i="24"/>
  <c r="B7" i="24"/>
  <c r="B35" i="24"/>
  <c r="D31" i="23"/>
  <c r="D32" i="23"/>
  <c r="C32" i="23" s="1"/>
  <c r="D29" i="23"/>
  <c r="D145" i="23"/>
  <c r="N54" i="20"/>
  <c r="O52" i="20"/>
  <c r="Q52" i="20" s="1"/>
  <c r="R52" i="20" s="1"/>
  <c r="O44" i="20"/>
  <c r="P54" i="20"/>
  <c r="O48" i="20"/>
  <c r="N75" i="20"/>
  <c r="O12" i="20"/>
  <c r="N52" i="20"/>
  <c r="P21" i="20"/>
  <c r="C154" i="22"/>
  <c r="C155" i="22" s="1"/>
  <c r="C158" i="22" s="1"/>
  <c r="C164" i="22" s="1"/>
  <c r="D17" i="21" s="1"/>
  <c r="D62" i="21"/>
  <c r="D68" i="21" s="1"/>
  <c r="P9" i="20"/>
  <c r="O22" i="20"/>
  <c r="N48" i="20"/>
  <c r="R84" i="20"/>
  <c r="N53" i="20"/>
  <c r="S84" i="20"/>
  <c r="R86" i="20"/>
  <c r="N47" i="20"/>
  <c r="O70" i="20"/>
  <c r="R94" i="20"/>
  <c r="N78" i="20"/>
  <c r="P62" i="20"/>
  <c r="P65" i="20"/>
  <c r="S94" i="20"/>
  <c r="O78" i="20"/>
  <c r="O53" i="20"/>
  <c r="O17" i="20"/>
  <c r="O55" i="20"/>
  <c r="N77" i="20"/>
  <c r="P77" i="20"/>
  <c r="P13" i="20"/>
  <c r="P57" i="20"/>
  <c r="O9" i="20"/>
  <c r="R90" i="20"/>
  <c r="R92" i="20"/>
  <c r="S92" i="20"/>
  <c r="S90" i="20"/>
  <c r="S88" i="20"/>
  <c r="R82" i="20"/>
  <c r="Q82" i="20"/>
  <c r="S82" i="20"/>
  <c r="P26" i="20"/>
  <c r="S86" i="20"/>
  <c r="Q92" i="20"/>
  <c r="P25" i="20"/>
  <c r="P44" i="20"/>
  <c r="N65" i="20"/>
  <c r="P79" i="20"/>
  <c r="R88" i="20"/>
  <c r="O14" i="20"/>
  <c r="N45" i="20"/>
  <c r="N70" i="20"/>
  <c r="O29" i="20"/>
  <c r="N63" i="20"/>
  <c r="N29" i="20"/>
  <c r="O45" i="20"/>
  <c r="P55" i="20"/>
  <c r="N22" i="20"/>
  <c r="Q89" i="20"/>
  <c r="R89" i="20"/>
  <c r="S89" i="20"/>
  <c r="Q91" i="20"/>
  <c r="R91" i="20"/>
  <c r="S91" i="20"/>
  <c r="R93" i="20"/>
  <c r="Q93" i="20"/>
  <c r="S93" i="20"/>
  <c r="Q83" i="20"/>
  <c r="R83" i="20"/>
  <c r="S83" i="20"/>
  <c r="Q85" i="20"/>
  <c r="S85" i="20"/>
  <c r="R85" i="20"/>
  <c r="Q95" i="20"/>
  <c r="R95" i="20"/>
  <c r="S95" i="20"/>
  <c r="Q87" i="20"/>
  <c r="R87" i="20"/>
  <c r="S87" i="20"/>
  <c r="P66" i="20"/>
  <c r="O66" i="20"/>
  <c r="N74" i="20"/>
  <c r="N71" i="20"/>
  <c r="N24" i="20"/>
  <c r="O20" i="20"/>
  <c r="N12" i="20"/>
  <c r="Q12" i="20" s="1"/>
  <c r="R12" i="20" s="1"/>
  <c r="N10" i="20"/>
  <c r="N61" i="20"/>
  <c r="N69" i="20"/>
  <c r="P10" i="20"/>
  <c r="P61" i="20"/>
  <c r="O21" i="20"/>
  <c r="P69" i="20"/>
  <c r="O19" i="20"/>
  <c r="P58" i="20"/>
  <c r="P19" i="20"/>
  <c r="P20" i="20"/>
  <c r="O63" i="20"/>
  <c r="P71" i="20"/>
  <c r="Q71" i="20" s="1"/>
  <c r="R71" i="20" s="1"/>
  <c r="O11" i="20"/>
  <c r="N11" i="20"/>
  <c r="P11" i="20"/>
  <c r="P16" i="20"/>
  <c r="P73" i="20"/>
  <c r="P14" i="20"/>
  <c r="N49" i="20"/>
  <c r="P56" i="20"/>
  <c r="P64" i="20"/>
  <c r="N16" i="20"/>
  <c r="N73" i="20"/>
  <c r="O49" i="20"/>
  <c r="P28" i="20"/>
  <c r="N56" i="20"/>
  <c r="O32" i="20"/>
  <c r="N25" i="20"/>
  <c r="O28" i="20"/>
  <c r="P32" i="20"/>
  <c r="N66" i="20"/>
  <c r="N79" i="20"/>
  <c r="O57" i="20"/>
  <c r="O75" i="20"/>
  <c r="N17" i="20"/>
  <c r="P46" i="20"/>
  <c r="P33" i="20"/>
  <c r="O74" i="20"/>
  <c r="N76" i="20"/>
  <c r="P76" i="20"/>
  <c r="O76" i="20"/>
  <c r="N51" i="20"/>
  <c r="O51" i="20"/>
  <c r="P51" i="20"/>
  <c r="O68" i="20"/>
  <c r="N68" i="20"/>
  <c r="P68" i="20"/>
  <c r="N59" i="20"/>
  <c r="O59" i="20"/>
  <c r="P59" i="20"/>
  <c r="P27" i="20"/>
  <c r="O27" i="20"/>
  <c r="N27" i="20"/>
  <c r="P67" i="20"/>
  <c r="N67" i="20"/>
  <c r="O67" i="20"/>
  <c r="O72" i="20"/>
  <c r="N72" i="20"/>
  <c r="P72" i="20"/>
  <c r="N36" i="20"/>
  <c r="O36" i="20"/>
  <c r="P36" i="20"/>
  <c r="N30" i="20"/>
  <c r="P50" i="20"/>
  <c r="O18" i="20"/>
  <c r="O23" i="20"/>
  <c r="O35" i="20"/>
  <c r="N15" i="20"/>
  <c r="O60" i="20"/>
  <c r="N34" i="20"/>
  <c r="O62" i="20"/>
  <c r="P18" i="20"/>
  <c r="P23" i="20"/>
  <c r="P35" i="20"/>
  <c r="N26" i="20"/>
  <c r="O47" i="20"/>
  <c r="N13" i="20"/>
  <c r="N64" i="20"/>
  <c r="N46" i="20"/>
  <c r="P60" i="20"/>
  <c r="O34" i="20"/>
  <c r="O8" i="20"/>
  <c r="P8" i="20"/>
  <c r="N8" i="20"/>
  <c r="O30" i="20"/>
  <c r="O31" i="20"/>
  <c r="N58" i="20"/>
  <c r="O24" i="20"/>
  <c r="N50" i="20"/>
  <c r="O15" i="20"/>
  <c r="P31" i="20"/>
  <c r="N33" i="20"/>
  <c r="S71" i="20" l="1"/>
  <c r="S67" i="25"/>
  <c r="T84" i="20"/>
  <c r="U84" i="20" s="1"/>
  <c r="Q40" i="20"/>
  <c r="R40" i="20" s="1"/>
  <c r="Q41" i="20"/>
  <c r="R41" i="20" s="1"/>
  <c r="Q38" i="20"/>
  <c r="R38" i="20" s="1"/>
  <c r="Q55" i="20"/>
  <c r="R55" i="20" s="1"/>
  <c r="Q42" i="20"/>
  <c r="R42" i="20" s="1"/>
  <c r="Q60" i="20"/>
  <c r="R60" i="20" s="1"/>
  <c r="Q21" i="20"/>
  <c r="R21" i="20" s="1"/>
  <c r="D30" i="23"/>
  <c r="D33" i="23" s="1"/>
  <c r="S33" i="25"/>
  <c r="S37" i="20"/>
  <c r="Q39" i="20"/>
  <c r="R39" i="20" s="1"/>
  <c r="S12" i="20"/>
  <c r="S8" i="25"/>
  <c r="Q75" i="20"/>
  <c r="R75" i="20" s="1"/>
  <c r="S52" i="20"/>
  <c r="S48" i="25"/>
  <c r="Q54" i="20"/>
  <c r="R54" i="20" s="1"/>
  <c r="Q43" i="20"/>
  <c r="R43" i="20" s="1"/>
  <c r="C29" i="23"/>
  <c r="D24" i="21"/>
  <c r="D146" i="21" s="1"/>
  <c r="C31" i="23"/>
  <c r="B92" i="24"/>
  <c r="C97" i="24" s="1"/>
  <c r="D88" i="23" s="1"/>
  <c r="B83" i="24"/>
  <c r="C89" i="24" s="1"/>
  <c r="D87" i="23" s="1"/>
  <c r="B48" i="24"/>
  <c r="C53" i="24" s="1"/>
  <c r="D76" i="23" s="1"/>
  <c r="B100" i="24"/>
  <c r="C105" i="24" s="1"/>
  <c r="D90" i="23" s="1"/>
  <c r="B76" i="24"/>
  <c r="C80" i="24" s="1"/>
  <c r="D86" i="23" s="1"/>
  <c r="B109" i="24"/>
  <c r="B110" i="24" s="1"/>
  <c r="B111" i="24" s="1"/>
  <c r="C116" i="24" s="1"/>
  <c r="D96" i="23" s="1"/>
  <c r="B28" i="24"/>
  <c r="C31" i="24" s="1"/>
  <c r="D73" i="23" s="1"/>
  <c r="B37" i="24"/>
  <c r="B59" i="24"/>
  <c r="B38" i="24"/>
  <c r="B60" i="24"/>
  <c r="B119" i="24"/>
  <c r="B120" i="24" s="1"/>
  <c r="C126" i="24" s="1"/>
  <c r="B36" i="24"/>
  <c r="B58" i="24"/>
  <c r="T82" i="20"/>
  <c r="U82" i="20" s="1"/>
  <c r="Q47" i="20"/>
  <c r="R47" i="20" s="1"/>
  <c r="Q45" i="20"/>
  <c r="R45" i="20" s="1"/>
  <c r="Q65" i="20"/>
  <c r="R65" i="20" s="1"/>
  <c r="Q77" i="20"/>
  <c r="R77" i="20" s="1"/>
  <c r="Q44" i="20"/>
  <c r="R44" i="20" s="1"/>
  <c r="Q63" i="20"/>
  <c r="R63" i="20" s="1"/>
  <c r="Q10" i="20"/>
  <c r="R10" i="20" s="1"/>
  <c r="Q9" i="20"/>
  <c r="R9" i="20" s="1"/>
  <c r="T86" i="20"/>
  <c r="U86" i="20" s="1"/>
  <c r="T90" i="20"/>
  <c r="U90" i="20" s="1"/>
  <c r="Q48" i="20"/>
  <c r="R48" i="20" s="1"/>
  <c r="Q70" i="20"/>
  <c r="R70" i="20" s="1"/>
  <c r="Q25" i="20"/>
  <c r="R25" i="20" s="1"/>
  <c r="Q78" i="20"/>
  <c r="R78" i="20" s="1"/>
  <c r="T94" i="20"/>
  <c r="U94" i="20" s="1"/>
  <c r="Q35" i="20"/>
  <c r="R35" i="20" s="1"/>
  <c r="Q20" i="20"/>
  <c r="R20" i="20" s="1"/>
  <c r="Q69" i="20"/>
  <c r="R69" i="20" s="1"/>
  <c r="Q22" i="20"/>
  <c r="R22" i="20" s="1"/>
  <c r="Q53" i="20"/>
  <c r="R53" i="20" s="1"/>
  <c r="Q74" i="20"/>
  <c r="R74" i="20" s="1"/>
  <c r="Q62" i="20"/>
  <c r="R62" i="20" s="1"/>
  <c r="Q26" i="20"/>
  <c r="R26" i="20" s="1"/>
  <c r="Q24" i="20"/>
  <c r="R24" i="20" s="1"/>
  <c r="Q57" i="20"/>
  <c r="R57" i="20" s="1"/>
  <c r="Q28" i="20"/>
  <c r="R28" i="20" s="1"/>
  <c r="Q79" i="20"/>
  <c r="R79" i="20" s="1"/>
  <c r="T92" i="20"/>
  <c r="U92" i="20" s="1"/>
  <c r="Q17" i="20"/>
  <c r="R17" i="20" s="1"/>
  <c r="Q13" i="20"/>
  <c r="R13" i="20" s="1"/>
  <c r="Q58" i="20"/>
  <c r="R58" i="20" s="1"/>
  <c r="Q29" i="20"/>
  <c r="R29" i="20" s="1"/>
  <c r="T88" i="20"/>
  <c r="U88" i="20" s="1"/>
  <c r="Q73" i="20"/>
  <c r="R73" i="20" s="1"/>
  <c r="Q19" i="20"/>
  <c r="R19" i="20" s="1"/>
  <c r="Q56" i="20"/>
  <c r="R56" i="20" s="1"/>
  <c r="Q61" i="20"/>
  <c r="R61" i="20" s="1"/>
  <c r="Q27" i="20"/>
  <c r="R27" i="20" s="1"/>
  <c r="Q49" i="20"/>
  <c r="R49" i="20" s="1"/>
  <c r="Q66" i="20"/>
  <c r="R66" i="20" s="1"/>
  <c r="Q14" i="20"/>
  <c r="R14" i="20" s="1"/>
  <c r="T83" i="20"/>
  <c r="U83" i="20" s="1"/>
  <c r="T93" i="20"/>
  <c r="U93" i="20" s="1"/>
  <c r="T87" i="20"/>
  <c r="U87" i="20" s="1"/>
  <c r="T85" i="20"/>
  <c r="U85" i="20" s="1"/>
  <c r="T89" i="20"/>
  <c r="U89" i="20" s="1"/>
  <c r="T91" i="20"/>
  <c r="U91" i="20" s="1"/>
  <c r="T95" i="20"/>
  <c r="U95" i="20" s="1"/>
  <c r="Q67" i="20"/>
  <c r="R67" i="20" s="1"/>
  <c r="Q68" i="20"/>
  <c r="R68" i="20" s="1"/>
  <c r="Q76" i="20"/>
  <c r="R76" i="20" s="1"/>
  <c r="Q15" i="20"/>
  <c r="R15" i="20" s="1"/>
  <c r="Q59" i="20"/>
  <c r="R59" i="20" s="1"/>
  <c r="Q11" i="20"/>
  <c r="R11" i="20" s="1"/>
  <c r="Q51" i="20"/>
  <c r="R51" i="20" s="1"/>
  <c r="Q32" i="20"/>
  <c r="R32" i="20" s="1"/>
  <c r="Q16" i="20"/>
  <c r="R16" i="20" s="1"/>
  <c r="Q36" i="20"/>
  <c r="R36" i="20" s="1"/>
  <c r="Q72" i="20"/>
  <c r="R72" i="20" s="1"/>
  <c r="Q30" i="20"/>
  <c r="R30" i="20" s="1"/>
  <c r="Q31" i="20"/>
  <c r="R31" i="20" s="1"/>
  <c r="Q8" i="20"/>
  <c r="R8" i="20" s="1"/>
  <c r="Q34" i="20"/>
  <c r="R34" i="20" s="1"/>
  <c r="Q33" i="20"/>
  <c r="R33" i="20" s="1"/>
  <c r="Q64" i="20"/>
  <c r="R64" i="20" s="1"/>
  <c r="Q46" i="20"/>
  <c r="R46" i="20" s="1"/>
  <c r="Q23" i="20"/>
  <c r="R23" i="20" s="1"/>
  <c r="Q18" i="20"/>
  <c r="R18" i="20" s="1"/>
  <c r="Q50" i="20"/>
  <c r="R50" i="20" s="1"/>
  <c r="S27" i="20" l="1"/>
  <c r="S23" i="25"/>
  <c r="S67" i="20"/>
  <c r="S63" i="25"/>
  <c r="S24" i="20"/>
  <c r="S20" i="25"/>
  <c r="S21" i="20"/>
  <c r="S17" i="25"/>
  <c r="V89" i="20"/>
  <c r="S83" i="25"/>
  <c r="S42" i="20"/>
  <c r="S38" i="25"/>
  <c r="S74" i="20"/>
  <c r="S70" i="25"/>
  <c r="S32" i="20"/>
  <c r="S28" i="25"/>
  <c r="S53" i="20"/>
  <c r="S49" i="25"/>
  <c r="V90" i="20"/>
  <c r="S84" i="25"/>
  <c r="S34" i="25"/>
  <c r="S38" i="20"/>
  <c r="S8" i="20"/>
  <c r="S4" i="25"/>
  <c r="S77" i="20"/>
  <c r="S73" i="25"/>
  <c r="S57" i="20"/>
  <c r="S53" i="25"/>
  <c r="S56" i="20"/>
  <c r="S52" i="25"/>
  <c r="S19" i="20"/>
  <c r="S15" i="25"/>
  <c r="S43" i="20"/>
  <c r="S39" i="25"/>
  <c r="S73" i="20"/>
  <c r="S69" i="25"/>
  <c r="C30" i="23"/>
  <c r="S50" i="20"/>
  <c r="S46" i="25"/>
  <c r="S29" i="20"/>
  <c r="S25" i="25"/>
  <c r="S22" i="20"/>
  <c r="S18" i="25"/>
  <c r="S75" i="20"/>
  <c r="S71" i="25"/>
  <c r="V83" i="20"/>
  <c r="S77" i="25"/>
  <c r="S13" i="20"/>
  <c r="S9" i="25"/>
  <c r="S69" i="20"/>
  <c r="S65" i="25"/>
  <c r="S9" i="20"/>
  <c r="S5" i="25"/>
  <c r="AB8" i="25"/>
  <c r="X8" i="25"/>
  <c r="Z8" i="25"/>
  <c r="Y8" i="25"/>
  <c r="V8" i="25"/>
  <c r="AD8" i="25"/>
  <c r="W8" i="25"/>
  <c r="AE8" i="25"/>
  <c r="AC8" i="25"/>
  <c r="U8" i="25"/>
  <c r="T8" i="25"/>
  <c r="AA8" i="25"/>
  <c r="S36" i="25"/>
  <c r="S40" i="20"/>
  <c r="S78" i="20"/>
  <c r="S74" i="25"/>
  <c r="Z33" i="25"/>
  <c r="Y33" i="25"/>
  <c r="AE33" i="25"/>
  <c r="V33" i="25"/>
  <c r="AA33" i="25"/>
  <c r="X33" i="25"/>
  <c r="AD33" i="25"/>
  <c r="AC33" i="25"/>
  <c r="U33" i="25"/>
  <c r="T33" i="25"/>
  <c r="W33" i="25"/>
  <c r="AB33" i="25"/>
  <c r="S25" i="20"/>
  <c r="S21" i="25"/>
  <c r="V95" i="20"/>
  <c r="S89" i="25"/>
  <c r="S26" i="20"/>
  <c r="S22" i="25"/>
  <c r="S36" i="20"/>
  <c r="S32" i="25"/>
  <c r="V82" i="20"/>
  <c r="S76" i="25"/>
  <c r="V85" i="20"/>
  <c r="S79" i="25"/>
  <c r="S55" i="20"/>
  <c r="S51" i="25"/>
  <c r="S23" i="20"/>
  <c r="S19" i="25"/>
  <c r="S58" i="20"/>
  <c r="S54" i="25"/>
  <c r="S37" i="25"/>
  <c r="S41" i="20"/>
  <c r="S64" i="20"/>
  <c r="S60" i="25"/>
  <c r="S14" i="20"/>
  <c r="S10" i="25"/>
  <c r="S17" i="20"/>
  <c r="S13" i="25"/>
  <c r="S20" i="20"/>
  <c r="S16" i="25"/>
  <c r="S10" i="20"/>
  <c r="S6" i="25"/>
  <c r="V84" i="20"/>
  <c r="S78" i="25"/>
  <c r="S68" i="20"/>
  <c r="S64" i="25"/>
  <c r="S61" i="20"/>
  <c r="S57" i="25"/>
  <c r="S30" i="20"/>
  <c r="S26" i="25"/>
  <c r="S45" i="20"/>
  <c r="S41" i="25"/>
  <c r="S72" i="20"/>
  <c r="S68" i="25"/>
  <c r="S47" i="20"/>
  <c r="S43" i="25"/>
  <c r="S16" i="20"/>
  <c r="S12" i="25"/>
  <c r="S48" i="20"/>
  <c r="S44" i="25"/>
  <c r="W48" i="25"/>
  <c r="U48" i="25"/>
  <c r="AE48" i="25"/>
  <c r="V48" i="25"/>
  <c r="Y48" i="25"/>
  <c r="AD48" i="25"/>
  <c r="Z48" i="25"/>
  <c r="AC48" i="25"/>
  <c r="T48" i="25"/>
  <c r="AB48" i="25"/>
  <c r="X48" i="25"/>
  <c r="AA48" i="25"/>
  <c r="V87" i="20"/>
  <c r="S81" i="25"/>
  <c r="V93" i="20"/>
  <c r="S87" i="25"/>
  <c r="V86" i="20"/>
  <c r="S80" i="25"/>
  <c r="S46" i="20"/>
  <c r="S42" i="25"/>
  <c r="S33" i="20"/>
  <c r="S29" i="25"/>
  <c r="S66" i="20"/>
  <c r="S62" i="25"/>
  <c r="V92" i="20"/>
  <c r="S86" i="25"/>
  <c r="S35" i="20"/>
  <c r="S31" i="25"/>
  <c r="S63" i="20"/>
  <c r="S59" i="25"/>
  <c r="S35" i="25"/>
  <c r="S39" i="20"/>
  <c r="AB67" i="25"/>
  <c r="AA67" i="25"/>
  <c r="U67" i="25"/>
  <c r="W67" i="25"/>
  <c r="V67" i="25"/>
  <c r="Y67" i="25"/>
  <c r="AD67" i="25"/>
  <c r="Z67" i="25"/>
  <c r="AE67" i="25"/>
  <c r="AC67" i="25"/>
  <c r="T67" i="25"/>
  <c r="X67" i="25"/>
  <c r="S28" i="20"/>
  <c r="S24" i="25"/>
  <c r="S31" i="20"/>
  <c r="S27" i="25"/>
  <c r="S65" i="20"/>
  <c r="S61" i="25"/>
  <c r="S70" i="20"/>
  <c r="S66" i="25"/>
  <c r="V91" i="20"/>
  <c r="S85" i="25"/>
  <c r="S60" i="20"/>
  <c r="S56" i="25"/>
  <c r="S62" i="20"/>
  <c r="S58" i="25"/>
  <c r="S54" i="20"/>
  <c r="S50" i="25"/>
  <c r="V88" i="20"/>
  <c r="S82" i="25"/>
  <c r="S18" i="20"/>
  <c r="S14" i="25"/>
  <c r="S51" i="20"/>
  <c r="S47" i="25"/>
  <c r="S11" i="20"/>
  <c r="S7" i="25"/>
  <c r="S59" i="20"/>
  <c r="S55" i="25"/>
  <c r="S15" i="20"/>
  <c r="S11" i="25"/>
  <c r="S34" i="20"/>
  <c r="S30" i="25"/>
  <c r="S76" i="20"/>
  <c r="S72" i="25"/>
  <c r="S49" i="20"/>
  <c r="S45" i="25"/>
  <c r="S79" i="20"/>
  <c r="S75" i="25"/>
  <c r="V94" i="20"/>
  <c r="S88" i="25"/>
  <c r="S44" i="20"/>
  <c r="S40" i="25"/>
  <c r="D30" i="21"/>
  <c r="D33" i="21"/>
  <c r="D32" i="21"/>
  <c r="B36" i="22"/>
  <c r="B58" i="22"/>
  <c r="B7" i="22"/>
  <c r="B29" i="22" s="1"/>
  <c r="C32" i="22" s="1"/>
  <c r="D74" i="21" s="1"/>
  <c r="B120" i="22"/>
  <c r="B39" i="24"/>
  <c r="C44" i="24" s="1"/>
  <c r="B61" i="24"/>
  <c r="C64" i="24" s="1"/>
  <c r="D65" i="23"/>
  <c r="D39" i="23"/>
  <c r="D37" i="23"/>
  <c r="D38" i="23"/>
  <c r="D43" i="23"/>
  <c r="D40" i="23"/>
  <c r="D41" i="23"/>
  <c r="D42" i="23"/>
  <c r="D44" i="23"/>
  <c r="V97" i="20" l="1"/>
  <c r="X111" i="17" s="1"/>
  <c r="B49" i="22"/>
  <c r="C54" i="22" s="1"/>
  <c r="D77" i="21" s="1"/>
  <c r="C77" i="21" s="1"/>
  <c r="AD69" i="25"/>
  <c r="AB69" i="25"/>
  <c r="AC69" i="25"/>
  <c r="T69" i="25"/>
  <c r="Z69" i="25"/>
  <c r="AA69" i="25"/>
  <c r="V69" i="25"/>
  <c r="AE69" i="25"/>
  <c r="Y69" i="25"/>
  <c r="W69" i="25"/>
  <c r="X69" i="25"/>
  <c r="U69" i="25"/>
  <c r="AB30" i="25"/>
  <c r="AA30" i="25"/>
  <c r="W30" i="25"/>
  <c r="Z30" i="25"/>
  <c r="AE30" i="25"/>
  <c r="T30" i="25"/>
  <c r="V30" i="25"/>
  <c r="AD30" i="25"/>
  <c r="Y30" i="25"/>
  <c r="U30" i="25"/>
  <c r="AC30" i="25"/>
  <c r="X30" i="25"/>
  <c r="Z83" i="25"/>
  <c r="W83" i="25"/>
  <c r="T83" i="25"/>
  <c r="Y83" i="25"/>
  <c r="X83" i="25"/>
  <c r="AE83" i="25"/>
  <c r="AD83" i="25"/>
  <c r="U83" i="25"/>
  <c r="AC83" i="25"/>
  <c r="AB83" i="25"/>
  <c r="V83" i="25"/>
  <c r="AA83" i="25"/>
  <c r="Y11" i="25"/>
  <c r="V11" i="25"/>
  <c r="AA11" i="25"/>
  <c r="U11" i="25"/>
  <c r="Z11" i="25"/>
  <c r="AD11" i="25"/>
  <c r="W11" i="25"/>
  <c r="AC11" i="25"/>
  <c r="T11" i="25"/>
  <c r="AE11" i="25"/>
  <c r="X11" i="25"/>
  <c r="AB11" i="25"/>
  <c r="AD79" i="25"/>
  <c r="W79" i="25"/>
  <c r="AE79" i="25"/>
  <c r="T79" i="25"/>
  <c r="X79" i="25"/>
  <c r="AB79" i="25"/>
  <c r="Z79" i="25"/>
  <c r="U79" i="25"/>
  <c r="Y79" i="25"/>
  <c r="AC79" i="25"/>
  <c r="AA79" i="25"/>
  <c r="V79" i="25"/>
  <c r="X84" i="25"/>
  <c r="AD84" i="25"/>
  <c r="V84" i="25"/>
  <c r="AB84" i="25"/>
  <c r="U84" i="25"/>
  <c r="AC84" i="25"/>
  <c r="Y84" i="25"/>
  <c r="Z84" i="25"/>
  <c r="W84" i="25"/>
  <c r="T84" i="25"/>
  <c r="AE84" i="25"/>
  <c r="AA84" i="25"/>
  <c r="Z24" i="25"/>
  <c r="X24" i="25"/>
  <c r="T24" i="25"/>
  <c r="W24" i="25"/>
  <c r="V24" i="25"/>
  <c r="AD24" i="25"/>
  <c r="AA24" i="25"/>
  <c r="AE24" i="25"/>
  <c r="Y24" i="25"/>
  <c r="U24" i="25"/>
  <c r="AB24" i="25"/>
  <c r="AC24" i="25"/>
  <c r="U60" i="25"/>
  <c r="AC60" i="25"/>
  <c r="Z60" i="25"/>
  <c r="AA60" i="25"/>
  <c r="V60" i="25"/>
  <c r="AB60" i="25"/>
  <c r="AD60" i="25"/>
  <c r="Y60" i="25"/>
  <c r="W60" i="25"/>
  <c r="X60" i="25"/>
  <c r="AE60" i="25"/>
  <c r="T60" i="25"/>
  <c r="AD36" i="25"/>
  <c r="T36" i="25"/>
  <c r="U36" i="25"/>
  <c r="AA36" i="25"/>
  <c r="V36" i="25"/>
  <c r="W36" i="25"/>
  <c r="AC36" i="25"/>
  <c r="Z36" i="25"/>
  <c r="AB36" i="25"/>
  <c r="AE36" i="25"/>
  <c r="Y36" i="25"/>
  <c r="X36" i="25"/>
  <c r="X52" i="25"/>
  <c r="AD52" i="25"/>
  <c r="W52" i="25"/>
  <c r="AE52" i="25"/>
  <c r="AC52" i="25"/>
  <c r="V52" i="25"/>
  <c r="Y52" i="25"/>
  <c r="AA52" i="25"/>
  <c r="AB52" i="25"/>
  <c r="U52" i="25"/>
  <c r="Z52" i="25"/>
  <c r="T52" i="25"/>
  <c r="AC49" i="25"/>
  <c r="AE49" i="25"/>
  <c r="AA49" i="25"/>
  <c r="X49" i="25"/>
  <c r="V49" i="25"/>
  <c r="Z49" i="25"/>
  <c r="W49" i="25"/>
  <c r="AD49" i="25"/>
  <c r="U49" i="25"/>
  <c r="T49" i="25"/>
  <c r="Y49" i="25"/>
  <c r="AB49" i="25"/>
  <c r="X20" i="25"/>
  <c r="Y20" i="25"/>
  <c r="AD20" i="25"/>
  <c r="Z20" i="25"/>
  <c r="U20" i="25"/>
  <c r="W20" i="25"/>
  <c r="AB20" i="25"/>
  <c r="AC20" i="25"/>
  <c r="AA20" i="25"/>
  <c r="AE20" i="25"/>
  <c r="T20" i="25"/>
  <c r="V20" i="25"/>
  <c r="Y81" i="25"/>
  <c r="Z81" i="25"/>
  <c r="X81" i="25"/>
  <c r="U81" i="25"/>
  <c r="AA81" i="25"/>
  <c r="W81" i="25"/>
  <c r="AE81" i="25"/>
  <c r="V81" i="25"/>
  <c r="AD81" i="25"/>
  <c r="T81" i="25"/>
  <c r="AC81" i="25"/>
  <c r="AB81" i="25"/>
  <c r="X40" i="25"/>
  <c r="AB40" i="25"/>
  <c r="W40" i="25"/>
  <c r="AD40" i="25"/>
  <c r="AA40" i="25"/>
  <c r="AE40" i="25"/>
  <c r="Z40" i="25"/>
  <c r="U40" i="25"/>
  <c r="V40" i="25"/>
  <c r="AC40" i="25"/>
  <c r="T40" i="25"/>
  <c r="Y40" i="25"/>
  <c r="Y44" i="25"/>
  <c r="X44" i="25"/>
  <c r="U44" i="25"/>
  <c r="V44" i="25"/>
  <c r="Z44" i="25"/>
  <c r="AA44" i="25"/>
  <c r="AC44" i="25"/>
  <c r="AE44" i="25"/>
  <c r="T44" i="25"/>
  <c r="W44" i="25"/>
  <c r="AD44" i="25"/>
  <c r="AB44" i="25"/>
  <c r="AA15" i="25"/>
  <c r="AC15" i="25"/>
  <c r="Y15" i="25"/>
  <c r="U15" i="25"/>
  <c r="X15" i="25"/>
  <c r="V15" i="25"/>
  <c r="W15" i="25"/>
  <c r="AB15" i="25"/>
  <c r="AE15" i="25"/>
  <c r="Z15" i="25"/>
  <c r="AD15" i="25"/>
  <c r="T15" i="25"/>
  <c r="AE88" i="25"/>
  <c r="X88" i="25"/>
  <c r="AC88" i="25"/>
  <c r="T88" i="25"/>
  <c r="U88" i="25"/>
  <c r="Z88" i="25"/>
  <c r="AD88" i="25"/>
  <c r="Y88" i="25"/>
  <c r="V88" i="25"/>
  <c r="W88" i="25"/>
  <c r="AA88" i="25"/>
  <c r="AB88" i="25"/>
  <c r="X29" i="25"/>
  <c r="V29" i="25"/>
  <c r="W29" i="25"/>
  <c r="T29" i="25"/>
  <c r="U29" i="25"/>
  <c r="AA29" i="25"/>
  <c r="AC29" i="25"/>
  <c r="Z29" i="25"/>
  <c r="AD29" i="25"/>
  <c r="AB29" i="25"/>
  <c r="Y29" i="25"/>
  <c r="AE29" i="25"/>
  <c r="X7" i="25"/>
  <c r="Z7" i="25"/>
  <c r="W7" i="25"/>
  <c r="AC7" i="25"/>
  <c r="Y7" i="25"/>
  <c r="V7" i="25"/>
  <c r="U7" i="25"/>
  <c r="T7" i="25"/>
  <c r="AE7" i="25"/>
  <c r="AA7" i="25"/>
  <c r="AB7" i="25"/>
  <c r="AD7" i="25"/>
  <c r="Y42" i="25"/>
  <c r="U42" i="25"/>
  <c r="AA42" i="25"/>
  <c r="AD42" i="25"/>
  <c r="V42" i="25"/>
  <c r="AC42" i="25"/>
  <c r="AB42" i="25"/>
  <c r="W42" i="25"/>
  <c r="X42" i="25"/>
  <c r="T42" i="25"/>
  <c r="AE42" i="25"/>
  <c r="Z42" i="25"/>
  <c r="AE25" i="25"/>
  <c r="U25" i="25"/>
  <c r="AC25" i="25"/>
  <c r="T25" i="25"/>
  <c r="AA25" i="25"/>
  <c r="X25" i="25"/>
  <c r="Y25" i="25"/>
  <c r="AB25" i="25"/>
  <c r="Z25" i="25"/>
  <c r="W25" i="25"/>
  <c r="AD25" i="25"/>
  <c r="V25" i="25"/>
  <c r="Z35" i="25"/>
  <c r="Y35" i="25"/>
  <c r="W35" i="25"/>
  <c r="AE35" i="25"/>
  <c r="AD35" i="25"/>
  <c r="V35" i="25"/>
  <c r="AA35" i="25"/>
  <c r="U35" i="25"/>
  <c r="AC35" i="25"/>
  <c r="X35" i="25"/>
  <c r="AB35" i="25"/>
  <c r="T35" i="25"/>
  <c r="AA37" i="25"/>
  <c r="U37" i="25"/>
  <c r="AC37" i="25"/>
  <c r="T37" i="25"/>
  <c r="X37" i="25"/>
  <c r="W37" i="25"/>
  <c r="AE37" i="25"/>
  <c r="AB37" i="25"/>
  <c r="V37" i="25"/>
  <c r="Z37" i="25"/>
  <c r="AD37" i="25"/>
  <c r="Y37" i="25"/>
  <c r="Y53" i="25"/>
  <c r="AE53" i="25"/>
  <c r="X53" i="25"/>
  <c r="AB53" i="25"/>
  <c r="U53" i="25"/>
  <c r="T53" i="25"/>
  <c r="Z53" i="25"/>
  <c r="AD53" i="25"/>
  <c r="AA53" i="25"/>
  <c r="W53" i="25"/>
  <c r="AC53" i="25"/>
  <c r="V53" i="25"/>
  <c r="AA28" i="25"/>
  <c r="X28" i="25"/>
  <c r="Y28" i="25"/>
  <c r="AC28" i="25"/>
  <c r="U28" i="25"/>
  <c r="Z28" i="25"/>
  <c r="T28" i="25"/>
  <c r="AE28" i="25"/>
  <c r="W28" i="25"/>
  <c r="AB28" i="25"/>
  <c r="AD28" i="25"/>
  <c r="V28" i="25"/>
  <c r="X63" i="25"/>
  <c r="AB63" i="25"/>
  <c r="AE63" i="25"/>
  <c r="Y63" i="25"/>
  <c r="AD63" i="25"/>
  <c r="AC63" i="25"/>
  <c r="Z63" i="25"/>
  <c r="U63" i="25"/>
  <c r="W63" i="25"/>
  <c r="V63" i="25"/>
  <c r="AA63" i="25"/>
  <c r="T63" i="25"/>
  <c r="AC61" i="25"/>
  <c r="AE61" i="25"/>
  <c r="AB61" i="25"/>
  <c r="T61" i="25"/>
  <c r="AD61" i="25"/>
  <c r="Z61" i="25"/>
  <c r="Y61" i="25"/>
  <c r="X61" i="25"/>
  <c r="W61" i="25"/>
  <c r="AA61" i="25"/>
  <c r="U61" i="25"/>
  <c r="V61" i="25"/>
  <c r="Z13" i="25"/>
  <c r="U13" i="25"/>
  <c r="AC13" i="25"/>
  <c r="AA13" i="25"/>
  <c r="AB13" i="25"/>
  <c r="AD13" i="25"/>
  <c r="T13" i="25"/>
  <c r="W13" i="25"/>
  <c r="V13" i="25"/>
  <c r="X13" i="25"/>
  <c r="AE13" i="25"/>
  <c r="Y13" i="25"/>
  <c r="AB39" i="25"/>
  <c r="AA39" i="25"/>
  <c r="W39" i="25"/>
  <c r="AE39" i="25"/>
  <c r="Z39" i="25"/>
  <c r="Y39" i="25"/>
  <c r="V39" i="25"/>
  <c r="AD39" i="25"/>
  <c r="T39" i="25"/>
  <c r="X39" i="25"/>
  <c r="U39" i="25"/>
  <c r="AC39" i="25"/>
  <c r="AE27" i="25"/>
  <c r="W27" i="25"/>
  <c r="V27" i="25"/>
  <c r="U27" i="25"/>
  <c r="Y27" i="25"/>
  <c r="AA27" i="25"/>
  <c r="AD27" i="25"/>
  <c r="AC27" i="25"/>
  <c r="T27" i="25"/>
  <c r="X27" i="25"/>
  <c r="Z27" i="25"/>
  <c r="AB27" i="25"/>
  <c r="AC10" i="25"/>
  <c r="V10" i="25"/>
  <c r="Y10" i="25"/>
  <c r="AD10" i="25"/>
  <c r="AA10" i="25"/>
  <c r="Z10" i="25"/>
  <c r="AE10" i="25"/>
  <c r="U10" i="25"/>
  <c r="T10" i="25"/>
  <c r="W10" i="25"/>
  <c r="AB10" i="25"/>
  <c r="X10" i="25"/>
  <c r="AC78" i="25"/>
  <c r="AD78" i="25"/>
  <c r="AE78" i="25"/>
  <c r="X78" i="25"/>
  <c r="AA78" i="25"/>
  <c r="V78" i="25"/>
  <c r="T78" i="25"/>
  <c r="AB78" i="25"/>
  <c r="Z78" i="25"/>
  <c r="W78" i="25"/>
  <c r="Y78" i="25"/>
  <c r="U78" i="25"/>
  <c r="AD45" i="25"/>
  <c r="Z45" i="25"/>
  <c r="X45" i="25"/>
  <c r="AC45" i="25"/>
  <c r="T45" i="25"/>
  <c r="W45" i="25"/>
  <c r="U45" i="25"/>
  <c r="AB45" i="25"/>
  <c r="V45" i="25"/>
  <c r="Y45" i="25"/>
  <c r="AA45" i="25"/>
  <c r="AE45" i="25"/>
  <c r="Y47" i="25"/>
  <c r="W47" i="25"/>
  <c r="AB47" i="25"/>
  <c r="Z47" i="25"/>
  <c r="T47" i="25"/>
  <c r="U47" i="25"/>
  <c r="AE47" i="25"/>
  <c r="V47" i="25"/>
  <c r="AA47" i="25"/>
  <c r="X47" i="25"/>
  <c r="AC47" i="25"/>
  <c r="AD47" i="25"/>
  <c r="Z85" i="25"/>
  <c r="Y85" i="25"/>
  <c r="AB85" i="25"/>
  <c r="T85" i="25"/>
  <c r="W85" i="25"/>
  <c r="AA85" i="25"/>
  <c r="U85" i="25"/>
  <c r="AE85" i="25"/>
  <c r="V85" i="25"/>
  <c r="AD85" i="25"/>
  <c r="X85" i="25"/>
  <c r="AC85" i="25"/>
  <c r="U59" i="25"/>
  <c r="Y59" i="25"/>
  <c r="Z59" i="25"/>
  <c r="AB59" i="25"/>
  <c r="W59" i="25"/>
  <c r="AE59" i="25"/>
  <c r="AA59" i="25"/>
  <c r="X59" i="25"/>
  <c r="AC59" i="25"/>
  <c r="AD59" i="25"/>
  <c r="V59" i="25"/>
  <c r="T59" i="25"/>
  <c r="AA80" i="25"/>
  <c r="X80" i="25"/>
  <c r="AE80" i="25"/>
  <c r="Y80" i="25"/>
  <c r="AC80" i="25"/>
  <c r="T80" i="25"/>
  <c r="U80" i="25"/>
  <c r="Z80" i="25"/>
  <c r="AB80" i="25"/>
  <c r="W80" i="25"/>
  <c r="V80" i="25"/>
  <c r="AD80" i="25"/>
  <c r="AD68" i="25"/>
  <c r="Y68" i="25"/>
  <c r="AC68" i="25"/>
  <c r="Z68" i="25"/>
  <c r="AA68" i="25"/>
  <c r="AB68" i="25"/>
  <c r="X68" i="25"/>
  <c r="V68" i="25"/>
  <c r="AE68" i="25"/>
  <c r="W68" i="25"/>
  <c r="U68" i="25"/>
  <c r="T68" i="25"/>
  <c r="AA6" i="25"/>
  <c r="Z6" i="25"/>
  <c r="U6" i="25"/>
  <c r="X6" i="25"/>
  <c r="AC6" i="25"/>
  <c r="V6" i="25"/>
  <c r="Y6" i="25"/>
  <c r="T6" i="25"/>
  <c r="AD6" i="25"/>
  <c r="AB6" i="25"/>
  <c r="W6" i="25"/>
  <c r="AE6" i="25"/>
  <c r="Z54" i="25"/>
  <c r="AA54" i="25"/>
  <c r="W54" i="25"/>
  <c r="AB54" i="25"/>
  <c r="Y54" i="25"/>
  <c r="AC54" i="25"/>
  <c r="T54" i="25"/>
  <c r="V54" i="25"/>
  <c r="U54" i="25"/>
  <c r="X54" i="25"/>
  <c r="AD54" i="25"/>
  <c r="AE54" i="25"/>
  <c r="Y22" i="25"/>
  <c r="AD22" i="25"/>
  <c r="U22" i="25"/>
  <c r="AE22" i="25"/>
  <c r="AB22" i="25"/>
  <c r="T22" i="25"/>
  <c r="AA22" i="25"/>
  <c r="V22" i="25"/>
  <c r="AC22" i="25"/>
  <c r="X22" i="25"/>
  <c r="Z22" i="25"/>
  <c r="W22" i="25"/>
  <c r="Z65" i="25"/>
  <c r="AA65" i="25"/>
  <c r="W65" i="25"/>
  <c r="AB65" i="25"/>
  <c r="T65" i="25"/>
  <c r="AD65" i="25"/>
  <c r="AE65" i="25"/>
  <c r="V65" i="25"/>
  <c r="AC65" i="25"/>
  <c r="Y65" i="25"/>
  <c r="U65" i="25"/>
  <c r="X65" i="25"/>
  <c r="Z46" i="25"/>
  <c r="AE46" i="25"/>
  <c r="AB46" i="25"/>
  <c r="V46" i="25"/>
  <c r="W46" i="25"/>
  <c r="Y46" i="25"/>
  <c r="T46" i="25"/>
  <c r="AA46" i="25"/>
  <c r="U46" i="25"/>
  <c r="AC46" i="25"/>
  <c r="AD46" i="25"/>
  <c r="X46" i="25"/>
  <c r="AE38" i="25"/>
  <c r="Z38" i="25"/>
  <c r="AD38" i="25"/>
  <c r="T38" i="25"/>
  <c r="U38" i="25"/>
  <c r="W38" i="25"/>
  <c r="AB38" i="25"/>
  <c r="AA38" i="25"/>
  <c r="X38" i="25"/>
  <c r="V38" i="25"/>
  <c r="AC38" i="25"/>
  <c r="Y38" i="25"/>
  <c r="Z82" i="25"/>
  <c r="X82" i="25"/>
  <c r="V82" i="25"/>
  <c r="U82" i="25"/>
  <c r="Y82" i="25"/>
  <c r="AE82" i="25"/>
  <c r="AD82" i="25"/>
  <c r="AC82" i="25"/>
  <c r="AB82" i="25"/>
  <c r="AA82" i="25"/>
  <c r="W82" i="25"/>
  <c r="T82" i="25"/>
  <c r="AC86" i="25"/>
  <c r="AE86" i="25"/>
  <c r="AB86" i="25"/>
  <c r="AA86" i="25"/>
  <c r="Y86" i="25"/>
  <c r="T86" i="25"/>
  <c r="AD86" i="25"/>
  <c r="V86" i="25"/>
  <c r="Z86" i="25"/>
  <c r="U86" i="25"/>
  <c r="W86" i="25"/>
  <c r="X86" i="25"/>
  <c r="AE51" i="25"/>
  <c r="W51" i="25"/>
  <c r="AC51" i="25"/>
  <c r="AA51" i="25"/>
  <c r="V51" i="25"/>
  <c r="AD51" i="25"/>
  <c r="Z51" i="25"/>
  <c r="AB51" i="25"/>
  <c r="U51" i="25"/>
  <c r="Y51" i="25"/>
  <c r="X51" i="25"/>
  <c r="T51" i="25"/>
  <c r="AB77" i="25"/>
  <c r="X77" i="25"/>
  <c r="AA77" i="25"/>
  <c r="AD77" i="25"/>
  <c r="U77" i="25"/>
  <c r="T77" i="25"/>
  <c r="Z77" i="25"/>
  <c r="AE77" i="25"/>
  <c r="W77" i="25"/>
  <c r="AC77" i="25"/>
  <c r="V77" i="25"/>
  <c r="Y77" i="25"/>
  <c r="AD34" i="25"/>
  <c r="W34" i="25"/>
  <c r="V34" i="25"/>
  <c r="T34" i="25"/>
  <c r="Z34" i="25"/>
  <c r="AE34" i="25"/>
  <c r="Y34" i="25"/>
  <c r="AC34" i="25"/>
  <c r="AA34" i="25"/>
  <c r="U34" i="25"/>
  <c r="X34" i="25"/>
  <c r="AB34" i="25"/>
  <c r="AB58" i="25"/>
  <c r="V58" i="25"/>
  <c r="Y58" i="25"/>
  <c r="AA58" i="25"/>
  <c r="T58" i="25"/>
  <c r="W58" i="25"/>
  <c r="Z58" i="25"/>
  <c r="AE58" i="25"/>
  <c r="U58" i="25"/>
  <c r="AC58" i="25"/>
  <c r="X58" i="25"/>
  <c r="AD58" i="25"/>
  <c r="AC12" i="25"/>
  <c r="W12" i="25"/>
  <c r="AD12" i="25"/>
  <c r="AB12" i="25"/>
  <c r="AE12" i="25"/>
  <c r="V12" i="25"/>
  <c r="Y12" i="25"/>
  <c r="X12" i="25"/>
  <c r="U12" i="25"/>
  <c r="AA12" i="25"/>
  <c r="Z12" i="25"/>
  <c r="T12" i="25"/>
  <c r="Z75" i="25"/>
  <c r="AE75" i="25"/>
  <c r="AC75" i="25"/>
  <c r="W75" i="25"/>
  <c r="U75" i="25"/>
  <c r="AB75" i="25"/>
  <c r="AA75" i="25"/>
  <c r="AD75" i="25"/>
  <c r="V75" i="25"/>
  <c r="Y75" i="25"/>
  <c r="T75" i="25"/>
  <c r="X75" i="25"/>
  <c r="AB56" i="25"/>
  <c r="T56" i="25"/>
  <c r="AD56" i="25"/>
  <c r="W56" i="25"/>
  <c r="Z56" i="25"/>
  <c r="AA56" i="25"/>
  <c r="U56" i="25"/>
  <c r="X56" i="25"/>
  <c r="V56" i="25"/>
  <c r="Y56" i="25"/>
  <c r="AE56" i="25"/>
  <c r="AC56" i="25"/>
  <c r="AC32" i="25"/>
  <c r="Z32" i="25"/>
  <c r="Y32" i="25"/>
  <c r="AD32" i="25"/>
  <c r="U32" i="25"/>
  <c r="X32" i="25"/>
  <c r="W32" i="25"/>
  <c r="AE32" i="25"/>
  <c r="V32" i="25"/>
  <c r="AB32" i="25"/>
  <c r="AA32" i="25"/>
  <c r="T32" i="25"/>
  <c r="AD73" i="25"/>
  <c r="AE73" i="25"/>
  <c r="AB73" i="25"/>
  <c r="AC73" i="25"/>
  <c r="Y73" i="25"/>
  <c r="X73" i="25"/>
  <c r="W73" i="25"/>
  <c r="V73" i="25"/>
  <c r="Z73" i="25"/>
  <c r="AA73" i="25"/>
  <c r="T73" i="25"/>
  <c r="U73" i="25"/>
  <c r="Z70" i="25"/>
  <c r="AC70" i="25"/>
  <c r="T70" i="25"/>
  <c r="W70" i="25"/>
  <c r="AD70" i="25"/>
  <c r="AE70" i="25"/>
  <c r="AB70" i="25"/>
  <c r="AA70" i="25"/>
  <c r="Y70" i="25"/>
  <c r="V70" i="25"/>
  <c r="X70" i="25"/>
  <c r="U70" i="25"/>
  <c r="AD23" i="25"/>
  <c r="AC23" i="25"/>
  <c r="AE23" i="25"/>
  <c r="X23" i="25"/>
  <c r="U23" i="25"/>
  <c r="Y23" i="25"/>
  <c r="AB23" i="25"/>
  <c r="T23" i="25"/>
  <c r="V23" i="25"/>
  <c r="W23" i="25"/>
  <c r="Z23" i="25"/>
  <c r="AA23" i="25"/>
  <c r="AD4" i="25"/>
  <c r="AA4" i="25"/>
  <c r="W4" i="25"/>
  <c r="V4" i="25"/>
  <c r="U4" i="25"/>
  <c r="Z4" i="25"/>
  <c r="AC4" i="25"/>
  <c r="X4" i="25"/>
  <c r="AB4" i="25"/>
  <c r="AE4" i="25"/>
  <c r="T4" i="25"/>
  <c r="Y4" i="25"/>
  <c r="AA26" i="25"/>
  <c r="AC26" i="25"/>
  <c r="Z26" i="25"/>
  <c r="U26" i="25"/>
  <c r="W26" i="25"/>
  <c r="AB26" i="25"/>
  <c r="X26" i="25"/>
  <c r="Y26" i="25"/>
  <c r="AE26" i="25"/>
  <c r="T26" i="25"/>
  <c r="V26" i="25"/>
  <c r="AD26" i="25"/>
  <c r="AC21" i="25"/>
  <c r="T21" i="25"/>
  <c r="X21" i="25"/>
  <c r="AA21" i="25"/>
  <c r="Z21" i="25"/>
  <c r="AB21" i="25"/>
  <c r="U21" i="25"/>
  <c r="Y21" i="25"/>
  <c r="V21" i="25"/>
  <c r="AD21" i="25"/>
  <c r="AE21" i="25"/>
  <c r="W21" i="25"/>
  <c r="AD50" i="25"/>
  <c r="AA50" i="25"/>
  <c r="T50" i="25"/>
  <c r="AC50" i="25"/>
  <c r="V50" i="25"/>
  <c r="W50" i="25"/>
  <c r="AE50" i="25"/>
  <c r="Z50" i="25"/>
  <c r="AB50" i="25"/>
  <c r="Y50" i="25"/>
  <c r="U50" i="25"/>
  <c r="X50" i="25"/>
  <c r="AA62" i="25"/>
  <c r="AB62" i="25"/>
  <c r="Z62" i="25"/>
  <c r="Y62" i="25"/>
  <c r="T62" i="25"/>
  <c r="AC62" i="25"/>
  <c r="U62" i="25"/>
  <c r="V62" i="25"/>
  <c r="X62" i="25"/>
  <c r="W62" i="25"/>
  <c r="AD62" i="25"/>
  <c r="AE62" i="25"/>
  <c r="AC57" i="25"/>
  <c r="X57" i="25"/>
  <c r="Z57" i="25"/>
  <c r="U57" i="25"/>
  <c r="T57" i="25"/>
  <c r="Y57" i="25"/>
  <c r="AB57" i="25"/>
  <c r="AA57" i="25"/>
  <c r="W57" i="25"/>
  <c r="V57" i="25"/>
  <c r="AE57" i="25"/>
  <c r="AD57" i="25"/>
  <c r="AA74" i="25"/>
  <c r="AD74" i="25"/>
  <c r="AC74" i="25"/>
  <c r="AE74" i="25"/>
  <c r="Z74" i="25"/>
  <c r="AB74" i="25"/>
  <c r="Y74" i="25"/>
  <c r="T74" i="25"/>
  <c r="W74" i="25"/>
  <c r="V74" i="25"/>
  <c r="X74" i="25"/>
  <c r="U74" i="25"/>
  <c r="AE71" i="25"/>
  <c r="AB71" i="25"/>
  <c r="AC71" i="25"/>
  <c r="Z71" i="25"/>
  <c r="T71" i="25"/>
  <c r="AD71" i="25"/>
  <c r="AA71" i="25"/>
  <c r="X71" i="25"/>
  <c r="Y71" i="25"/>
  <c r="V71" i="25"/>
  <c r="U71" i="25"/>
  <c r="W71" i="25"/>
  <c r="AB17" i="25"/>
  <c r="AD17" i="25"/>
  <c r="U17" i="25"/>
  <c r="Y17" i="25"/>
  <c r="W17" i="25"/>
  <c r="Z17" i="25"/>
  <c r="AE17" i="25"/>
  <c r="AC17" i="25"/>
  <c r="X17" i="25"/>
  <c r="T17" i="25"/>
  <c r="V17" i="25"/>
  <c r="AA17" i="25"/>
  <c r="AA55" i="25"/>
  <c r="AE55" i="25"/>
  <c r="V55" i="25"/>
  <c r="AD55" i="25"/>
  <c r="T55" i="25"/>
  <c r="AB55" i="25"/>
  <c r="W55" i="25"/>
  <c r="Y55" i="25"/>
  <c r="X55" i="25"/>
  <c r="AC55" i="25"/>
  <c r="Z55" i="25"/>
  <c r="U55" i="25"/>
  <c r="Y64" i="25"/>
  <c r="V64" i="25"/>
  <c r="X64" i="25"/>
  <c r="Z64" i="25"/>
  <c r="W64" i="25"/>
  <c r="AD64" i="25"/>
  <c r="AB64" i="25"/>
  <c r="AE64" i="25"/>
  <c r="T64" i="25"/>
  <c r="AA64" i="25"/>
  <c r="U64" i="25"/>
  <c r="AC64" i="25"/>
  <c r="X76" i="25"/>
  <c r="W76" i="25"/>
  <c r="AD76" i="25"/>
  <c r="AC76" i="25"/>
  <c r="AA76" i="25"/>
  <c r="Z76" i="25"/>
  <c r="Y76" i="25"/>
  <c r="V76" i="25"/>
  <c r="T76" i="25"/>
  <c r="AB76" i="25"/>
  <c r="U76" i="25"/>
  <c r="AE76" i="25"/>
  <c r="X18" i="25"/>
  <c r="AB18" i="25"/>
  <c r="T18" i="25"/>
  <c r="AE18" i="25"/>
  <c r="U18" i="25"/>
  <c r="AC18" i="25"/>
  <c r="Y18" i="25"/>
  <c r="AD18" i="25"/>
  <c r="Z18" i="25"/>
  <c r="AA18" i="25"/>
  <c r="V18" i="25"/>
  <c r="W18" i="25"/>
  <c r="AC43" i="25"/>
  <c r="Y43" i="25"/>
  <c r="AE43" i="25"/>
  <c r="V43" i="25"/>
  <c r="AB43" i="25"/>
  <c r="AD43" i="25"/>
  <c r="AA43" i="25"/>
  <c r="W43" i="25"/>
  <c r="U43" i="25"/>
  <c r="Z43" i="25"/>
  <c r="X43" i="25"/>
  <c r="T43" i="25"/>
  <c r="AE5" i="25"/>
  <c r="V5" i="25"/>
  <c r="Y5" i="25"/>
  <c r="X5" i="25"/>
  <c r="U5" i="25"/>
  <c r="AB5" i="25"/>
  <c r="Z5" i="25"/>
  <c r="T5" i="25"/>
  <c r="AA5" i="25"/>
  <c r="AD5" i="25"/>
  <c r="W5" i="25"/>
  <c r="AC5" i="25"/>
  <c r="AC72" i="25"/>
  <c r="U72" i="25"/>
  <c r="AB72" i="25"/>
  <c r="T72" i="25"/>
  <c r="Y72" i="25"/>
  <c r="AE72" i="25"/>
  <c r="AD72" i="25"/>
  <c r="Z72" i="25"/>
  <c r="X72" i="25"/>
  <c r="W72" i="25"/>
  <c r="V72" i="25"/>
  <c r="AA72" i="25"/>
  <c r="AD14" i="25"/>
  <c r="T14" i="25"/>
  <c r="AA14" i="25"/>
  <c r="W14" i="25"/>
  <c r="AB14" i="25"/>
  <c r="Y14" i="25"/>
  <c r="Z14" i="25"/>
  <c r="X14" i="25"/>
  <c r="AE14" i="25"/>
  <c r="V14" i="25"/>
  <c r="AC14" i="25"/>
  <c r="U14" i="25"/>
  <c r="AA66" i="25"/>
  <c r="V66" i="25"/>
  <c r="T66" i="25"/>
  <c r="AB66" i="25"/>
  <c r="Z66" i="25"/>
  <c r="U66" i="25"/>
  <c r="AE66" i="25"/>
  <c r="AD66" i="25"/>
  <c r="Y66" i="25"/>
  <c r="X66" i="25"/>
  <c r="AC66" i="25"/>
  <c r="W66" i="25"/>
  <c r="Y31" i="25"/>
  <c r="AA31" i="25"/>
  <c r="AB31" i="25"/>
  <c r="AE31" i="25"/>
  <c r="AC31" i="25"/>
  <c r="Z31" i="25"/>
  <c r="X31" i="25"/>
  <c r="V31" i="25"/>
  <c r="AD31" i="25"/>
  <c r="W31" i="25"/>
  <c r="T31" i="25"/>
  <c r="U31" i="25"/>
  <c r="AE87" i="25"/>
  <c r="AA87" i="25"/>
  <c r="Y87" i="25"/>
  <c r="Z87" i="25"/>
  <c r="AC87" i="25"/>
  <c r="T87" i="25"/>
  <c r="X87" i="25"/>
  <c r="AD87" i="25"/>
  <c r="AB87" i="25"/>
  <c r="V87" i="25"/>
  <c r="W87" i="25"/>
  <c r="U87" i="25"/>
  <c r="AC41" i="25"/>
  <c r="AD41" i="25"/>
  <c r="U41" i="25"/>
  <c r="AB41" i="25"/>
  <c r="W41" i="25"/>
  <c r="AE41" i="25"/>
  <c r="Z41" i="25"/>
  <c r="Y41" i="25"/>
  <c r="V41" i="25"/>
  <c r="T41" i="25"/>
  <c r="X41" i="25"/>
  <c r="AA41" i="25"/>
  <c r="AE16" i="25"/>
  <c r="U16" i="25"/>
  <c r="AB16" i="25"/>
  <c r="AA16" i="25"/>
  <c r="AD16" i="25"/>
  <c r="Z16" i="25"/>
  <c r="X16" i="25"/>
  <c r="AC16" i="25"/>
  <c r="T16" i="25"/>
  <c r="Y16" i="25"/>
  <c r="W16" i="25"/>
  <c r="V16" i="25"/>
  <c r="AB19" i="25"/>
  <c r="AD19" i="25"/>
  <c r="Z19" i="25"/>
  <c r="Y19" i="25"/>
  <c r="AA19" i="25"/>
  <c r="U19" i="25"/>
  <c r="X19" i="25"/>
  <c r="W19" i="25"/>
  <c r="AC19" i="25"/>
  <c r="AE19" i="25"/>
  <c r="V19" i="25"/>
  <c r="T19" i="25"/>
  <c r="T89" i="25"/>
  <c r="AE89" i="25"/>
  <c r="X89" i="25"/>
  <c r="AD89" i="25"/>
  <c r="Y89" i="25"/>
  <c r="Z89" i="25"/>
  <c r="AA89" i="25"/>
  <c r="AC89" i="25"/>
  <c r="U89" i="25"/>
  <c r="V89" i="25"/>
  <c r="W89" i="25"/>
  <c r="AB89" i="25"/>
  <c r="Y9" i="25"/>
  <c r="AD9" i="25"/>
  <c r="AC9" i="25"/>
  <c r="W9" i="25"/>
  <c r="AA9" i="25"/>
  <c r="X9" i="25"/>
  <c r="Z9" i="25"/>
  <c r="AE9" i="25"/>
  <c r="T9" i="25"/>
  <c r="U9" i="25"/>
  <c r="V9" i="25"/>
  <c r="AB9" i="25"/>
  <c r="B93" i="22"/>
  <c r="C98" i="22" s="1"/>
  <c r="D89" i="21" s="1"/>
  <c r="B84" i="22"/>
  <c r="C90" i="22" s="1"/>
  <c r="D88" i="21" s="1"/>
  <c r="B111" i="22"/>
  <c r="B112" i="22" s="1"/>
  <c r="B113" i="22" s="1"/>
  <c r="C118" i="22" s="1"/>
  <c r="D97" i="21" s="1"/>
  <c r="D101" i="21" s="1"/>
  <c r="D109" i="21" s="1"/>
  <c r="C32" i="21"/>
  <c r="B101" i="22"/>
  <c r="C106" i="22" s="1"/>
  <c r="D91" i="21" s="1"/>
  <c r="B77" i="22"/>
  <c r="C81" i="22" s="1"/>
  <c r="D87" i="21" s="1"/>
  <c r="B37" i="22"/>
  <c r="B60" i="22"/>
  <c r="B38" i="22"/>
  <c r="D31" i="21"/>
  <c r="D34" i="21" s="1"/>
  <c r="C30" i="21"/>
  <c r="B59" i="22"/>
  <c r="B121" i="22"/>
  <c r="B122" i="22" s="1"/>
  <c r="C128" i="22" s="1"/>
  <c r="B61" i="22"/>
  <c r="C33" i="21"/>
  <c r="B39" i="22"/>
  <c r="C42" i="24"/>
  <c r="C45" i="24" s="1"/>
  <c r="D75" i="23" s="1"/>
  <c r="C66" i="24"/>
  <c r="C67" i="24" s="1"/>
  <c r="D78" i="23" s="1"/>
  <c r="D45" i="23"/>
  <c r="D66" i="23" s="1"/>
  <c r="D75" i="21"/>
  <c r="C74" i="21"/>
  <c r="AD1" i="25" l="1"/>
  <c r="X90" i="25"/>
  <c r="X92" i="25" s="1"/>
  <c r="V90" i="25"/>
  <c r="V92" i="25" s="1"/>
  <c r="Z90" i="25"/>
  <c r="Z92" i="25" s="1"/>
  <c r="AB90" i="25"/>
  <c r="AB92" i="25" s="1"/>
  <c r="AC90" i="25"/>
  <c r="AC92" i="25" s="1"/>
  <c r="Y90" i="25"/>
  <c r="Y92" i="25" s="1"/>
  <c r="W90" i="25"/>
  <c r="W92" i="25" s="1"/>
  <c r="AE90" i="25"/>
  <c r="AE92" i="25" s="1"/>
  <c r="AD90" i="25"/>
  <c r="AD92" i="25" s="1"/>
  <c r="T90" i="25"/>
  <c r="U90" i="25"/>
  <c r="U92" i="25" s="1"/>
  <c r="AA90" i="25"/>
  <c r="AA92" i="25" s="1"/>
  <c r="D94" i="21"/>
  <c r="D108" i="21" s="1"/>
  <c r="D110" i="21" s="1"/>
  <c r="D112" i="21" s="1"/>
  <c r="D149" i="21" s="1"/>
  <c r="C31" i="21"/>
  <c r="B40" i="22"/>
  <c r="C45" i="22" s="1"/>
  <c r="B62" i="22"/>
  <c r="C67" i="22" s="1"/>
  <c r="D45" i="21"/>
  <c r="D40" i="21"/>
  <c r="D38" i="21"/>
  <c r="D42" i="21"/>
  <c r="D44" i="21"/>
  <c r="D43" i="21"/>
  <c r="D66" i="21"/>
  <c r="D41" i="21"/>
  <c r="D39" i="21"/>
  <c r="T92" i="25" l="1"/>
  <c r="K45" i="26"/>
  <c r="C65" i="22"/>
  <c r="C68" i="22" s="1"/>
  <c r="D79" i="21" s="1"/>
  <c r="C43" i="22"/>
  <c r="C46" i="22" s="1"/>
  <c r="D76" i="21" s="1"/>
  <c r="C76" i="21" s="1"/>
  <c r="D46" i="21"/>
  <c r="D67" i="21" s="1"/>
  <c r="D69" i="21" s="1"/>
  <c r="D147" i="21" s="1"/>
  <c r="C79" i="21" l="1"/>
  <c r="D80" i="21"/>
  <c r="D148" i="21" s="1"/>
  <c r="D61" i="18"/>
  <c r="D59" i="18"/>
  <c r="D57" i="18"/>
  <c r="D55" i="18"/>
  <c r="D61" i="10"/>
  <c r="D59" i="10"/>
  <c r="D57" i="10"/>
  <c r="D55" i="10"/>
  <c r="C60" i="7"/>
  <c r="D60" i="7" s="1"/>
  <c r="C58" i="7"/>
  <c r="D58" i="7" s="1"/>
  <c r="C56" i="7"/>
  <c r="D56" i="7" s="1"/>
  <c r="C54" i="7"/>
  <c r="D54" i="7" s="1"/>
  <c r="C60" i="15"/>
  <c r="D60" i="15" s="1"/>
  <c r="C58" i="15"/>
  <c r="D58" i="15" s="1"/>
  <c r="C56" i="15"/>
  <c r="D56" i="15" s="1"/>
  <c r="C54" i="15"/>
  <c r="D54" i="15" s="1"/>
  <c r="C60" i="5"/>
  <c r="D60" i="5" s="1"/>
  <c r="C58" i="5"/>
  <c r="C56" i="5"/>
  <c r="D56" i="5" s="1"/>
  <c r="C54" i="5"/>
  <c r="D54" i="5" s="1"/>
  <c r="C60" i="13"/>
  <c r="D60" i="13" s="1"/>
  <c r="C58" i="13"/>
  <c r="C56" i="13"/>
  <c r="D56" i="13" s="1"/>
  <c r="C54" i="13"/>
  <c r="D54" i="13" s="1"/>
  <c r="C60" i="3"/>
  <c r="D60" i="3" s="1"/>
  <c r="C58" i="3"/>
  <c r="C56" i="3"/>
  <c r="D56" i="3" s="1"/>
  <c r="C54" i="3"/>
  <c r="D54" i="3" s="1"/>
  <c r="B64" i="19"/>
  <c r="B42" i="19"/>
  <c r="D58" i="3" l="1"/>
  <c r="D58" i="5"/>
  <c r="D58" i="13"/>
  <c r="B5" i="19"/>
  <c r="B14" i="19" s="1"/>
  <c r="B57" i="19"/>
  <c r="B35" i="19"/>
  <c r="B20" i="19"/>
  <c r="B11" i="19"/>
  <c r="C143" i="18"/>
  <c r="C124" i="18"/>
  <c r="D124" i="18" s="1"/>
  <c r="C122" i="18"/>
  <c r="D122" i="18" s="1"/>
  <c r="C120" i="18"/>
  <c r="D120" i="18" s="1"/>
  <c r="C118" i="18"/>
  <c r="D105" i="18"/>
  <c r="D111" i="18" s="1"/>
  <c r="C53" i="18"/>
  <c r="C51" i="18"/>
  <c r="C40" i="18"/>
  <c r="C46" i="18" s="1"/>
  <c r="B127" i="19" s="1"/>
  <c r="C7" i="18"/>
  <c r="D13" i="18" s="1"/>
  <c r="B6" i="19" s="1"/>
  <c r="C6" i="18"/>
  <c r="D21" i="18" s="1"/>
  <c r="B23" i="19" l="1"/>
  <c r="C26" i="19" s="1"/>
  <c r="D52" i="18" s="1"/>
  <c r="D53" i="18" s="1"/>
  <c r="C17" i="19"/>
  <c r="D50" i="18" s="1"/>
  <c r="D51" i="18" s="1"/>
  <c r="D15" i="18"/>
  <c r="D24" i="18" s="1"/>
  <c r="I29" i="17"/>
  <c r="I28" i="17"/>
  <c r="F9" i="17"/>
  <c r="S82" i="17" s="1"/>
  <c r="F8" i="17"/>
  <c r="R90" i="17" s="1"/>
  <c r="F7" i="17"/>
  <c r="Q98" i="17" s="1"/>
  <c r="F6" i="17"/>
  <c r="P90" i="17" s="1"/>
  <c r="F5" i="17"/>
  <c r="O90" i="17" s="1"/>
  <c r="Q99" i="17" l="1"/>
  <c r="P98" i="17"/>
  <c r="P99" i="17" s="1"/>
  <c r="B58" i="19"/>
  <c r="B7" i="19"/>
  <c r="B120" i="19"/>
  <c r="B36" i="19"/>
  <c r="D62" i="18"/>
  <c r="D68" i="18" s="1"/>
  <c r="D32" i="18"/>
  <c r="D146" i="18"/>
  <c r="D30" i="18"/>
  <c r="D33" i="18"/>
  <c r="Q82" i="17"/>
  <c r="O98" i="17"/>
  <c r="O99" i="17" s="1"/>
  <c r="P82" i="17"/>
  <c r="S90" i="17"/>
  <c r="O82" i="17"/>
  <c r="S98" i="17"/>
  <c r="R82" i="17"/>
  <c r="R98" i="17"/>
  <c r="R99" i="17" s="1"/>
  <c r="Q90" i="17"/>
  <c r="B121" i="19" l="1"/>
  <c r="B122" i="19" s="1"/>
  <c r="C128" i="19" s="1"/>
  <c r="B59" i="19"/>
  <c r="B37" i="19"/>
  <c r="B61" i="19"/>
  <c r="B39" i="19"/>
  <c r="B60" i="19"/>
  <c r="B38" i="19"/>
  <c r="B84" i="19"/>
  <c r="C90" i="19" s="1"/>
  <c r="D88" i="18" s="1"/>
  <c r="B101" i="19"/>
  <c r="C106" i="19" s="1"/>
  <c r="D91" i="18" s="1"/>
  <c r="B111" i="19"/>
  <c r="B49" i="19"/>
  <c r="C54" i="19" s="1"/>
  <c r="D77" i="18" s="1"/>
  <c r="C77" i="18" s="1"/>
  <c r="B93" i="19"/>
  <c r="C98" i="19" s="1"/>
  <c r="D89" i="18" s="1"/>
  <c r="B77" i="19"/>
  <c r="C81" i="19" s="1"/>
  <c r="D87" i="18" s="1"/>
  <c r="B29" i="19"/>
  <c r="C32" i="19" s="1"/>
  <c r="D74" i="18" s="1"/>
  <c r="D31" i="18"/>
  <c r="C32" i="18"/>
  <c r="C30" i="18"/>
  <c r="C33" i="18"/>
  <c r="B62" i="19" l="1"/>
  <c r="B40" i="19"/>
  <c r="C45" i="19" s="1"/>
  <c r="C65" i="19"/>
  <c r="C67" i="19"/>
  <c r="B112" i="19"/>
  <c r="B113" i="19" s="1"/>
  <c r="C118" i="19" s="1"/>
  <c r="D97" i="18" s="1"/>
  <c r="D101" i="18" s="1"/>
  <c r="D109" i="18" s="1"/>
  <c r="D94" i="18"/>
  <c r="D108" i="18" s="1"/>
  <c r="D75" i="18"/>
  <c r="C74" i="18"/>
  <c r="C31" i="18"/>
  <c r="D34" i="18"/>
  <c r="D110" i="18" l="1"/>
  <c r="D112" i="18" s="1"/>
  <c r="D149" i="18" s="1"/>
  <c r="C43" i="19"/>
  <c r="C46" i="19" s="1"/>
  <c r="D76" i="18" s="1"/>
  <c r="C68" i="19"/>
  <c r="D79" i="18" s="1"/>
  <c r="D66" i="18"/>
  <c r="D41" i="18"/>
  <c r="D44" i="18"/>
  <c r="D42" i="18"/>
  <c r="D39" i="18"/>
  <c r="D45" i="18"/>
  <c r="D40" i="18"/>
  <c r="D38" i="18"/>
  <c r="D43" i="18"/>
  <c r="C79" i="18" l="1"/>
  <c r="C76" i="18"/>
  <c r="D80" i="18"/>
  <c r="D148" i="18" s="1"/>
  <c r="D46" i="18"/>
  <c r="D67" i="18" s="1"/>
  <c r="D69" i="18" s="1"/>
  <c r="D147" i="18" l="1"/>
  <c r="E12" i="17" l="1"/>
  <c r="E11" i="17"/>
  <c r="E10" i="17"/>
  <c r="E9" i="17"/>
  <c r="E8" i="17"/>
  <c r="E7" i="17"/>
  <c r="E6" i="17"/>
  <c r="E5" i="17"/>
  <c r="E3" i="17"/>
  <c r="E2" i="17"/>
  <c r="D43" i="17"/>
  <c r="D45" i="17"/>
  <c r="D40" i="17"/>
  <c r="D38" i="17"/>
  <c r="D33" i="17"/>
  <c r="D31" i="17"/>
  <c r="D26" i="17"/>
  <c r="D24" i="17"/>
  <c r="F10" i="17"/>
  <c r="F3" i="17"/>
  <c r="M82" i="17" s="1"/>
  <c r="M83" i="17" s="1"/>
  <c r="O103" i="17" s="1"/>
  <c r="F2" i="17"/>
  <c r="C7" i="10"/>
  <c r="C6" i="10"/>
  <c r="C6" i="7"/>
  <c r="C6" i="15"/>
  <c r="C6" i="5"/>
  <c r="C6" i="13"/>
  <c r="C6" i="3"/>
  <c r="K90" i="17" l="1"/>
  <c r="K91" i="17" s="1"/>
  <c r="O104" i="17" s="1"/>
  <c r="K82" i="17"/>
  <c r="T98" i="17"/>
  <c r="T99" i="17" s="1"/>
  <c r="O106" i="17" s="1"/>
  <c r="T82" i="17"/>
  <c r="T90" i="17"/>
  <c r="N90" i="17"/>
  <c r="L82" i="17"/>
  <c r="L98" i="17"/>
  <c r="N82" i="17"/>
  <c r="M98" i="17"/>
  <c r="N98" i="17"/>
  <c r="L90" i="17"/>
  <c r="M90" i="17"/>
  <c r="I98" i="17"/>
  <c r="J90" i="17"/>
  <c r="J98" i="17"/>
  <c r="K98" i="17"/>
  <c r="I90" i="17"/>
  <c r="I82" i="17"/>
  <c r="J82" i="17"/>
  <c r="E4" i="17"/>
  <c r="E13" i="17" s="1"/>
  <c r="D46" i="17"/>
  <c r="D27" i="17"/>
  <c r="D41" i="17"/>
  <c r="D34" i="17"/>
  <c r="K99" i="17" l="1"/>
  <c r="K83" i="17"/>
  <c r="O102" i="17" s="1"/>
  <c r="V99" i="17"/>
  <c r="U99" i="17"/>
  <c r="W82" i="17"/>
  <c r="W90" i="17"/>
  <c r="X90" i="17" s="1"/>
  <c r="W98" i="17"/>
  <c r="C153" i="16"/>
  <c r="C136" i="16"/>
  <c r="B63" i="16"/>
  <c r="B41" i="16"/>
  <c r="B161" i="16"/>
  <c r="B156" i="16"/>
  <c r="B150" i="16"/>
  <c r="B151" i="16" s="1"/>
  <c r="B146" i="16"/>
  <c r="B142" i="16"/>
  <c r="B139" i="16"/>
  <c r="B56" i="16"/>
  <c r="B34" i="16"/>
  <c r="B19" i="16"/>
  <c r="B10" i="16"/>
  <c r="B5" i="16"/>
  <c r="B22" i="16" s="1"/>
  <c r="C25" i="16" s="1"/>
  <c r="D51" i="15" s="1"/>
  <c r="C142" i="15"/>
  <c r="C123" i="15"/>
  <c r="D123" i="15" s="1"/>
  <c r="C121" i="15"/>
  <c r="D121" i="15" s="1"/>
  <c r="C119" i="15"/>
  <c r="D119" i="15" s="1"/>
  <c r="C117" i="15"/>
  <c r="D104" i="15"/>
  <c r="D110" i="15" s="1"/>
  <c r="C52" i="15"/>
  <c r="C50" i="15"/>
  <c r="C45" i="15"/>
  <c r="B125" i="16" s="1"/>
  <c r="C39" i="15"/>
  <c r="D12" i="15"/>
  <c r="D14" i="15" s="1"/>
  <c r="D23" i="15" s="1"/>
  <c r="B57" i="16" s="1"/>
  <c r="C153" i="14"/>
  <c r="C136" i="14"/>
  <c r="B63" i="14"/>
  <c r="B41" i="14"/>
  <c r="B161" i="14"/>
  <c r="B162" i="14" s="1"/>
  <c r="B163" i="14" s="1"/>
  <c r="B156" i="14"/>
  <c r="B150" i="14"/>
  <c r="B151" i="14" s="1"/>
  <c r="B146" i="14"/>
  <c r="B142" i="14"/>
  <c r="B139" i="14"/>
  <c r="B56" i="14"/>
  <c r="B34" i="14"/>
  <c r="B19" i="14"/>
  <c r="B10" i="14"/>
  <c r="B5" i="14"/>
  <c r="B13" i="14" s="1"/>
  <c r="C142" i="13"/>
  <c r="C123" i="13"/>
  <c r="D123" i="13" s="1"/>
  <c r="C121" i="13"/>
  <c r="D121" i="13" s="1"/>
  <c r="C119" i="13"/>
  <c r="D119" i="13" s="1"/>
  <c r="C117" i="13"/>
  <c r="D104" i="13"/>
  <c r="D110" i="13" s="1"/>
  <c r="C52" i="13"/>
  <c r="C50" i="13"/>
  <c r="C39" i="13"/>
  <c r="C45" i="13" s="1"/>
  <c r="B125" i="14" s="1"/>
  <c r="D12" i="13"/>
  <c r="C152" i="14" s="1"/>
  <c r="B64" i="11"/>
  <c r="B42" i="11"/>
  <c r="B23" i="11"/>
  <c r="C26" i="11" s="1"/>
  <c r="D52" i="10" s="1"/>
  <c r="D53" i="10" s="1"/>
  <c r="B14" i="11"/>
  <c r="B5" i="11"/>
  <c r="B126" i="11"/>
  <c r="B57" i="11"/>
  <c r="B35" i="11"/>
  <c r="B20" i="11"/>
  <c r="B11" i="11"/>
  <c r="C143" i="10"/>
  <c r="C124" i="10"/>
  <c r="D124" i="10" s="1"/>
  <c r="C122" i="10"/>
  <c r="D122" i="10" s="1"/>
  <c r="C120" i="10"/>
  <c r="D120" i="10" s="1"/>
  <c r="C118" i="10"/>
  <c r="D105" i="10"/>
  <c r="D111" i="10" s="1"/>
  <c r="C53" i="10"/>
  <c r="C51" i="10"/>
  <c r="C40" i="10"/>
  <c r="C46" i="10" s="1"/>
  <c r="B127" i="11" s="1"/>
  <c r="D21" i="10"/>
  <c r="D13" i="10"/>
  <c r="B6" i="11" s="1"/>
  <c r="O107" i="17" l="1"/>
  <c r="B162" i="16"/>
  <c r="B163" i="16" s="1"/>
  <c r="O105" i="17"/>
  <c r="X98" i="17"/>
  <c r="X104" i="17" s="1"/>
  <c r="B22" i="14"/>
  <c r="C25" i="14" s="1"/>
  <c r="D51" i="13" s="1"/>
  <c r="D52" i="13" s="1"/>
  <c r="X107" i="17"/>
  <c r="X103" i="17"/>
  <c r="X82" i="17"/>
  <c r="X102" i="17" s="1"/>
  <c r="D14" i="13"/>
  <c r="C154" i="14" s="1"/>
  <c r="C155" i="14" s="1"/>
  <c r="C158" i="14" s="1"/>
  <c r="C164" i="14" s="1"/>
  <c r="B6" i="14"/>
  <c r="C16" i="14" s="1"/>
  <c r="D49" i="13" s="1"/>
  <c r="D50" i="13" s="1"/>
  <c r="D15" i="10"/>
  <c r="D24" i="10" s="1"/>
  <c r="D146" i="10" s="1"/>
  <c r="C137" i="16"/>
  <c r="B7" i="16"/>
  <c r="B118" i="16"/>
  <c r="C154" i="16"/>
  <c r="B35" i="16"/>
  <c r="C152" i="16"/>
  <c r="B6" i="16"/>
  <c r="C135" i="16"/>
  <c r="C135" i="14"/>
  <c r="D52" i="15"/>
  <c r="B13" i="16"/>
  <c r="D31" i="15"/>
  <c r="D145" i="15"/>
  <c r="D29" i="15"/>
  <c r="D32" i="15"/>
  <c r="C17" i="11"/>
  <c r="D50" i="10" s="1"/>
  <c r="D51" i="10" s="1"/>
  <c r="O108" i="17" l="1"/>
  <c r="D61" i="13"/>
  <c r="D67" i="13" s="1"/>
  <c r="X106" i="17"/>
  <c r="D23" i="13"/>
  <c r="C137" i="14"/>
  <c r="C138" i="14" s="1"/>
  <c r="C141" i="14" s="1"/>
  <c r="C143" i="14" s="1"/>
  <c r="C138" i="16"/>
  <c r="C141" i="16" s="1"/>
  <c r="C143" i="16" s="1"/>
  <c r="X108" i="17"/>
  <c r="X101" i="17"/>
  <c r="X112" i="17" s="1"/>
  <c r="C16" i="16"/>
  <c r="D49" i="15" s="1"/>
  <c r="D50" i="15" s="1"/>
  <c r="D61" i="15" s="1"/>
  <c r="D67" i="15" s="1"/>
  <c r="C155" i="16"/>
  <c r="C158" i="16" s="1"/>
  <c r="C164" i="16" s="1"/>
  <c r="B36" i="11"/>
  <c r="B58" i="11"/>
  <c r="B7" i="11"/>
  <c r="B120" i="11"/>
  <c r="D32" i="10"/>
  <c r="D30" i="10"/>
  <c r="D33" i="10"/>
  <c r="C33" i="10" s="1"/>
  <c r="B76" i="16"/>
  <c r="C80" i="16" s="1"/>
  <c r="D86" i="15" s="1"/>
  <c r="B92" i="16"/>
  <c r="C97" i="16" s="1"/>
  <c r="D88" i="15" s="1"/>
  <c r="B109" i="16"/>
  <c r="B110" i="16" s="1"/>
  <c r="B111" i="16" s="1"/>
  <c r="C116" i="16" s="1"/>
  <c r="D96" i="15" s="1"/>
  <c r="D100" i="15" s="1"/>
  <c r="D108" i="15" s="1"/>
  <c r="B28" i="16"/>
  <c r="C31" i="16" s="1"/>
  <c r="D73" i="15" s="1"/>
  <c r="B48" i="16"/>
  <c r="C53" i="16" s="1"/>
  <c r="D76" i="15" s="1"/>
  <c r="C76" i="15" s="1"/>
  <c r="B83" i="16"/>
  <c r="C89" i="16" s="1"/>
  <c r="D87" i="15" s="1"/>
  <c r="B119" i="16"/>
  <c r="B120" i="16" s="1"/>
  <c r="C126" i="16" s="1"/>
  <c r="B58" i="16"/>
  <c r="B36" i="16"/>
  <c r="B38" i="16"/>
  <c r="B60" i="16"/>
  <c r="B37" i="16"/>
  <c r="B59" i="16"/>
  <c r="B100" i="16"/>
  <c r="C105" i="16" s="1"/>
  <c r="D90" i="15" s="1"/>
  <c r="C29" i="15"/>
  <c r="C32" i="15"/>
  <c r="D30" i="15"/>
  <c r="C31" i="15"/>
  <c r="D62" i="10"/>
  <c r="D68" i="10" s="1"/>
  <c r="X105" i="17" l="1"/>
  <c r="K68" i="17"/>
  <c r="K39" i="17"/>
  <c r="K72" i="17"/>
  <c r="B35" i="14"/>
  <c r="B7" i="14"/>
  <c r="D29" i="13"/>
  <c r="D31" i="13"/>
  <c r="B118" i="14"/>
  <c r="D145" i="13"/>
  <c r="B57" i="14"/>
  <c r="D32" i="13"/>
  <c r="X109" i="17"/>
  <c r="F40" i="26" s="1"/>
  <c r="K64" i="17"/>
  <c r="K60" i="17"/>
  <c r="K56" i="17"/>
  <c r="K44" i="17"/>
  <c r="K52" i="17"/>
  <c r="K40" i="17"/>
  <c r="K32" i="17"/>
  <c r="K29" i="17"/>
  <c r="K35" i="17"/>
  <c r="K48" i="17"/>
  <c r="D31" i="10"/>
  <c r="D34" i="10" s="1"/>
  <c r="B121" i="11"/>
  <c r="B122" i="11" s="1"/>
  <c r="C128" i="11" s="1"/>
  <c r="B37" i="11"/>
  <c r="B59" i="11"/>
  <c r="B38" i="11"/>
  <c r="B60" i="11"/>
  <c r="B61" i="11"/>
  <c r="B39" i="11"/>
  <c r="C32" i="10"/>
  <c r="B84" i="11"/>
  <c r="C90" i="11" s="1"/>
  <c r="D88" i="10" s="1"/>
  <c r="B93" i="11"/>
  <c r="C98" i="11" s="1"/>
  <c r="D89" i="10" s="1"/>
  <c r="B49" i="11"/>
  <c r="C54" i="11" s="1"/>
  <c r="D77" i="10" s="1"/>
  <c r="C77" i="10" s="1"/>
  <c r="B111" i="11"/>
  <c r="B112" i="11" s="1"/>
  <c r="B113" i="11" s="1"/>
  <c r="C118" i="11" s="1"/>
  <c r="D97" i="10" s="1"/>
  <c r="D101" i="10" s="1"/>
  <c r="D109" i="10" s="1"/>
  <c r="B77" i="11"/>
  <c r="C81" i="11" s="1"/>
  <c r="D87" i="10" s="1"/>
  <c r="B101" i="11"/>
  <c r="C106" i="11" s="1"/>
  <c r="D91" i="10" s="1"/>
  <c r="B29" i="11"/>
  <c r="C32" i="11" s="1"/>
  <c r="D74" i="10" s="1"/>
  <c r="C30" i="10"/>
  <c r="D74" i="15"/>
  <c r="C73" i="15"/>
  <c r="B39" i="16"/>
  <c r="D93" i="15"/>
  <c r="D107" i="15" s="1"/>
  <c r="D109" i="15" s="1"/>
  <c r="D111" i="15" s="1"/>
  <c r="D148" i="15" s="1"/>
  <c r="B61" i="16"/>
  <c r="C30" i="15"/>
  <c r="D33" i="15"/>
  <c r="B48" i="14" l="1"/>
  <c r="C53" i="14" s="1"/>
  <c r="D76" i="13" s="1"/>
  <c r="C76" i="13" s="1"/>
  <c r="B83" i="14"/>
  <c r="C89" i="14" s="1"/>
  <c r="D87" i="13" s="1"/>
  <c r="B109" i="14"/>
  <c r="B110" i="14" s="1"/>
  <c r="B111" i="14" s="1"/>
  <c r="C116" i="14" s="1"/>
  <c r="D96" i="13" s="1"/>
  <c r="D100" i="13" s="1"/>
  <c r="D108" i="13" s="1"/>
  <c r="B76" i="14"/>
  <c r="C80" i="14" s="1"/>
  <c r="D86" i="13" s="1"/>
  <c r="B92" i="14"/>
  <c r="C97" i="14" s="1"/>
  <c r="D88" i="13" s="1"/>
  <c r="B100" i="14"/>
  <c r="C105" i="14" s="1"/>
  <c r="D90" i="13" s="1"/>
  <c r="B28" i="14"/>
  <c r="C31" i="14" s="1"/>
  <c r="D73" i="13" s="1"/>
  <c r="B119" i="14"/>
  <c r="B120" i="14" s="1"/>
  <c r="C126" i="14" s="1"/>
  <c r="C29" i="13"/>
  <c r="B58" i="14"/>
  <c r="B36" i="14"/>
  <c r="B59" i="14"/>
  <c r="C31" i="13"/>
  <c r="D30" i="13"/>
  <c r="B37" i="14"/>
  <c r="C32" i="13"/>
  <c r="B38" i="14"/>
  <c r="B60" i="14"/>
  <c r="C31" i="10"/>
  <c r="D94" i="10"/>
  <c r="D108" i="10" s="1"/>
  <c r="D110" i="10" s="1"/>
  <c r="D112" i="10" s="1"/>
  <c r="D149" i="10" s="1"/>
  <c r="B62" i="11"/>
  <c r="B40" i="11"/>
  <c r="D75" i="10"/>
  <c r="C74" i="10"/>
  <c r="C42" i="16"/>
  <c r="C44" i="16"/>
  <c r="C64" i="16"/>
  <c r="C66" i="16"/>
  <c r="D65" i="15"/>
  <c r="D41" i="15"/>
  <c r="D39" i="15"/>
  <c r="D43" i="15"/>
  <c r="D42" i="15"/>
  <c r="D37" i="15"/>
  <c r="D44" i="15"/>
  <c r="D40" i="15"/>
  <c r="D38" i="15"/>
  <c r="D66" i="10"/>
  <c r="D45" i="10"/>
  <c r="D44" i="10"/>
  <c r="D42" i="10"/>
  <c r="D43" i="10"/>
  <c r="D40" i="10"/>
  <c r="D41" i="10"/>
  <c r="D38" i="10"/>
  <c r="D39" i="10"/>
  <c r="B39" i="14" l="1"/>
  <c r="C42" i="14" s="1"/>
  <c r="D93" i="13"/>
  <c r="D107" i="13" s="1"/>
  <c r="D109" i="13" s="1"/>
  <c r="D111" i="13" s="1"/>
  <c r="D148" i="13" s="1"/>
  <c r="B61" i="14"/>
  <c r="D74" i="13"/>
  <c r="C73" i="13"/>
  <c r="D33" i="13"/>
  <c r="C30" i="13"/>
  <c r="C65" i="11"/>
  <c r="C67" i="11"/>
  <c r="C43" i="11"/>
  <c r="C45" i="11"/>
  <c r="C45" i="16"/>
  <c r="D75" i="15" s="1"/>
  <c r="C67" i="16"/>
  <c r="D78" i="15" s="1"/>
  <c r="D45" i="15"/>
  <c r="D66" i="15" s="1"/>
  <c r="D68" i="15" s="1"/>
  <c r="D46" i="10"/>
  <c r="D67" i="10" s="1"/>
  <c r="D69" i="10" s="1"/>
  <c r="C44" i="14" l="1"/>
  <c r="C45" i="14" s="1"/>
  <c r="D75" i="13" s="1"/>
  <c r="C75" i="13" s="1"/>
  <c r="D37" i="13"/>
  <c r="D42" i="13"/>
  <c r="D65" i="13"/>
  <c r="D43" i="13"/>
  <c r="D40" i="13"/>
  <c r="D39" i="13"/>
  <c r="D41" i="13"/>
  <c r="D44" i="13"/>
  <c r="D38" i="13"/>
  <c r="C64" i="14"/>
  <c r="C66" i="14"/>
  <c r="C68" i="11"/>
  <c r="D79" i="10" s="1"/>
  <c r="C79" i="10" s="1"/>
  <c r="C46" i="11"/>
  <c r="D76" i="10" s="1"/>
  <c r="C78" i="15"/>
  <c r="C75" i="15"/>
  <c r="D79" i="15"/>
  <c r="D147" i="15" s="1"/>
  <c r="D146" i="15"/>
  <c r="D147" i="10"/>
  <c r="C67" i="14" l="1"/>
  <c r="D78" i="13" s="1"/>
  <c r="D45" i="13"/>
  <c r="D66" i="13" s="1"/>
  <c r="D68" i="13" s="1"/>
  <c r="D146" i="13" s="1"/>
  <c r="C76" i="10"/>
  <c r="D80" i="10"/>
  <c r="C78" i="13" l="1"/>
  <c r="D79" i="13"/>
  <c r="D148" i="10"/>
  <c r="D147" i="13" l="1"/>
  <c r="E16" i="9"/>
  <c r="F16" i="9" s="1"/>
  <c r="E15" i="9"/>
  <c r="F15" i="9" s="1"/>
  <c r="E14" i="9"/>
  <c r="F14" i="9" s="1"/>
  <c r="E13" i="9"/>
  <c r="F13" i="9" s="1"/>
  <c r="E12" i="9"/>
  <c r="F12" i="9" s="1"/>
  <c r="E11" i="9"/>
  <c r="F11" i="9" s="1"/>
  <c r="E7" i="9"/>
  <c r="F7" i="9" s="1"/>
  <c r="B6" i="9"/>
  <c r="E6" i="9" s="1"/>
  <c r="F6" i="9" s="1"/>
  <c r="E5" i="9"/>
  <c r="F5" i="9" s="1"/>
  <c r="E4" i="9"/>
  <c r="F4" i="9" s="1"/>
  <c r="E3" i="9"/>
  <c r="F3" i="9" s="1"/>
  <c r="F8" i="9" l="1"/>
  <c r="D116" i="3" s="1"/>
  <c r="F17" i="9"/>
  <c r="C153" i="8"/>
  <c r="C136" i="8"/>
  <c r="B63" i="8"/>
  <c r="B41" i="8"/>
  <c r="B161" i="8"/>
  <c r="B156" i="8"/>
  <c r="B150" i="8"/>
  <c r="B151" i="8" s="1"/>
  <c r="B146" i="8"/>
  <c r="B142" i="8"/>
  <c r="B139" i="8"/>
  <c r="B56" i="8"/>
  <c r="B34" i="8"/>
  <c r="B19" i="8"/>
  <c r="B10" i="8"/>
  <c r="B5" i="8"/>
  <c r="B22" i="8" s="1"/>
  <c r="C25" i="8" s="1"/>
  <c r="D51" i="7" s="1"/>
  <c r="D52" i="7" s="1"/>
  <c r="C142" i="7"/>
  <c r="C123" i="7"/>
  <c r="D123" i="7" s="1"/>
  <c r="C121" i="7"/>
  <c r="D121" i="7" s="1"/>
  <c r="C119" i="7"/>
  <c r="D119" i="7" s="1"/>
  <c r="C117" i="7"/>
  <c r="D104" i="7"/>
  <c r="D110" i="7" s="1"/>
  <c r="C52" i="7"/>
  <c r="C50" i="7"/>
  <c r="C39" i="7"/>
  <c r="C45" i="7" s="1"/>
  <c r="B125" i="8" s="1"/>
  <c r="D12" i="7"/>
  <c r="C135" i="8" s="1"/>
  <c r="B5" i="6"/>
  <c r="B22" i="6" s="1"/>
  <c r="C25" i="6" s="1"/>
  <c r="D51" i="5" s="1"/>
  <c r="D52" i="5" s="1"/>
  <c r="C153" i="6"/>
  <c r="C136" i="6"/>
  <c r="B63" i="6"/>
  <c r="B41" i="6"/>
  <c r="B161" i="6"/>
  <c r="B156" i="6"/>
  <c r="B150" i="6"/>
  <c r="B151" i="6" s="1"/>
  <c r="B162" i="6" s="1"/>
  <c r="B163" i="6" s="1"/>
  <c r="B146" i="6"/>
  <c r="B142" i="6"/>
  <c r="B139" i="6"/>
  <c r="B56" i="6"/>
  <c r="B34" i="6"/>
  <c r="B19" i="6"/>
  <c r="B10" i="6"/>
  <c r="C142" i="5"/>
  <c r="C123" i="5"/>
  <c r="D123" i="5" s="1"/>
  <c r="C121" i="5"/>
  <c r="D121" i="5" s="1"/>
  <c r="C119" i="5"/>
  <c r="D119" i="5" s="1"/>
  <c r="C117" i="5"/>
  <c r="D104" i="5"/>
  <c r="D110" i="5" s="1"/>
  <c r="C52" i="5"/>
  <c r="C50" i="5"/>
  <c r="C39" i="5"/>
  <c r="C45" i="5" s="1"/>
  <c r="B125" i="6" s="1"/>
  <c r="D12" i="5"/>
  <c r="B161" i="4"/>
  <c r="B156" i="4"/>
  <c r="B162" i="8" l="1"/>
  <c r="B163" i="8" s="1"/>
  <c r="B13" i="8"/>
  <c r="D116" i="7"/>
  <c r="D117" i="7" s="1"/>
  <c r="D124" i="7" s="1"/>
  <c r="D149" i="7" s="1"/>
  <c r="D116" i="23"/>
  <c r="D116" i="13"/>
  <c r="D117" i="13" s="1"/>
  <c r="D124" i="13" s="1"/>
  <c r="D129" i="13" s="1"/>
  <c r="D130" i="13" s="1"/>
  <c r="D131" i="13" s="1"/>
  <c r="D132" i="13" s="1"/>
  <c r="D117" i="21"/>
  <c r="D117" i="18"/>
  <c r="D118" i="18" s="1"/>
  <c r="D125" i="18" s="1"/>
  <c r="D117" i="10"/>
  <c r="D118" i="10" s="1"/>
  <c r="D125" i="10" s="1"/>
  <c r="D116" i="15"/>
  <c r="D116" i="5"/>
  <c r="D117" i="5" s="1"/>
  <c r="D124" i="5" s="1"/>
  <c r="D117" i="23"/>
  <c r="D124" i="23" s="1"/>
  <c r="D149" i="23" s="1"/>
  <c r="D14" i="5"/>
  <c r="D23" i="5" s="1"/>
  <c r="D32" i="5" s="1"/>
  <c r="B6" i="6"/>
  <c r="C152" i="6"/>
  <c r="C135" i="6"/>
  <c r="B6" i="8"/>
  <c r="C16" i="8" s="1"/>
  <c r="D49" i="7" s="1"/>
  <c r="D50" i="7" s="1"/>
  <c r="C152" i="8"/>
  <c r="D14" i="7"/>
  <c r="B13" i="6"/>
  <c r="D117" i="15" l="1"/>
  <c r="D124" i="15" s="1"/>
  <c r="D150" i="18"/>
  <c r="D151" i="18" s="1"/>
  <c r="D130" i="18"/>
  <c r="D131" i="18" s="1"/>
  <c r="D132" i="18" s="1"/>
  <c r="D133" i="18" s="1"/>
  <c r="D149" i="13"/>
  <c r="D150" i="13" s="1"/>
  <c r="D150" i="10"/>
  <c r="D151" i="10" s="1"/>
  <c r="D130" i="10"/>
  <c r="D131" i="10" s="1"/>
  <c r="D132" i="10" s="1"/>
  <c r="D133" i="10" s="1"/>
  <c r="D118" i="21"/>
  <c r="D125" i="21" s="1"/>
  <c r="D136" i="13"/>
  <c r="D140" i="13"/>
  <c r="D135" i="13"/>
  <c r="D61" i="7"/>
  <c r="D67" i="7" s="1"/>
  <c r="B38" i="6"/>
  <c r="B60" i="6"/>
  <c r="C137" i="6"/>
  <c r="C138" i="6" s="1"/>
  <c r="C141" i="6" s="1"/>
  <c r="C143" i="6" s="1"/>
  <c r="C154" i="6"/>
  <c r="C155" i="6" s="1"/>
  <c r="C158" i="6" s="1"/>
  <c r="C164" i="6" s="1"/>
  <c r="D145" i="5"/>
  <c r="D31" i="5"/>
  <c r="B7" i="6"/>
  <c r="B118" i="6"/>
  <c r="B57" i="6"/>
  <c r="B35" i="6"/>
  <c r="C137" i="8"/>
  <c r="C138" i="8" s="1"/>
  <c r="C141" i="8" s="1"/>
  <c r="C143" i="8" s="1"/>
  <c r="D15" i="7" s="1"/>
  <c r="C154" i="8"/>
  <c r="C155" i="8" s="1"/>
  <c r="C158" i="8" s="1"/>
  <c r="C164" i="8" s="1"/>
  <c r="D16" i="7" s="1"/>
  <c r="C16" i="6"/>
  <c r="D49" i="5" s="1"/>
  <c r="D50" i="5" s="1"/>
  <c r="D61" i="5" s="1"/>
  <c r="D67" i="5" s="1"/>
  <c r="D29" i="5"/>
  <c r="C32" i="5"/>
  <c r="D149" i="5"/>
  <c r="D129" i="15" l="1"/>
  <c r="D130" i="15" s="1"/>
  <c r="D131" i="15" s="1"/>
  <c r="D132" i="15" s="1"/>
  <c r="D136" i="15" s="1"/>
  <c r="D149" i="15"/>
  <c r="D150" i="15" s="1"/>
  <c r="C29" i="5"/>
  <c r="D150" i="21"/>
  <c r="D151" i="21" s="1"/>
  <c r="D130" i="21"/>
  <c r="D131" i="21" s="1"/>
  <c r="D132" i="21" s="1"/>
  <c r="D133" i="21" s="1"/>
  <c r="D137" i="10"/>
  <c r="D136" i="10"/>
  <c r="D141" i="10"/>
  <c r="D141" i="18"/>
  <c r="D137" i="18"/>
  <c r="D136" i="18"/>
  <c r="D142" i="13"/>
  <c r="D151" i="13" s="1"/>
  <c r="D153" i="13" s="1"/>
  <c r="J29" i="17" s="1"/>
  <c r="L29" i="17" s="1"/>
  <c r="M29" i="17" s="1"/>
  <c r="C31" i="5"/>
  <c r="D23" i="7"/>
  <c r="D31" i="7" s="1"/>
  <c r="B37" i="8" s="1"/>
  <c r="B119" i="6"/>
  <c r="B120" i="6" s="1"/>
  <c r="C126" i="6" s="1"/>
  <c r="B58" i="6"/>
  <c r="B36" i="6"/>
  <c r="B59" i="6"/>
  <c r="B37" i="6"/>
  <c r="B100" i="6"/>
  <c r="C105" i="6" s="1"/>
  <c r="D90" i="5" s="1"/>
  <c r="B48" i="6"/>
  <c r="C53" i="6" s="1"/>
  <c r="D76" i="5" s="1"/>
  <c r="C76" i="5" s="1"/>
  <c r="B28" i="6"/>
  <c r="C31" i="6" s="1"/>
  <c r="D73" i="5" s="1"/>
  <c r="B83" i="6"/>
  <c r="C89" i="6" s="1"/>
  <c r="D87" i="5" s="1"/>
  <c r="B109" i="6"/>
  <c r="B110" i="6" s="1"/>
  <c r="B111" i="6" s="1"/>
  <c r="C116" i="6" s="1"/>
  <c r="D96" i="5" s="1"/>
  <c r="D100" i="5" s="1"/>
  <c r="D108" i="5" s="1"/>
  <c r="B92" i="6"/>
  <c r="C97" i="6" s="1"/>
  <c r="D88" i="5" s="1"/>
  <c r="B76" i="6"/>
  <c r="C80" i="6" s="1"/>
  <c r="D86" i="5" s="1"/>
  <c r="D30" i="5"/>
  <c r="D33" i="5" s="1"/>
  <c r="D140" i="15" l="1"/>
  <c r="D135" i="15"/>
  <c r="B39" i="6"/>
  <c r="C42" i="6" s="1"/>
  <c r="D141" i="21"/>
  <c r="D136" i="21"/>
  <c r="D137" i="21"/>
  <c r="D143" i="10"/>
  <c r="D152" i="10" s="1"/>
  <c r="D154" i="10" s="1"/>
  <c r="D143" i="18"/>
  <c r="D152" i="18" s="1"/>
  <c r="D154" i="18" s="1"/>
  <c r="C30" i="5"/>
  <c r="B35" i="8"/>
  <c r="B118" i="8"/>
  <c r="D32" i="7"/>
  <c r="D145" i="7"/>
  <c r="C31" i="7"/>
  <c r="D29" i="7"/>
  <c r="B59" i="8"/>
  <c r="B7" i="8"/>
  <c r="B48" i="8" s="1"/>
  <c r="C53" i="8" s="1"/>
  <c r="D76" i="7" s="1"/>
  <c r="C76" i="7" s="1"/>
  <c r="B57" i="8"/>
  <c r="B61" i="6"/>
  <c r="C66" i="6" s="1"/>
  <c r="D93" i="5"/>
  <c r="D107" i="5" s="1"/>
  <c r="D109" i="5" s="1"/>
  <c r="D111" i="5" s="1"/>
  <c r="D148" i="5" s="1"/>
  <c r="D74" i="5"/>
  <c r="C73" i="5"/>
  <c r="D65" i="5"/>
  <c r="D43" i="5"/>
  <c r="D42" i="5"/>
  <c r="D41" i="5"/>
  <c r="D38" i="5"/>
  <c r="D40" i="5"/>
  <c r="D37" i="5"/>
  <c r="D39" i="5"/>
  <c r="D44" i="5"/>
  <c r="D142" i="15" l="1"/>
  <c r="D151" i="15" s="1"/>
  <c r="D153" i="15" s="1"/>
  <c r="J32" i="17" s="1"/>
  <c r="L32" i="17" s="1"/>
  <c r="M32" i="17" s="1"/>
  <c r="B58" i="8"/>
  <c r="B36" i="8"/>
  <c r="B119" i="8"/>
  <c r="B120" i="8" s="1"/>
  <c r="C126" i="8" s="1"/>
  <c r="C29" i="7"/>
  <c r="C44" i="6"/>
  <c r="C45" i="6" s="1"/>
  <c r="D75" i="5" s="1"/>
  <c r="D143" i="21"/>
  <c r="D152" i="21" s="1"/>
  <c r="D154" i="21" s="1"/>
  <c r="J34" i="17" s="1"/>
  <c r="L34" i="17" s="1"/>
  <c r="M34" i="17" s="1"/>
  <c r="J31" i="17"/>
  <c r="L31" i="17" s="1"/>
  <c r="M31" i="17" s="1"/>
  <c r="J38" i="17"/>
  <c r="L38" i="17" s="1"/>
  <c r="M38" i="17" s="1"/>
  <c r="J47" i="17"/>
  <c r="L47" i="17" s="1"/>
  <c r="M47" i="17" s="1"/>
  <c r="J59" i="17"/>
  <c r="L59" i="17" s="1"/>
  <c r="M59" i="17" s="1"/>
  <c r="J51" i="17"/>
  <c r="L51" i="17" s="1"/>
  <c r="M51" i="17" s="1"/>
  <c r="J28" i="17"/>
  <c r="L28" i="17" s="1"/>
  <c r="M28" i="17" s="1"/>
  <c r="N29" i="17" s="1"/>
  <c r="K23" i="17" s="1"/>
  <c r="G17" i="28" s="1"/>
  <c r="I17" i="28" s="1"/>
  <c r="J63" i="17"/>
  <c r="L63" i="17" s="1"/>
  <c r="M63" i="17" s="1"/>
  <c r="J67" i="17"/>
  <c r="J43" i="17"/>
  <c r="L43" i="17" s="1"/>
  <c r="M43" i="17" s="1"/>
  <c r="J55" i="17"/>
  <c r="L55" i="17" s="1"/>
  <c r="M55" i="17" s="1"/>
  <c r="L67" i="17"/>
  <c r="M67" i="17" s="1"/>
  <c r="L71" i="17"/>
  <c r="M71" i="17" s="1"/>
  <c r="J71" i="17"/>
  <c r="B76" i="8"/>
  <c r="C80" i="8" s="1"/>
  <c r="D86" i="7" s="1"/>
  <c r="B28" i="8"/>
  <c r="C31" i="8" s="1"/>
  <c r="D73" i="7" s="1"/>
  <c r="C73" i="7" s="1"/>
  <c r="B109" i="8"/>
  <c r="B110" i="8" s="1"/>
  <c r="B111" i="8" s="1"/>
  <c r="C116" i="8" s="1"/>
  <c r="D96" i="7" s="1"/>
  <c r="D100" i="7" s="1"/>
  <c r="D108" i="7" s="1"/>
  <c r="B92" i="8"/>
  <c r="C97" i="8" s="1"/>
  <c r="D88" i="7" s="1"/>
  <c r="B83" i="8"/>
  <c r="C89" i="8" s="1"/>
  <c r="D87" i="7" s="1"/>
  <c r="B100" i="8"/>
  <c r="C105" i="8" s="1"/>
  <c r="D90" i="7" s="1"/>
  <c r="C32" i="7"/>
  <c r="B60" i="8"/>
  <c r="B61" i="8" s="1"/>
  <c r="C64" i="8" s="1"/>
  <c r="B38" i="8"/>
  <c r="B39" i="8" s="1"/>
  <c r="C44" i="8" s="1"/>
  <c r="D30" i="7"/>
  <c r="D33" i="7" s="1"/>
  <c r="D65" i="7" s="1"/>
  <c r="C64" i="6"/>
  <c r="C67" i="6" s="1"/>
  <c r="D78" i="5" s="1"/>
  <c r="D45" i="5"/>
  <c r="D66" i="5" s="1"/>
  <c r="D68" i="5" s="1"/>
  <c r="J40" i="17" l="1"/>
  <c r="L40" i="17" s="1"/>
  <c r="M40" i="17" s="1"/>
  <c r="N40" i="17" s="1"/>
  <c r="N7" i="17" s="1"/>
  <c r="G19" i="28" s="1"/>
  <c r="I19" i="28" s="1"/>
  <c r="N32" i="17"/>
  <c r="K7" i="17" s="1"/>
  <c r="F30" i="1" s="1"/>
  <c r="K25" i="17"/>
  <c r="F34" i="1"/>
  <c r="G34" i="1" s="1"/>
  <c r="H34" i="1" s="1"/>
  <c r="C75" i="5"/>
  <c r="D44" i="7"/>
  <c r="D74" i="7"/>
  <c r="D93" i="7"/>
  <c r="D107" i="7" s="1"/>
  <c r="D109" i="7" s="1"/>
  <c r="D111" i="7" s="1"/>
  <c r="D148" i="7" s="1"/>
  <c r="D37" i="7"/>
  <c r="D43" i="7"/>
  <c r="D40" i="7"/>
  <c r="D41" i="7"/>
  <c r="D38" i="7"/>
  <c r="C30" i="7"/>
  <c r="D39" i="7"/>
  <c r="D42" i="7"/>
  <c r="C66" i="8"/>
  <c r="C67" i="8" s="1"/>
  <c r="D78" i="7" s="1"/>
  <c r="D79" i="5"/>
  <c r="D147" i="5" s="1"/>
  <c r="C78" i="5"/>
  <c r="C42" i="8"/>
  <c r="C45" i="8" s="1"/>
  <c r="D75" i="7" s="1"/>
  <c r="D146" i="5"/>
  <c r="K9" i="17" l="1"/>
  <c r="G15" i="28"/>
  <c r="I15" i="28" s="1"/>
  <c r="N9" i="17"/>
  <c r="F32" i="1"/>
  <c r="G32" i="1" s="1"/>
  <c r="H32" i="1" s="1"/>
  <c r="D45" i="7"/>
  <c r="D66" i="7" s="1"/>
  <c r="D68" i="7" s="1"/>
  <c r="D146" i="7" s="1"/>
  <c r="D129" i="5"/>
  <c r="D130" i="5" s="1"/>
  <c r="D131" i="5" s="1"/>
  <c r="D132" i="5" s="1"/>
  <c r="D135" i="5" s="1"/>
  <c r="D150" i="5"/>
  <c r="D79" i="7"/>
  <c r="D147" i="7" s="1"/>
  <c r="C75" i="7"/>
  <c r="C78" i="7"/>
  <c r="D136" i="5" l="1"/>
  <c r="D140" i="5"/>
  <c r="D150" i="7"/>
  <c r="D129" i="7"/>
  <c r="D130" i="7" s="1"/>
  <c r="D131" i="7" s="1"/>
  <c r="D132" i="7" s="1"/>
  <c r="D140" i="7" s="1"/>
  <c r="D142" i="5" l="1"/>
  <c r="D151" i="5" s="1"/>
  <c r="D153" i="5" s="1"/>
  <c r="J39" i="17" s="1"/>
  <c r="D136" i="7"/>
  <c r="D135" i="7"/>
  <c r="L39" i="17" l="1"/>
  <c r="M39" i="17" s="1"/>
  <c r="D142" i="7"/>
  <c r="D151" i="7" s="1"/>
  <c r="D153" i="7" s="1"/>
  <c r="J35" i="17" s="1"/>
  <c r="L35" i="17" s="1"/>
  <c r="M35" i="17" s="1"/>
  <c r="N35" i="17" s="1"/>
  <c r="K15" i="17" s="1"/>
  <c r="G16" i="28" s="1"/>
  <c r="C153" i="4"/>
  <c r="C136" i="4"/>
  <c r="B150" i="4"/>
  <c r="B151" i="4" s="1"/>
  <c r="B162" i="4" s="1"/>
  <c r="B163" i="4" s="1"/>
  <c r="B146" i="4"/>
  <c r="B142" i="4"/>
  <c r="B139" i="4"/>
  <c r="I16" i="28" l="1"/>
  <c r="W16" i="17"/>
  <c r="X16" i="17" s="1"/>
  <c r="F33" i="1"/>
  <c r="G33" i="1" s="1"/>
  <c r="H33" i="1" s="1"/>
  <c r="N39" i="17"/>
  <c r="M7" i="17" s="1"/>
  <c r="K17" i="17"/>
  <c r="B63" i="4"/>
  <c r="B41" i="4"/>
  <c r="D12" i="3"/>
  <c r="B56" i="4"/>
  <c r="B34" i="4"/>
  <c r="B19" i="4"/>
  <c r="B10" i="4"/>
  <c r="B5" i="4"/>
  <c r="B13" i="4" s="1"/>
  <c r="C142" i="3"/>
  <c r="C123" i="3"/>
  <c r="D123" i="3" s="1"/>
  <c r="C121" i="3"/>
  <c r="D121" i="3" s="1"/>
  <c r="C119" i="3"/>
  <c r="D119" i="3" s="1"/>
  <c r="C117" i="3"/>
  <c r="D104" i="3"/>
  <c r="D110" i="3" s="1"/>
  <c r="C52" i="3"/>
  <c r="C50" i="3"/>
  <c r="C39" i="3"/>
  <c r="C45" i="3" s="1"/>
  <c r="B125" i="4" s="1"/>
  <c r="F31" i="1" l="1"/>
  <c r="G31" i="1" s="1"/>
  <c r="H31" i="1" s="1"/>
  <c r="G18" i="28"/>
  <c r="W8" i="17"/>
  <c r="X8" i="17" s="1"/>
  <c r="M9" i="17"/>
  <c r="C135" i="4"/>
  <c r="C152" i="4"/>
  <c r="B6" i="4"/>
  <c r="C16" i="4" s="1"/>
  <c r="D117" i="3"/>
  <c r="D124" i="3" s="1"/>
  <c r="D149" i="3" s="1"/>
  <c r="D14" i="3"/>
  <c r="B22" i="4"/>
  <c r="C25" i="4" s="1"/>
  <c r="D51" i="3" s="1"/>
  <c r="D52" i="3" s="1"/>
  <c r="I18" i="28" l="1"/>
  <c r="D49" i="3"/>
  <c r="D50" i="3" s="1"/>
  <c r="D23" i="3"/>
  <c r="D29" i="3" s="1"/>
  <c r="C137" i="4"/>
  <c r="C138" i="4" s="1"/>
  <c r="C141" i="4" s="1"/>
  <c r="C143" i="4" s="1"/>
  <c r="C154" i="4"/>
  <c r="C155" i="4" s="1"/>
  <c r="C158" i="4" s="1"/>
  <c r="C164" i="4" s="1"/>
  <c r="D50" i="23" l="1"/>
  <c r="D61" i="23" s="1"/>
  <c r="D67" i="23" s="1"/>
  <c r="D68" i="23" s="1"/>
  <c r="D146" i="23" s="1"/>
  <c r="D61" i="3"/>
  <c r="D67" i="3" s="1"/>
  <c r="D32" i="3"/>
  <c r="C32" i="3" s="1"/>
  <c r="B58" i="4"/>
  <c r="B36" i="4"/>
  <c r="B119" i="4"/>
  <c r="D31" i="3"/>
  <c r="B7" i="4"/>
  <c r="B118" i="4"/>
  <c r="B57" i="4"/>
  <c r="B35" i="4"/>
  <c r="D145" i="3"/>
  <c r="C29" i="3"/>
  <c r="B120" i="4" l="1"/>
  <c r="C126" i="4" s="1"/>
  <c r="D30" i="3"/>
  <c r="D33" i="3" s="1"/>
  <c r="D40" i="3" s="1"/>
  <c r="B60" i="4"/>
  <c r="B38" i="4"/>
  <c r="B83" i="4"/>
  <c r="C89" i="4" s="1"/>
  <c r="B48" i="4"/>
  <c r="C53" i="4" s="1"/>
  <c r="B100" i="4"/>
  <c r="C105" i="4" s="1"/>
  <c r="B92" i="4"/>
  <c r="C97" i="4" s="1"/>
  <c r="B28" i="4"/>
  <c r="C31" i="4" s="1"/>
  <c r="B76" i="4"/>
  <c r="C80" i="4" s="1"/>
  <c r="B109" i="4"/>
  <c r="B37" i="4"/>
  <c r="B59" i="4"/>
  <c r="C31" i="3"/>
  <c r="D76" i="3" l="1"/>
  <c r="C76" i="3" s="1"/>
  <c r="C76" i="23"/>
  <c r="D90" i="3"/>
  <c r="D86" i="3"/>
  <c r="D88" i="3"/>
  <c r="D73" i="3"/>
  <c r="C73" i="3" s="1"/>
  <c r="D87" i="3"/>
  <c r="D39" i="3"/>
  <c r="B61" i="4"/>
  <c r="C64" i="4" s="1"/>
  <c r="B39" i="4"/>
  <c r="C42" i="4" s="1"/>
  <c r="C30" i="3"/>
  <c r="D43" i="3"/>
  <c r="D41" i="3"/>
  <c r="D44" i="3"/>
  <c r="D38" i="3"/>
  <c r="D37" i="3"/>
  <c r="D42" i="3"/>
  <c r="D65" i="3"/>
  <c r="B110" i="4"/>
  <c r="B111" i="4" s="1"/>
  <c r="C116" i="4" s="1"/>
  <c r="D74" i="3" l="1"/>
  <c r="D93" i="3"/>
  <c r="D107" i="3" s="1"/>
  <c r="D74" i="23"/>
  <c r="C73" i="23"/>
  <c r="D93" i="23"/>
  <c r="D107" i="23" s="1"/>
  <c r="D96" i="3"/>
  <c r="D100" i="3" s="1"/>
  <c r="D108" i="3" s="1"/>
  <c r="D100" i="23"/>
  <c r="D108" i="23" s="1"/>
  <c r="C44" i="4"/>
  <c r="C45" i="4" s="1"/>
  <c r="C66" i="4"/>
  <c r="C67" i="4" s="1"/>
  <c r="D45" i="3"/>
  <c r="D66" i="3" s="1"/>
  <c r="D68" i="3" s="1"/>
  <c r="D146" i="3" s="1"/>
  <c r="D109" i="3" l="1"/>
  <c r="D111" i="3" s="1"/>
  <c r="D148" i="3" s="1"/>
  <c r="D79" i="23"/>
  <c r="D147" i="23" s="1"/>
  <c r="D109" i="23"/>
  <c r="D111" i="23" s="1"/>
  <c r="D75" i="3"/>
  <c r="C75" i="3" s="1"/>
  <c r="D78" i="3"/>
  <c r="C75" i="23" l="1"/>
  <c r="C78" i="23"/>
  <c r="C78" i="3"/>
  <c r="D148" i="23"/>
  <c r="D150" i="23" s="1"/>
  <c r="D129" i="23"/>
  <c r="D130" i="23" s="1"/>
  <c r="D131" i="23" s="1"/>
  <c r="D132" i="23" s="1"/>
  <c r="D79" i="3"/>
  <c r="D147" i="3" s="1"/>
  <c r="D150" i="3" s="1"/>
  <c r="D129" i="3" l="1"/>
  <c r="D130" i="3" s="1"/>
  <c r="D131" i="3" s="1"/>
  <c r="D132" i="3" s="1"/>
  <c r="D136" i="3" s="1"/>
  <c r="D135" i="23"/>
  <c r="D136" i="23"/>
  <c r="D140" i="23"/>
  <c r="D135" i="3" l="1"/>
  <c r="D140" i="3"/>
  <c r="D142" i="23"/>
  <c r="D151" i="23" s="1"/>
  <c r="D153" i="23" s="1"/>
  <c r="D142" i="3" l="1"/>
  <c r="D151" i="3" s="1"/>
  <c r="D153" i="3" s="1"/>
  <c r="J52" i="17" s="1"/>
  <c r="L52" i="17" s="1"/>
  <c r="M52" i="17" s="1"/>
  <c r="N52" i="17" s="1"/>
  <c r="Q23" i="17" s="1"/>
  <c r="G22" i="28" s="1"/>
  <c r="I22" i="28" s="1"/>
  <c r="J68" i="17"/>
  <c r="J72" i="17"/>
  <c r="Q25" i="17" l="1"/>
  <c r="F37" i="1"/>
  <c r="G37" i="1" s="1"/>
  <c r="H37" i="1" s="1"/>
  <c r="J44" i="17"/>
  <c r="L44" i="17" s="1"/>
  <c r="M44" i="17" s="1"/>
  <c r="N44" i="17" s="1"/>
  <c r="O23" i="17" s="1"/>
  <c r="G20" i="28" s="1"/>
  <c r="J48" i="17"/>
  <c r="L48" i="17" s="1"/>
  <c r="M48" i="17" s="1"/>
  <c r="N48" i="17" s="1"/>
  <c r="P23" i="17" s="1"/>
  <c r="G21" i="28" s="1"/>
  <c r="I21" i="28" s="1"/>
  <c r="J64" i="17"/>
  <c r="L64" i="17" s="1"/>
  <c r="M64" i="17" s="1"/>
  <c r="N64" i="17" s="1"/>
  <c r="T23" i="17" s="1"/>
  <c r="J56" i="17"/>
  <c r="L56" i="17" s="1"/>
  <c r="M56" i="17" s="1"/>
  <c r="N56" i="17" s="1"/>
  <c r="R23" i="17" s="1"/>
  <c r="G23" i="28" s="1"/>
  <c r="I23" i="28" s="1"/>
  <c r="J60" i="17"/>
  <c r="L60" i="17" s="1"/>
  <c r="M60" i="17" s="1"/>
  <c r="N60" i="17" s="1"/>
  <c r="S23" i="17" s="1"/>
  <c r="L68" i="17"/>
  <c r="M68" i="17" s="1"/>
  <c r="L72" i="17"/>
  <c r="M72" i="17" s="1"/>
  <c r="T25" i="17" l="1"/>
  <c r="G24" i="28"/>
  <c r="I24" i="28" s="1"/>
  <c r="F39" i="1"/>
  <c r="G39" i="1" s="1"/>
  <c r="H39" i="1" s="1"/>
  <c r="I20" i="28"/>
  <c r="R25" i="17"/>
  <c r="F38" i="1"/>
  <c r="G38" i="1" s="1"/>
  <c r="H38" i="1" s="1"/>
  <c r="P25" i="17"/>
  <c r="F36" i="1"/>
  <c r="G36" i="1" s="1"/>
  <c r="H36" i="1" s="1"/>
  <c r="O25" i="17"/>
  <c r="F35" i="1"/>
  <c r="G35" i="1" s="1"/>
  <c r="H35" i="1" s="1"/>
  <c r="N68" i="17"/>
  <c r="U23" i="17" s="1"/>
  <c r="N72" i="17"/>
  <c r="V23" i="17" s="1"/>
  <c r="U25" i="17" l="1"/>
  <c r="G25" i="28"/>
  <c r="F40" i="1"/>
  <c r="G40" i="1" s="1"/>
  <c r="H40" i="1" s="1"/>
  <c r="G26" i="28"/>
  <c r="I26" i="28" s="1"/>
  <c r="F41" i="1"/>
  <c r="G41" i="1" s="1"/>
  <c r="H41" i="1" s="1"/>
  <c r="W24" i="17"/>
  <c r="V25" i="17"/>
  <c r="AB24" i="17" l="1"/>
  <c r="W27" i="17"/>
  <c r="I25" i="28"/>
  <c r="I27" i="28" s="1"/>
  <c r="K44" i="26" s="1"/>
  <c r="K46" i="26" s="1"/>
  <c r="G27" i="28"/>
  <c r="X24" i="17"/>
  <c r="X27" i="17" s="1"/>
  <c r="X113" i="17"/>
  <c r="G30" i="1"/>
  <c r="H30" i="1" l="1"/>
  <c r="G42" i="1"/>
  <c r="W116" i="17"/>
  <c r="G24" i="1"/>
  <c r="K48" i="26"/>
  <c r="H42" i="1" l="1"/>
  <c r="H24" i="1"/>
  <c r="X116" i="17"/>
</calcChain>
</file>

<file path=xl/sharedStrings.xml><?xml version="1.0" encoding="utf-8"?>
<sst xmlns="http://schemas.openxmlformats.org/spreadsheetml/2006/main" count="4376" uniqueCount="721">
  <si>
    <t>Processo Administrativo nº.</t>
  </si>
  <si>
    <t>Licitação nº.</t>
  </si>
  <si>
    <t>Dia ___/___/_____ às ___:___ horas</t>
  </si>
  <si>
    <t> Discriminação dos Serviços (dados referentes à contratação)</t>
  </si>
  <si>
    <t>A</t>
  </si>
  <si>
    <t xml:space="preserve">Data de apresentação da proposta (dia/mês/ano) </t>
  </si>
  <si>
    <t>B</t>
  </si>
  <si>
    <t xml:space="preserve">Município/UF </t>
  </si>
  <si>
    <t>Rio de Janeiro/RJ</t>
  </si>
  <si>
    <t>C</t>
  </si>
  <si>
    <t>Ano Acordo, Convenção ou Sentença Normativa em Dissídio Coletivo</t>
  </si>
  <si>
    <t>D</t>
  </si>
  <si>
    <t>Nº de meses de execução contratual</t>
  </si>
  <si>
    <t>Salários da Categoria</t>
  </si>
  <si>
    <t>Identificação do Serviço</t>
  </si>
  <si>
    <t>Tipo de Serviço</t>
  </si>
  <si>
    <t>Unidade de Medida</t>
  </si>
  <si>
    <t>VALOR ESTIMADO LOTE I</t>
  </si>
  <si>
    <t>Descrição</t>
  </si>
  <si>
    <t>Meses</t>
  </si>
  <si>
    <t>Valor Mensal Estimado</t>
  </si>
  <si>
    <t>TOTAL</t>
  </si>
  <si>
    <t>PLANILHA DE CUSTOS E FORMAÇÃO DE PREÇOS - MÃO DE OBRA</t>
  </si>
  <si>
    <t>Dados para composição dos custos referentes a mão de obra</t>
  </si>
  <si>
    <t>Tipo de Serviço:</t>
  </si>
  <si>
    <t>Classificação Brasileira de Ocupações (CBO)</t>
  </si>
  <si>
    <t>Salário Normativo da Categoria Profissional</t>
  </si>
  <si>
    <t xml:space="preserve">Categoria Profissional </t>
  </si>
  <si>
    <t xml:space="preserve">Data-Base da Categoria (dia/mês/ano) </t>
  </si>
  <si>
    <t>Módulo 1 - Composição da Remuneração</t>
  </si>
  <si>
    <t>Composição da Remuneração</t>
  </si>
  <si>
    <t>%</t>
  </si>
  <si>
    <t>Valor (R$)</t>
  </si>
  <si>
    <t>Salário-Base</t>
  </si>
  <si>
    <t>Adicional de Periculosidade</t>
  </si>
  <si>
    <t>Adicional de Insalubridade</t>
  </si>
  <si>
    <t>Adicional Noturno</t>
  </si>
  <si>
    <t>E</t>
  </si>
  <si>
    <t>Adicional de Hora Noturna Reduzida</t>
  </si>
  <si>
    <t>F</t>
  </si>
  <si>
    <t>DSR sobre o Adicional Noturno</t>
  </si>
  <si>
    <t>G</t>
  </si>
  <si>
    <t>Adicional de Hora Extra no Feriado Trabalhado</t>
  </si>
  <si>
    <t>H</t>
  </si>
  <si>
    <t>DSR sobre a Hora Extra no Feriado Trabalhado</t>
  </si>
  <si>
    <t>I</t>
  </si>
  <si>
    <t>Adicional de Liderança / Gratificação de Encarregado</t>
  </si>
  <si>
    <t>J</t>
  </si>
  <si>
    <t>Intervalo Intrajornada (caso o empregado trabalhe no periodo destinado)</t>
  </si>
  <si>
    <t>K</t>
  </si>
  <si>
    <t>Outros (especificar)</t>
  </si>
  <si>
    <t>Módulo 2 - Encargos e Benefícios Anuais, Mensais e Diários</t>
  </si>
  <si>
    <t>Sub-Módulo 2.1 - 13º Salário, Férias e Adicional de Férias</t>
  </si>
  <si>
    <t>2.1</t>
  </si>
  <si>
    <t>13º Salário, Férias e Adicional de Férias</t>
  </si>
  <si>
    <t>13º Salário</t>
  </si>
  <si>
    <t>Férias e Adicional de Férias</t>
  </si>
  <si>
    <t>B.1</t>
  </si>
  <si>
    <t xml:space="preserve">Férias </t>
  </si>
  <si>
    <t>B.2</t>
  </si>
  <si>
    <t>Adicional de Férias</t>
  </si>
  <si>
    <t>Sub-Módulo 2.2 - Encargos Previdenciários (GPS), Fundo de Garantia por Tempo de Serviço (FGTS) e outras contribuições</t>
  </si>
  <si>
    <t>2.2</t>
  </si>
  <si>
    <t>GPS, FGTS e outras contribuições</t>
  </si>
  <si>
    <t>INSS</t>
  </si>
  <si>
    <t>Salário Educação</t>
  </si>
  <si>
    <t>SAT (Risco ambiental do trabalho)</t>
  </si>
  <si>
    <t>SESC ou SESI</t>
  </si>
  <si>
    <t>SENAI - SENAC</t>
  </si>
  <si>
    <t>SEBRAE</t>
  </si>
  <si>
    <t>INCRA</t>
  </si>
  <si>
    <t>FGTS</t>
  </si>
  <si>
    <t>Sub-Módulo 2.3 - Benefícios Mensais e Diários</t>
  </si>
  <si>
    <t>2.3</t>
  </si>
  <si>
    <t>Benefícios Mensais e Diários</t>
  </si>
  <si>
    <t>Transporte</t>
  </si>
  <si>
    <t>A.1</t>
  </si>
  <si>
    <t>Crédito PIS/COFINS</t>
  </si>
  <si>
    <t>Auxílio-Refeição/Alimentação</t>
  </si>
  <si>
    <t>Assistência Médica e Familiar</t>
  </si>
  <si>
    <t>C.1</t>
  </si>
  <si>
    <t>D.1</t>
  </si>
  <si>
    <t>E.1</t>
  </si>
  <si>
    <t>Outros (Seguro de Vida / Invalidez / Auxílio Funeral)</t>
  </si>
  <si>
    <t>F.1</t>
  </si>
  <si>
    <t>Quadro Resumo do Módulo 2 - Encargos e Benefícios anuais, mensais e diários</t>
  </si>
  <si>
    <t>Encargos e Benefícios Anuais, Mensais e Diários</t>
  </si>
  <si>
    <t>Módulo 3 - Provisão para Rescisão</t>
  </si>
  <si>
    <t>Provisão para Rescisão</t>
  </si>
  <si>
    <t>Aviso-Prévio Indenizado</t>
  </si>
  <si>
    <t>Incidência do FGTS sobre o Aviso-Prévio Indenizado</t>
  </si>
  <si>
    <t>Multa sobre FGTS e contribuição social sobre o Aviso Prévio Indenizado</t>
  </si>
  <si>
    <t>Aviso-Prévio Trabalhado</t>
  </si>
  <si>
    <t>Incidência dos encargos do módulo 2.2 sobre o Aviso-Prévio Trabalhado</t>
  </si>
  <si>
    <t>Multa do FGTS e contribuição social sobre o Aviso-Prévio Trabalhado</t>
  </si>
  <si>
    <t>Módulo 4 - Custo de Reposição do Profissional Ausente</t>
  </si>
  <si>
    <t>Sub-Módulo 4.1 - Ausências Legais</t>
  </si>
  <si>
    <t>4.1</t>
  </si>
  <si>
    <t>Ausências Legais</t>
  </si>
  <si>
    <t>Férias</t>
  </si>
  <si>
    <t>Licença Paternidade</t>
  </si>
  <si>
    <t xml:space="preserve">Ausência por acidente de trabalho </t>
  </si>
  <si>
    <r>
      <t>Afastamento Maternidade (acima de 120 dias)</t>
    </r>
    <r>
      <rPr>
        <vertAlign val="superscript"/>
        <sz val="9"/>
        <color theme="1"/>
        <rFont val="Spranq eco sans"/>
        <family val="2"/>
      </rPr>
      <t xml:space="preserve"> (1)</t>
    </r>
  </si>
  <si>
    <t>Ausência por Doença</t>
  </si>
  <si>
    <t xml:space="preserve">Incidência dos encargos do módulo 2.2 sobre o Módulo </t>
  </si>
  <si>
    <t>4.1.1</t>
  </si>
  <si>
    <t>Afastamento Maternidade (120 dias)</t>
  </si>
  <si>
    <t>Férias pagas ao Substituto pelos 120 dias de Reposição</t>
  </si>
  <si>
    <t>Incidência dos encargos do módulo 2.2 sobre as Férias pagas ao Subistituto pelos 120 dias de Reposição</t>
  </si>
  <si>
    <t>Incidência dos encargos do módulo 2.2 sobre a Remuneração e o 13 salário proporcionais aos 120 dias de Reposição</t>
  </si>
  <si>
    <t>4.2</t>
  </si>
  <si>
    <t>Intervalo Intrajornada</t>
  </si>
  <si>
    <r>
      <t xml:space="preserve">Intervalo de repouso e alimentação (somente se houver cobertura do profissional no período de intervalo para repouso e alimentação) </t>
    </r>
    <r>
      <rPr>
        <vertAlign val="superscript"/>
        <sz val="10"/>
        <color theme="1"/>
        <rFont val="Spranq eco sans"/>
        <family val="2"/>
      </rPr>
      <t>(2)</t>
    </r>
  </si>
  <si>
    <t>Quadro-Resumo do Módulo 4 - Custo de Reposição do Profissional Ausente</t>
  </si>
  <si>
    <t>Total das Ausências Legais</t>
  </si>
  <si>
    <t>Módulo 5 - Insumos Diversos</t>
  </si>
  <si>
    <t>Insumos Diversos</t>
  </si>
  <si>
    <t>Uniformes</t>
  </si>
  <si>
    <t>Materiais</t>
  </si>
  <si>
    <t>Equipamentos</t>
  </si>
  <si>
    <t>Módulo 6 - Custos Indiretos, Tributos e Lucro</t>
  </si>
  <si>
    <t>Custos Indiretos, Tributos e Lucro</t>
  </si>
  <si>
    <t>Custos Indiretos</t>
  </si>
  <si>
    <t>Lucro</t>
  </si>
  <si>
    <t>Valor líquido mensal dos serviços (sem os tributos)</t>
  </si>
  <si>
    <t>Valor mensal dos serviços (incluindo os tributos) - Base para o cálculo dos tributos</t>
  </si>
  <si>
    <t>Tributos</t>
  </si>
  <si>
    <t>Tributos Federais</t>
  </si>
  <si>
    <t>C.1.1</t>
  </si>
  <si>
    <t>PIS</t>
  </si>
  <si>
    <t>C.1.2</t>
  </si>
  <si>
    <t>COFINS</t>
  </si>
  <si>
    <t>C.2</t>
  </si>
  <si>
    <t>Tributos Estaduais</t>
  </si>
  <si>
    <t>C.2.1</t>
  </si>
  <si>
    <t>ICMS</t>
  </si>
  <si>
    <t>C.3</t>
  </si>
  <si>
    <t>Tributos Municipais</t>
  </si>
  <si>
    <t>C.3.1</t>
  </si>
  <si>
    <t>ISS</t>
  </si>
  <si>
    <t>C.4</t>
  </si>
  <si>
    <t>Outros Tributos (especificar)</t>
  </si>
  <si>
    <t>QUADRO RESUMO DO CUSTO POR EMPREGADO</t>
  </si>
  <si>
    <t>MÓDULO 1 - Composição da Remuneração</t>
  </si>
  <si>
    <t xml:space="preserve">B </t>
  </si>
  <si>
    <t>MÓDULO 2 - Encargos e Benefícios Anuais, Mensais e Diários</t>
  </si>
  <si>
    <t>MÓDULO 3 - Provisão para Rescisão</t>
  </si>
  <si>
    <t>MÓDULO 4 - Custo da Reposição do Profissional Ausente</t>
  </si>
  <si>
    <t>MÓDULO 5 - Insumos Diversos</t>
  </si>
  <si>
    <t>A + B + C + D + E</t>
  </si>
  <si>
    <t>MÓDULO 6 - Custos indiretos, Lucro e Tributos</t>
  </si>
  <si>
    <t>VALOR TOTAL POR EMPREGADO</t>
  </si>
  <si>
    <t>Divisor de Horas no mês</t>
  </si>
  <si>
    <t>Total de Dias do Ano</t>
  </si>
  <si>
    <t>Total de Dias Trabalhados no Mês por empregado</t>
  </si>
  <si>
    <t>Total da Remuneração (Módulo 1)</t>
  </si>
  <si>
    <t>Memória de Cálculo Vale Transporte (Módulo 2)</t>
  </si>
  <si>
    <t xml:space="preserve">Total de Dias do Ano </t>
  </si>
  <si>
    <t>Número de Meses</t>
  </si>
  <si>
    <t xml:space="preserve">% de Funcionários Trabalhando </t>
  </si>
  <si>
    <t>Número de Vales Transportes / mês</t>
  </si>
  <si>
    <t>Valor da Tarifa Modal</t>
  </si>
  <si>
    <t>Desconto legal sobre o valor do salário</t>
  </si>
  <si>
    <t>Valor do Vale Transporte</t>
  </si>
  <si>
    <t>Memória de Cálculo Vale Alimentação (Módulo 2)</t>
  </si>
  <si>
    <t>Valor do Vale Alimentação / Refeição</t>
  </si>
  <si>
    <t xml:space="preserve">Desconto legal </t>
  </si>
  <si>
    <t>Memória de Cálculo Aviso Prévio Indenizado (Módulo 3)</t>
  </si>
  <si>
    <t>Total da Remuneração</t>
  </si>
  <si>
    <t>Número de Meses do Ano</t>
  </si>
  <si>
    <t>Porcentagem de dispensa sem justa causa com Aviso Prévio Indenizado</t>
  </si>
  <si>
    <t>Valor do Aviso Prévio Indenizado</t>
  </si>
  <si>
    <t>Memória de Cálculo Multa FGTS e Contribuição Social sobre o Aviso Prévio Indenizado (Módulo 3)</t>
  </si>
  <si>
    <t>Porcentagem de dispensas sem justa Causa Com Aviso Prévio Indenizado</t>
  </si>
  <si>
    <t>Total de Remuneração</t>
  </si>
  <si>
    <t>Base de Cálculo</t>
  </si>
  <si>
    <t>Multa sobre FGTS</t>
  </si>
  <si>
    <t>Alíquiota mensal de Recolhimento do FGTS</t>
  </si>
  <si>
    <t>Valor da Multa FGTS sobre Aviso Prévio Indenizado</t>
  </si>
  <si>
    <t>Multa sobre Contribuição Social</t>
  </si>
  <si>
    <t>Valor da Multa sobre Contribuição Social</t>
  </si>
  <si>
    <t xml:space="preserve">Valor da Multa FGTS e Contribuição Social sobre o Aviso Prévio Indenizado </t>
  </si>
  <si>
    <t>Memória de Cálculo Aviso Prévio Trabalhado (Módulo 3)</t>
  </si>
  <si>
    <t>Dias do Mês</t>
  </si>
  <si>
    <t>Número de dias de redução de jornada</t>
  </si>
  <si>
    <t>Porcentagem de dispensa sem justa causa com Aviso Prévio Trabalhado</t>
  </si>
  <si>
    <t>Valor do Aviso Prévio Trabalhado</t>
  </si>
  <si>
    <t>Memória de Cálculo Multa FGTS e Contribuição Social sobre o Aviso Prévio Trabalhado (Módulo 3)</t>
  </si>
  <si>
    <t>Porcentagem de dispensas sem justa Causa Com Aviso Prévio Trabalhado</t>
  </si>
  <si>
    <t>Valor da Multa FGTS e Contribuição Social sobre o Aviso Prévio Trabalhado</t>
  </si>
  <si>
    <t>Memória de Cálculo Férias (Módulo 4)</t>
  </si>
  <si>
    <t>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custo a ser apontado nesta rubrica.</t>
  </si>
  <si>
    <t>Memória de Cálculo Ausencias Legais (Módulo 4)</t>
  </si>
  <si>
    <t xml:space="preserve">Total de Remuneração </t>
  </si>
  <si>
    <t>Meses do Ano</t>
  </si>
  <si>
    <t xml:space="preserve">Média de Ausencias por Ano </t>
  </si>
  <si>
    <t xml:space="preserve">Valor das Ausencias Legais </t>
  </si>
  <si>
    <t>Memória de Cálculo Licença-Paternidade (Módulo 4)</t>
  </si>
  <si>
    <t xml:space="preserve">Média de Dias de Licença por ano </t>
  </si>
  <si>
    <t>Porcentagem de incidência de ocorrência da Licença-Paternidade</t>
  </si>
  <si>
    <t>Porcentagem de mão de obra masculina contratada</t>
  </si>
  <si>
    <t xml:space="preserve">Valor da Licença-Paternidade </t>
  </si>
  <si>
    <t>Memória de Cálculo Ausencia por Acidente de Trabalho (Módulo 4)</t>
  </si>
  <si>
    <t>Média de dias pagos pela empresa</t>
  </si>
  <si>
    <t xml:space="preserve">Porcentagem de ocorrência de acidentes de trabalho </t>
  </si>
  <si>
    <t>Valor da Ausencia por Acidente de Trabalho</t>
  </si>
  <si>
    <t>Memória de Cálculo Ausencia por Doença (Módulo 4)</t>
  </si>
  <si>
    <t>Porcentagem de ocorrência por doença</t>
  </si>
  <si>
    <t>Valor da Ausencia por Doença</t>
  </si>
  <si>
    <t>Memória de Cálculo Afastamento Maternidade (Módulo 4)</t>
  </si>
  <si>
    <t>Férias pagas ao Substituto pelos 120 dias de reposição</t>
  </si>
  <si>
    <t xml:space="preserve">Terço Constitucional </t>
  </si>
  <si>
    <t xml:space="preserve">Meses de Afastamento </t>
  </si>
  <si>
    <t>Porcentagem de ocorrência do Afastamento Maternidade</t>
  </si>
  <si>
    <t>Porcentagem de mão de obra feminina contratada</t>
  </si>
  <si>
    <t>Valor da Licença-Maternidade - Férias do Substituto</t>
  </si>
  <si>
    <t>Incidência dos encargos (módulo 2.2) - proporcionais 120 dias de Reposição</t>
  </si>
  <si>
    <t xml:space="preserve">Incidência dos encargos (módulo 2.2) </t>
  </si>
  <si>
    <t>Valor da Licença-Maternidade - Incidência de Encargos</t>
  </si>
  <si>
    <t>Total de contratações CAGED período Jan 2018 a Jul 2018 - 183 contratações - 140 ( 76,50%) masculinas e 43 (23,50%) femininas - Consulta realizada em 20/03/2019</t>
  </si>
  <si>
    <t>Memória de Cálculo Adicional Noturno (Módulo 1)</t>
  </si>
  <si>
    <t>Número de Horas Noturnas Trabalhadas ( 22:00 às 05:00 (7 horas)</t>
  </si>
  <si>
    <t>Salário Base</t>
  </si>
  <si>
    <t>Custo de Referência</t>
  </si>
  <si>
    <t>% Adicional Noturno</t>
  </si>
  <si>
    <t xml:space="preserve">Valor da Hora Noturna com Adicional </t>
  </si>
  <si>
    <t>Número de Horas Trabalhadas no mês</t>
  </si>
  <si>
    <t>Valor do Adicional Noturno</t>
  </si>
  <si>
    <t>Memória de Cálculo Adicional de Hora Noturna Reduzida (Módulo 1)</t>
  </si>
  <si>
    <t xml:space="preserve">Número de dias trabalhado por funcionário no mês </t>
  </si>
  <si>
    <t xml:space="preserve">Numero de horas noturnas trabalhadas no mês </t>
  </si>
  <si>
    <t>Hora Diurna (em minutos)</t>
  </si>
  <si>
    <t>Hora Noturna Equivalente (em minutos)</t>
  </si>
  <si>
    <t xml:space="preserve">Coeficente de horas </t>
  </si>
  <si>
    <t>Hora Noturna Mensal Ajustada</t>
  </si>
  <si>
    <t>Hora Noturna Mensal Ajustada - Hora noturna trabalhada no mês</t>
  </si>
  <si>
    <t>Valor da Hora Noturna Reduzida</t>
  </si>
  <si>
    <t>Bota de segurança - ref. Marluvas 10vb48 ou similar</t>
  </si>
  <si>
    <t>Qtd Semestral</t>
  </si>
  <si>
    <t>Qtd Anual</t>
  </si>
  <si>
    <t>Crachá em PVC laminado para identificação, frente colorida e verso em preto e branco, com alta resistência e flexibilidade. Frente: nome completo, foto digitalizada, identificação da CONTRATADA e inscrição “A serviço da UFRJ”. Verso: unidade em que desempenha suas atividades e informações adicionais que a CONTRATADA considerar pertinentes</t>
  </si>
  <si>
    <t>Valor Unitário</t>
  </si>
  <si>
    <t>Servente</t>
  </si>
  <si>
    <t>Tipo / Especificações</t>
  </si>
  <si>
    <t>Custo  Unitário</t>
  </si>
  <si>
    <t>Custo Anual</t>
  </si>
  <si>
    <t>Custo Mensal</t>
  </si>
  <si>
    <t>Calça comprida na cor Azul, em Brim, com presilhas para cinto (modelo tradicional).</t>
  </si>
  <si>
    <t>Camiseta de malha meia manga em algodão Logo da Empresa na parte da frente - "A SERVIÇO DA UFRJ" nas costas</t>
  </si>
  <si>
    <t>Luva para limpeza em borracha de látex natural, com revesti-mento interno, reforçada, com superfície externa antiderrapante. Deverá estar em conformidade com as normas da ABNT NBR 13.393 (EPI). (3 pares por mês)</t>
  </si>
  <si>
    <t>Encarregado</t>
  </si>
  <si>
    <t>Camiseta de malha meia manga em algodão Logo da Empresa a esquerda - "A SERVIÇO DA UFRJ" nas costas</t>
  </si>
  <si>
    <t xml:space="preserve">Jaleco em brim azul marinho, 100% algodão  contendo a inscrição “A serviço da UFRJ” </t>
  </si>
  <si>
    <t xml:space="preserve">Cinto </t>
  </si>
  <si>
    <t>4101-05</t>
  </si>
  <si>
    <t xml:space="preserve">Piso da Categoria </t>
  </si>
  <si>
    <t>Trabalhadores nas Empresas de Asseio e Conservação</t>
  </si>
  <si>
    <t>Total de contratações CAGED período Jan 2018 a Jul 2018 - 2.641 contratações - 1.473 ( 55,77%) masculinas e 1.168 (44,23%) femininas - Consulta realizada em 21/02/2019</t>
  </si>
  <si>
    <t>MEMORIAL DE CÁLCULO  - ENCARREGADO 12/36H DOM A DOM</t>
  </si>
  <si>
    <t>Encarregado 12/36h Diurna Dom a Dom</t>
  </si>
  <si>
    <t>UND</t>
  </si>
  <si>
    <t>Valor Unitário s/ tributos e pós-crédito PIS/COFINS</t>
  </si>
  <si>
    <t>Subtotal</t>
  </si>
  <si>
    <t>Valor Unitário incluindo tributos</t>
  </si>
  <si>
    <t>Valor Mensal do Insumo</t>
  </si>
  <si>
    <t>Vida útil do bem em meses</t>
  </si>
  <si>
    <t>Taxa anual de depreciação</t>
  </si>
  <si>
    <t>Apropriação mensal</t>
  </si>
  <si>
    <t>Piso  Profissional Servente (CBO 5143-20)</t>
  </si>
  <si>
    <t>Piso Profissional Encarregado (CBO 4101-05)</t>
  </si>
  <si>
    <t>5143-20</t>
  </si>
  <si>
    <t>MEMORIAL DE CÁLCULO  - SERVENTE 44H SEG A SEX Insalubridade 40%</t>
  </si>
  <si>
    <t>MEMORIAL DE CÁLCULO  - SERVENTE 44H SEG A SEX</t>
  </si>
  <si>
    <t xml:space="preserve"> Servente 12/36 Diurno Dom a Dom</t>
  </si>
  <si>
    <t xml:space="preserve"> Servente 44h Seg a Sex</t>
  </si>
  <si>
    <t>MEMORIAL DE CÁLCULO  - SERVENTE 12/36H DIURNO DOM A DOM - INSALUBRIDADE 20%</t>
  </si>
  <si>
    <t>Servente 12/36 Noturno Dom a Dom</t>
  </si>
  <si>
    <t>MEMORIAL DE CÁLCULO  - SERVENTE 12/36H NOTURNO DOM A DOM - INSALUBRIDADE 40%</t>
  </si>
  <si>
    <t>MEMORIAL DE CÁLCULO  - SERVENTE 12/36H DIURNO DOM A DOM - INSALUBRIDADE 40%</t>
  </si>
  <si>
    <t>Referência</t>
  </si>
  <si>
    <t>Característica</t>
  </si>
  <si>
    <r>
      <t>Índice de produtividade (m</t>
    </r>
    <r>
      <rPr>
        <b/>
        <vertAlign val="superscript"/>
        <sz val="8"/>
        <rFont val="Spranq eco sans"/>
        <family val="2"/>
      </rPr>
      <t>2</t>
    </r>
    <r>
      <rPr>
        <b/>
        <sz val="8"/>
        <rFont val="Spranq eco sans"/>
        <family val="2"/>
      </rPr>
      <t>)</t>
    </r>
  </si>
  <si>
    <r>
      <t>Área Física (m</t>
    </r>
    <r>
      <rPr>
        <b/>
        <vertAlign val="superscript"/>
        <sz val="8"/>
        <rFont val="Spranq eco sans"/>
        <family val="2"/>
      </rPr>
      <t>2</t>
    </r>
    <r>
      <rPr>
        <b/>
        <sz val="8"/>
        <rFont val="Spranq eco sans"/>
        <family val="2"/>
      </rPr>
      <t>)</t>
    </r>
  </si>
  <si>
    <t>Conversão</t>
  </si>
  <si>
    <t>Interna</t>
  </si>
  <si>
    <t>A.2</t>
  </si>
  <si>
    <t>A.3</t>
  </si>
  <si>
    <t>Almoxarifado / Galpão</t>
  </si>
  <si>
    <t>Externa</t>
  </si>
  <si>
    <t xml:space="preserve">Externa </t>
  </si>
  <si>
    <t>Esquadrias</t>
  </si>
  <si>
    <t>Esquadrias Face Interna</t>
  </si>
  <si>
    <t>Esquadrias Face Externa</t>
  </si>
  <si>
    <t>Área Física Total (m²):</t>
  </si>
  <si>
    <t>(*) podendo apresentar variações conforme necessidade do serviço</t>
  </si>
  <si>
    <t>Base de Calculo para Esquadrias Face Interna</t>
  </si>
  <si>
    <t>1/Produtividade</t>
  </si>
  <si>
    <t>16 horas</t>
  </si>
  <si>
    <t>1/188,76 horas trab. Mês</t>
  </si>
  <si>
    <t>Ki</t>
  </si>
  <si>
    <t>1/(Produtividade*30)</t>
  </si>
  <si>
    <t>Base de Calculo para Esquadrias Face Externa</t>
  </si>
  <si>
    <t>1/(Produtividade*n.serventes)</t>
  </si>
  <si>
    <t>LOTE I - UNIDADES ÁREA INDUSTRIAL CAMPUS DA ILHA DO FUNDÃO - UFRJ</t>
  </si>
  <si>
    <t>Período:</t>
  </si>
  <si>
    <t>Mensal</t>
  </si>
  <si>
    <t>Carga semanal:</t>
  </si>
  <si>
    <t>44 (quarenta e quatro) horas - segunda a sexta-feira, com variação no turno para cumprimento das 4 (quatro) horas excedentes</t>
  </si>
  <si>
    <t>Tipo de Área</t>
  </si>
  <si>
    <t>Insalubridade</t>
  </si>
  <si>
    <r>
      <t xml:space="preserve">Esquadria Servente </t>
    </r>
    <r>
      <rPr>
        <vertAlign val="superscript"/>
        <sz val="8"/>
        <color theme="1"/>
        <rFont val="Spranq eco sans"/>
        <family val="2"/>
      </rPr>
      <t>(1)</t>
    </r>
  </si>
  <si>
    <r>
      <t xml:space="preserve">Esquadria Encarregado </t>
    </r>
    <r>
      <rPr>
        <vertAlign val="superscript"/>
        <sz val="8"/>
        <color theme="1"/>
        <rFont val="Spranq eco sans"/>
        <family val="2"/>
      </rPr>
      <t>(2)</t>
    </r>
  </si>
  <si>
    <r>
      <t>Esquadria Servente</t>
    </r>
    <r>
      <rPr>
        <vertAlign val="superscript"/>
        <sz val="8"/>
        <color theme="1"/>
        <rFont val="Spranq eco sans"/>
        <family val="2"/>
      </rPr>
      <t xml:space="preserve"> (3)</t>
    </r>
  </si>
  <si>
    <r>
      <t>Esquadria Encarregado</t>
    </r>
    <r>
      <rPr>
        <vertAlign val="superscript"/>
        <sz val="8"/>
        <color theme="1"/>
        <rFont val="Spranq eco sans"/>
        <family val="2"/>
      </rPr>
      <t xml:space="preserve"> (4)</t>
    </r>
  </si>
  <si>
    <t>s/ insalub.</t>
  </si>
  <si>
    <t>Área Hospitalar Crítica</t>
  </si>
  <si>
    <t>Área Hospitalar Semi-Crítica</t>
  </si>
  <si>
    <t>Área Hospitalar não Crítica</t>
  </si>
  <si>
    <t>Cozinhas e Copas</t>
  </si>
  <si>
    <t>Escadas e Acesso ao Telhado</t>
  </si>
  <si>
    <t>Áreas Ordinárias</t>
  </si>
  <si>
    <t>Salões, Auditórios, Hall e Corredor</t>
  </si>
  <si>
    <t>A.3.1</t>
  </si>
  <si>
    <t>A.3.2</t>
  </si>
  <si>
    <t>A.3.4</t>
  </si>
  <si>
    <t>A.3.5</t>
  </si>
  <si>
    <t>A.3.3</t>
  </si>
  <si>
    <t xml:space="preserve">   A.3.1</t>
  </si>
  <si>
    <t xml:space="preserve">   A.3.2</t>
  </si>
  <si>
    <t xml:space="preserve">   A.3.3</t>
  </si>
  <si>
    <t xml:space="preserve">   A.3.4</t>
  </si>
  <si>
    <t xml:space="preserve">   A.3.5</t>
  </si>
  <si>
    <t>TOTAL MENSAL</t>
  </si>
  <si>
    <t>TOTAL ANUAL</t>
  </si>
  <si>
    <r>
      <t>Valor por m</t>
    </r>
    <r>
      <rPr>
        <b/>
        <vertAlign val="superscript"/>
        <sz val="8"/>
        <rFont val="Spranq eco sans"/>
        <family val="2"/>
      </rPr>
      <t>2</t>
    </r>
  </si>
  <si>
    <t>Hospital Universitário Clementino Fraga Filho</t>
  </si>
  <si>
    <r>
      <t xml:space="preserve">12/36 horas </t>
    </r>
    <r>
      <rPr>
        <b/>
        <sz val="8"/>
        <rFont val="Spranq eco sans"/>
        <family val="2"/>
      </rPr>
      <t>Noturnas</t>
    </r>
    <r>
      <rPr>
        <sz val="8"/>
        <rFont val="Spranq eco sans"/>
        <family val="2"/>
      </rPr>
      <t xml:space="preserve"> de domingo a domingo</t>
    </r>
  </si>
  <si>
    <r>
      <t xml:space="preserve">12/36 horas </t>
    </r>
    <r>
      <rPr>
        <b/>
        <sz val="8"/>
        <rFont val="Spranq eco sans"/>
        <family val="2"/>
      </rPr>
      <t>Diurnas</t>
    </r>
    <r>
      <rPr>
        <sz val="8"/>
        <rFont val="Spranq eco sans"/>
        <family val="2"/>
      </rPr>
      <t xml:space="preserve"> de domingo a domingo</t>
    </r>
  </si>
  <si>
    <t>Mão-de-obra - Área Interna (A.1)</t>
  </si>
  <si>
    <t>Encarregado - 44h seg a  sex - Diurno</t>
  </si>
  <si>
    <t>Servente - 44h seg a  sex - Diurno c/ insal 40%</t>
  </si>
  <si>
    <t>Produtividade/Homem</t>
  </si>
  <si>
    <t>Salário</t>
  </si>
  <si>
    <t>Encarregado - 12/36h dom a dom - Diurno</t>
  </si>
  <si>
    <t>Servente - 12/36h dom a dom - Diurno insal 20%</t>
  </si>
  <si>
    <t>Servente - 12/36h dom a dom - Diurno insal 40%</t>
  </si>
  <si>
    <t>LOTE I - UNIDADES ÁREA INDUSTRIAL CAMPUS DA ILHA DO FUNDÃO - UFRJ - Estimativa de mão de Obra - Área Convertida</t>
  </si>
  <si>
    <t>TOTAL ÁREA CONVERTIDA</t>
  </si>
  <si>
    <t xml:space="preserve">NÚMERO DE SERVENTES </t>
  </si>
  <si>
    <t>nº Encarregados 12/36 Diurno</t>
  </si>
  <si>
    <t>nº Encarregados 12/36 Noturno</t>
  </si>
  <si>
    <t>nº Encarregados 44h - Diurno</t>
  </si>
  <si>
    <t>nº total de Serventes</t>
  </si>
  <si>
    <t>Total de Mão de Obra</t>
  </si>
  <si>
    <t>Encarregado 44H Diurna Seg a Sex</t>
  </si>
  <si>
    <t>Álcool Líquido a 70% desinfetante</t>
  </si>
  <si>
    <t>Aromatizante ambiental, aerossol com composição mínima de quaternário de amônio: 0,07%, solubizantes, coadjuvantes, perfumes, Butano/Propano (tipo Bom Ar ou Similar)</t>
  </si>
  <si>
    <t>Balde, material plástico, capacidade de 10 litros, material alça arame galvanizado, cor natural.</t>
  </si>
  <si>
    <t>Disco Verde - 410 MM</t>
  </si>
  <si>
    <t>Disco Preto - 410 MM</t>
  </si>
  <si>
    <t>Disco Verde - 350 MM</t>
  </si>
  <si>
    <t>Disco Preto- 350 MM</t>
  </si>
  <si>
    <t>Disco Vermelho - 350 MM</t>
  </si>
  <si>
    <t>Disco Branco - 350 MM</t>
  </si>
  <si>
    <t>Dispensadores para álcool em gel;</t>
  </si>
  <si>
    <t>Dispensadores para sabonete líquido;</t>
  </si>
  <si>
    <t>Dispensadores para papel toalha;</t>
  </si>
  <si>
    <t>Esponja de louça dupla face (fibra e espuma), formato retangular, medindo 110x75x23mm, abrasividade média. Composição: espuma de poliuretano com bactericida, fibra sintética com abrasivo.</t>
  </si>
  <si>
    <t>Escova para roupa, confeccionada em madeira com cerdas de nylon, formato oval.</t>
  </si>
  <si>
    <t>Pano de limpeza características: 100% algodão, saco alvejado, 50 x 70cm, c/ acabamento, branco</t>
  </si>
  <si>
    <t>Lustra móveis. Emulsão aquosa cremosa, perfumada, para aplicação em móveis e superfícies lisas. Aromas diversos. Frasco plástico de 200 ml com bico econômico. A embalagem deverá conter externamente os dados de identificação, procedência, número do lote, validade e número de registro no Ministério da Saúde.</t>
  </si>
  <si>
    <t>Luva Latex Amarela - TAM. P</t>
  </si>
  <si>
    <t>Luva Latex Amarela - TAM. M</t>
  </si>
  <si>
    <t>Luva Latex Amarela TAM. G</t>
  </si>
  <si>
    <t>Luva  Latex Verde - TAM. P</t>
  </si>
  <si>
    <t>Luva  Latex Verde - TAM. M</t>
  </si>
  <si>
    <t>Luva  Latex Verde - TAM. G</t>
  </si>
  <si>
    <t>Máscara Descartável - CX. C/ 100 UND.</t>
  </si>
  <si>
    <t>Pá de Lixo c/ Cabo cata cata</t>
  </si>
  <si>
    <t>Pedra Sanitária</t>
  </si>
  <si>
    <t>Polidor de metal 200 ML</t>
  </si>
  <si>
    <t>Pulverizador Plástico</t>
  </si>
  <si>
    <t>Removedor  de Cera - 5 LITROS</t>
  </si>
  <si>
    <t>Rodo Plástico 40 CM</t>
  </si>
  <si>
    <t>Rodo Plástico 60 CM</t>
  </si>
  <si>
    <t>Rodo Limpa Vidro com haste telescópica Bettanin Lava e Seca ou Similar</t>
  </si>
  <si>
    <t>Sabonete Líquido Concentrado neutro- 5 LITROS</t>
  </si>
  <si>
    <t>Saco de Lixo Azul 60 Litros - PCT. c/ 100 UND.</t>
  </si>
  <si>
    <t>Saco de Lixo Azul 100 LITROS - PCT. c/ 100 UND.</t>
  </si>
  <si>
    <t>Saco de Lixo Azul 200 LITROS - PCT. C/ 100 UND.</t>
  </si>
  <si>
    <t>Saco de Lixo Branco Infec. 60 litros - PCT. c/ 100 UND.</t>
  </si>
  <si>
    <t>Saco de Lixo Branco Infec  200 LITROS - PCT. C/100 UND.</t>
  </si>
  <si>
    <t>Selador - 5 LITROS</t>
  </si>
  <si>
    <t>Suporte c/ Cabo LT</t>
  </si>
  <si>
    <t>Toucas Descartáveis - Caixa. c/ 100 UND.</t>
  </si>
  <si>
    <t>Vassoura tipo Gari média c/ cabo central</t>
  </si>
  <si>
    <t>DESCRIÇÃO DOS PRODUTOS</t>
  </si>
  <si>
    <t>REFIL</t>
  </si>
  <si>
    <t>LITRO</t>
  </si>
  <si>
    <t>UND.</t>
  </si>
  <si>
    <t>PCT.</t>
  </si>
  <si>
    <t>BOMBONA</t>
  </si>
  <si>
    <t>LITROS</t>
  </si>
  <si>
    <t>PAR</t>
  </si>
  <si>
    <t>CAIXA</t>
  </si>
  <si>
    <t>QTD</t>
  </si>
  <si>
    <t xml:space="preserve">Álcool Etílico ou isopropílico de 65% p/p (72% v/v)a 85% p/p(89% v/v) hipoalergênico sem fragrância, secagem rápida e baixa viscosidade,. Apresentação em bolsa plástica aplicação anti-sepsia das mão. Com agente emoliente e apresentação em refil – Necessários Registro na ANVISA Apresentação em bolsa plástica, compatível com o dispensador em material descartável selado e com válvula antientupimento e antivazamento e com sistema que não permite resíduo (desperdício) de produto na bolsa. Dispensadores próprios com sistema de fixação segura através de fita autocolante. ou pedestal ou frasco dispensador. .A aquisição do produto será vinculada ao fornecimento do dispensador. Laudo de irritabilidade dérmica em humanos sadios e eficácia bactericida, emitido pela Rede Brasileira de Laboratórios Analíticos em Saúde (REBLAS). </t>
  </si>
  <si>
    <t>Desinfetante de superfícies fixas e equipamentos a base de quaternário de amônia(PHMB) OU glucoprotamina ou ácido peracético. Necessário Registro na ANVISA</t>
  </si>
  <si>
    <t>Itens com entrega ou reposição mensal</t>
  </si>
  <si>
    <t>Carro funcional</t>
  </si>
  <si>
    <t>Aspirador de pó</t>
  </si>
  <si>
    <t>Carrinho prefeitura (contentor de 240)</t>
  </si>
  <si>
    <t>Escadas de alumínio 3 metros</t>
  </si>
  <si>
    <t>Escada de Alumínio 5 metros</t>
  </si>
  <si>
    <t>Enceradeiras Industrial Certec ou Similar</t>
  </si>
  <si>
    <t>Extensão elétrica c/ 50 metros</t>
  </si>
  <si>
    <t>Extensão elétrica c/ 30 metros</t>
  </si>
  <si>
    <t>Jateadora Sthill RE98 ou similar</t>
  </si>
  <si>
    <t>Lavadora de piso à bateria Alfa B70 ou Similar (Corredor)</t>
  </si>
  <si>
    <t>Mangueira ¾ com 100 metros</t>
  </si>
  <si>
    <t>Sinalizadores para piso molhado</t>
  </si>
  <si>
    <t>Espátula nº 10 com cabo de madeira ou plástico, com lâmina de metal</t>
  </si>
  <si>
    <t>Espátula nº 12 com cabo de madeira ou plástico, com lâmina de metal</t>
  </si>
  <si>
    <t>Carro Coletor de Lixo - 1000 Litros (Azul - Lixo comum/Branco-Lixo Infectante)</t>
  </si>
  <si>
    <t>CATMAT</t>
  </si>
  <si>
    <t>BALDE COM ESPREMEDOR, MATERIAL BALDE PLÁSTICO, MATERIAL ESPREMEDOR PLÁSTICO, MATERIAL BASE PLÁSTICO, CAPACIDADE BALDE 30, TIPO ESPREMEDOR PRESSÃO VERTICAL, COMPRIMENTO 52, LARGURA 37, ALTURA 84</t>
  </si>
  <si>
    <t>Cêra  Acrílica Líquida  Auto brilho – Emb. c/ 5 Litros.</t>
  </si>
  <si>
    <t>Hipoclorito de sódio concentrado a 1% - Emb. c/ 1 litro</t>
  </si>
  <si>
    <t>Desinfetante características: ativo, tensoativo não iônico, solventes, antioxidante, fragrância lavanda, veículo e propelente - Emb. c/ 5 litros</t>
  </si>
  <si>
    <t xml:space="preserve">Detergente líquido concentrado, neutro características: tensoativo iônico, sais inorgânicos, sequestrante, neutralizante, conservante, coadjuvante, corantes, essência e veículo - Emb. c/ 5 litros </t>
  </si>
  <si>
    <t>FIBRA PARA LIMPEZA DE USO GERAL; MEDIDAS: 102MM X 260MM X 11MM; COMPOSIÇÃO: NY LON; PRODUTO ABRASIVO, IDEAL PARA MÉDIAS SUJIDADE</t>
  </si>
  <si>
    <t>Pano multiuso para limpeza características: tamanho 300m x 28cm, nas cores azul ou rosa, com furinhos que auxiliam na remoção da sujeira, composto de 100% de viscose e látex sintético que absorve mais facilmente líquidos, lavável, seca rapidamente e não retém odores. - Rolo 300m</t>
  </si>
  <si>
    <t>Limpa Alumínio - Emb. c/ 5 litros</t>
  </si>
  <si>
    <t>Limpa  Pedra  - Emb. c/ 5 litros</t>
  </si>
  <si>
    <t>Limpador instantâneo multiuso concentrado  características: líquido, composto de linear alquil benzeno sulfonato de sódio, alcalinizante, tensoativo não iônico, sequestrante, solubilizante, éter glicólico, álcool, perfume e água. Bombona com 05 litros</t>
  </si>
  <si>
    <t>Vassoura de Piaçava c/ cabo Chapa - 20cm</t>
  </si>
  <si>
    <t>Vasculho de Teto - Cabo 3m</t>
  </si>
  <si>
    <t>Vaselina Líquida - Emb. c/ 1 litro</t>
  </si>
  <si>
    <t>Mop pó - cabo incluso</t>
  </si>
  <si>
    <t>Mop Água - cabo incluso</t>
  </si>
  <si>
    <t>Itens com entrega ou reposição Bimestral</t>
  </si>
  <si>
    <r>
      <t xml:space="preserve">Esponja de lã de aço, formato retangular, aplicação limpeza geral, textura macia e isenta de sinais de oxidação, medindo, no mínimo, 100x75. Composição: lã de aço carbono, </t>
    </r>
    <r>
      <rPr>
        <b/>
        <sz val="8"/>
        <color rgb="FF00000A"/>
        <rFont val="Spranq eco sans"/>
        <family val="2"/>
      </rPr>
      <t>pacote</t>
    </r>
    <r>
      <rPr>
        <sz val="8"/>
        <color rgb="FF00000A"/>
        <rFont val="Spranq eco sans"/>
        <family val="2"/>
      </rPr>
      <t xml:space="preserve"> </t>
    </r>
    <r>
      <rPr>
        <b/>
        <sz val="8"/>
        <color rgb="FF00000A"/>
        <rFont val="Spranq eco sans"/>
        <family val="2"/>
      </rPr>
      <t>com</t>
    </r>
    <r>
      <rPr>
        <sz val="8"/>
        <color rgb="FF00000A"/>
        <rFont val="Spranq eco sans"/>
        <family val="2"/>
      </rPr>
      <t xml:space="preserve"> </t>
    </r>
    <r>
      <rPr>
        <b/>
        <sz val="8"/>
        <color rgb="FF00000A"/>
        <rFont val="Spranq eco sans"/>
        <family val="2"/>
      </rPr>
      <t>08 unidades</t>
    </r>
    <r>
      <rPr>
        <sz val="8"/>
        <color rgb="FF00000A"/>
        <rFont val="Spranq eco sans"/>
        <family val="2"/>
      </rPr>
      <t xml:space="preserve"> (tipo Bom Bril ou Similar)</t>
    </r>
  </si>
  <si>
    <r>
      <t xml:space="preserve">Sabonete Líquido, Aspecto Físico Líquido Viscoso, Cor Branca, Sem associação de anti-séptico odor  floral, acidez 6,5, aplicação  saboneteira para sabonetes líquidos, características adicionais com  creme hidratante/refil, composição cocoamidopropil betaína, propilenoglicol, diestear, densidade 1,015, aroma  suave. </t>
    </r>
    <r>
      <rPr>
        <b/>
        <sz val="8"/>
        <color rgb="FF000000"/>
        <rFont val="Spranq eco sans"/>
        <family val="2"/>
      </rPr>
      <t>Adicionais: apresentação em refil.</t>
    </r>
  </si>
  <si>
    <r>
      <t>Balde, material plástico, capacidade de 8 litros, material alça arame galvanizado, cor</t>
    </r>
    <r>
      <rPr>
        <sz val="8"/>
        <color rgb="FF000000"/>
        <rFont val="Spranq eco sans"/>
        <family val="2"/>
      </rPr>
      <t xml:space="preserve"> Vermelho</t>
    </r>
  </si>
  <si>
    <r>
      <t>Balde, material plástico, capacidade de 8 litros, material alça arame galvanizado, cor</t>
    </r>
    <r>
      <rPr>
        <sz val="8"/>
        <color rgb="FF000000"/>
        <rFont val="Spranq eco sans"/>
        <family val="2"/>
      </rPr>
      <t xml:space="preserve"> Verde</t>
    </r>
  </si>
  <si>
    <t>Valor Unitário tributos</t>
  </si>
  <si>
    <t>Suporte instalação para enceradeiras e lavadoras, com base em madeira naval ou disco fixo 350cm</t>
  </si>
  <si>
    <t>Pá coletora de lixo POP com cabo de aluminio</t>
  </si>
  <si>
    <t xml:space="preserve"> </t>
  </si>
  <si>
    <t>Valor Unitário Mensal do Insumo</t>
  </si>
  <si>
    <r>
      <t xml:space="preserve">Valor Total Mensal do Insumo </t>
    </r>
    <r>
      <rPr>
        <b/>
        <sz val="8"/>
        <color theme="1"/>
        <rFont val="Wingdings"/>
        <charset val="2"/>
      </rPr>
      <t>è</t>
    </r>
  </si>
  <si>
    <r>
      <t xml:space="preserve">Custo Insumo / Servente </t>
    </r>
    <r>
      <rPr>
        <sz val="8"/>
        <color theme="1"/>
        <rFont val="Wingdings"/>
        <charset val="2"/>
      </rPr>
      <t>è</t>
    </r>
  </si>
  <si>
    <r>
      <t xml:space="preserve">Custo Total dos Insumos </t>
    </r>
    <r>
      <rPr>
        <sz val="8"/>
        <color theme="1"/>
        <rFont val="Wingdings"/>
        <charset val="2"/>
      </rPr>
      <t>è</t>
    </r>
  </si>
  <si>
    <t>Itens com entrega ou reposição Semestral</t>
  </si>
  <si>
    <t>Equipamentos e outros insumos</t>
  </si>
  <si>
    <t>Encarregado - 12/36h dom a dom - Noturno</t>
  </si>
  <si>
    <t>Servente - 12/36h dom a dom - Noturno insal 40%</t>
  </si>
  <si>
    <t>Encarregado 12/36h Noturno Dom a Dom</t>
  </si>
  <si>
    <t>MEMORIAL DE CÁLCULO  - ENCARREGADO NOTURNO - 12/36H DOM A DOM</t>
  </si>
  <si>
    <t>nº de Serventes 12/36 Diurno</t>
  </si>
  <si>
    <t>nº de Serventes 12/36 Noturno</t>
  </si>
  <si>
    <t>nº Serventes 44h - Diurno</t>
  </si>
  <si>
    <t xml:space="preserve">nº total de Encarregados </t>
  </si>
  <si>
    <t>Insumo/Homem</t>
  </si>
  <si>
    <r>
      <t>Custo Homem m</t>
    </r>
    <r>
      <rPr>
        <vertAlign val="superscript"/>
        <sz val="8"/>
        <color theme="1"/>
        <rFont val="Spranq eco sans"/>
        <family val="2"/>
      </rPr>
      <t>2</t>
    </r>
  </si>
  <si>
    <r>
      <t>Custo por m</t>
    </r>
    <r>
      <rPr>
        <vertAlign val="superscript"/>
        <sz val="8"/>
        <color theme="1"/>
        <rFont val="Spranq eco sans"/>
        <family val="2"/>
      </rPr>
      <t>2</t>
    </r>
  </si>
  <si>
    <t>Custo/ Posto</t>
  </si>
  <si>
    <t>Mão-de-obra - Área Interna (A.2)</t>
  </si>
  <si>
    <t>Mão-de-obra - Área Interna (A.3.1)</t>
  </si>
  <si>
    <t>Mão-de-obra - Área Interna (A.3.2)</t>
  </si>
  <si>
    <t xml:space="preserve">Servente - 44h seg a  sex - Diurno s/ insal </t>
  </si>
  <si>
    <t>Mão-de-obra - Área Interna (A.3.3)</t>
  </si>
  <si>
    <t>Mão-de-obra - Área Interna (A.3.4)</t>
  </si>
  <si>
    <t>Mão-de-obra - Área Interna (A.3.5)</t>
  </si>
  <si>
    <t>Mão-de-obra - Área Interna (B.1)</t>
  </si>
  <si>
    <t>Mão-de-obra - Área Interna (C.1)</t>
  </si>
  <si>
    <t>Mão-de-obra - Área Interna (C.2)</t>
  </si>
  <si>
    <t xml:space="preserve">Valor Estimado </t>
  </si>
  <si>
    <t>nº de Serventes 12/36 Diurno 40%</t>
  </si>
  <si>
    <t>nº de Serventes 12/36 Diurno 20%</t>
  </si>
  <si>
    <t>nº de Serventes 12/36 Noturno 40%</t>
  </si>
  <si>
    <t>nº de Servente 44h 40%</t>
  </si>
  <si>
    <t>nº de Servente 44h sem insalubridade</t>
  </si>
  <si>
    <t>5143-05</t>
  </si>
  <si>
    <t>Piso  Profissional Limpador de Vidro (CBO 5143-05)</t>
  </si>
  <si>
    <t>MEMORIAL DE CÁLCULO  - LIMPADOR DE VIDRO 44H SEG A SEX</t>
  </si>
  <si>
    <t>Limpador de Vidro 44h seg a sex - Diurno</t>
  </si>
  <si>
    <t>nº de Limpeadores de Vidro</t>
  </si>
  <si>
    <t>Luva de Latex Amarela - Cano longo</t>
  </si>
  <si>
    <t>Luva de Latex Verde - Cano longo</t>
  </si>
  <si>
    <t>Óculos de Segurança - arco plastico</t>
  </si>
  <si>
    <t>Máscara Descartável - N95</t>
  </si>
  <si>
    <t>Avental de Vinil de Alta resistencia</t>
  </si>
  <si>
    <t xml:space="preserve">Avental descartável </t>
  </si>
  <si>
    <t>Bota de Borracha - Cano longo - Cor Branca</t>
  </si>
  <si>
    <t>% de insumo sobre mão de obra</t>
  </si>
  <si>
    <r>
      <t>Custo Homem m</t>
    </r>
    <r>
      <rPr>
        <vertAlign val="superscript"/>
        <sz val="8"/>
        <color theme="0"/>
        <rFont val="Spranq eco sans"/>
        <family val="2"/>
      </rPr>
      <t>2</t>
    </r>
  </si>
  <si>
    <r>
      <t>Custo por m</t>
    </r>
    <r>
      <rPr>
        <vertAlign val="superscript"/>
        <sz val="8"/>
        <color theme="0"/>
        <rFont val="Spranq eco sans"/>
        <family val="2"/>
      </rPr>
      <t>2</t>
    </r>
  </si>
  <si>
    <t>(1)</t>
  </si>
  <si>
    <t>(2)</t>
  </si>
  <si>
    <t>(3)</t>
  </si>
  <si>
    <t>(4)</t>
  </si>
  <si>
    <t> Qtd</t>
  </si>
  <si>
    <t>Valor Mensal</t>
  </si>
  <si>
    <t>Valor Anual</t>
  </si>
  <si>
    <t>23079.004237/2019-70</t>
  </si>
  <si>
    <t>Diurno - 12/36 Segunda a Domingo 7 as 19 Horas</t>
  </si>
  <si>
    <t>Noturno - 12/36 Segunda a Domingo 19 as 7 Horas</t>
  </si>
  <si>
    <t xml:space="preserve">Diurno =&gt; 44h Segunda  a Sexta 7h as 16:48h </t>
  </si>
  <si>
    <r>
      <t xml:space="preserve">Horários </t>
    </r>
    <r>
      <rPr>
        <vertAlign val="superscript"/>
        <sz val="8"/>
        <color theme="1"/>
        <rFont val="Spranq eco sans"/>
        <family val="2"/>
      </rPr>
      <t>(*)</t>
    </r>
  </si>
  <si>
    <t>Valor estimado mensal:</t>
  </si>
  <si>
    <t>ITEM</t>
  </si>
  <si>
    <t>QTD. Mensal</t>
  </si>
  <si>
    <t>Controle Anual dos Recebimentos ao longo do ano de contato</t>
  </si>
  <si>
    <t>Qtd Anual Estimada</t>
  </si>
  <si>
    <t>Saldo</t>
  </si>
  <si>
    <t>Valor Unitário Mensal</t>
  </si>
  <si>
    <t>Controle dos Pagamentos a serem efetuados ao longo do ano de contato</t>
  </si>
  <si>
    <t>1º</t>
  </si>
  <si>
    <t>2º</t>
  </si>
  <si>
    <t>3º</t>
  </si>
  <si>
    <t>4º</t>
  </si>
  <si>
    <t>5º</t>
  </si>
  <si>
    <t>6º</t>
  </si>
  <si>
    <t>7º</t>
  </si>
  <si>
    <t>8º</t>
  </si>
  <si>
    <t>9º</t>
  </si>
  <si>
    <t>10º</t>
  </si>
  <si>
    <t>11º</t>
  </si>
  <si>
    <t>12º</t>
  </si>
  <si>
    <t>PRODUTOS COM FORNECIMENTO MENSAL</t>
  </si>
  <si>
    <t>PRODUTO COM FORNECIMENTO BIMESTRAL</t>
  </si>
  <si>
    <t>PRODUTO COM FORNECIMENTO SEMESTRAL</t>
  </si>
  <si>
    <t>PRODUTO COM FORNECIMENTO PERMANENTE (vida útil de 5 anos) </t>
  </si>
  <si>
    <t>Valor Mensal à Receber</t>
  </si>
  <si>
    <t>Assinatura do Fiscal: _____________________________________________________ Assinatura Rep. Empresa __________________________________________________</t>
  </si>
  <si>
    <t>Data:_______/________/_________</t>
  </si>
  <si>
    <t>1º mês de Contrato</t>
  </si>
  <si>
    <t>2º mês de Contrato</t>
  </si>
  <si>
    <t>3º mês de Contrato</t>
  </si>
  <si>
    <t>4º mês de Contrato</t>
  </si>
  <si>
    <t>5º mês de Contrato</t>
  </si>
  <si>
    <t>6º mês de Contrato</t>
  </si>
  <si>
    <t>7º mês de Contrato</t>
  </si>
  <si>
    <t>8º mês de Contrato</t>
  </si>
  <si>
    <t>9º mês de Contrato</t>
  </si>
  <si>
    <t>10º mês de Contrato</t>
  </si>
  <si>
    <t>11º mês de Contrato</t>
  </si>
  <si>
    <t>12º mês de Contrato</t>
  </si>
  <si>
    <t>Universidade Federal do Rio de Janeiro</t>
  </si>
  <si>
    <t>PRÓ-REITORIA DE GESTÃO E GOVERNANÇA - PR6</t>
  </si>
  <si>
    <t>Instrumento de Medição de Resultado (IMR)</t>
  </si>
  <si>
    <t>UNIDADE:</t>
  </si>
  <si>
    <t>EMPRESA:</t>
  </si>
  <si>
    <t>CONTRATO:</t>
  </si>
  <si>
    <t>MÊS/ANO:</t>
  </si>
  <si>
    <t>Marque com "X' a nota correspondente</t>
  </si>
  <si>
    <r>
      <t xml:space="preserve">Módulo A - </t>
    </r>
    <r>
      <rPr>
        <b/>
        <sz val="9"/>
        <color indexed="8"/>
        <rFont val="Spranq eco sans"/>
        <family val="2"/>
      </rPr>
      <t>EQUIPAMENTO / PRODUTO</t>
    </r>
  </si>
  <si>
    <t>BOM</t>
  </si>
  <si>
    <t>REGULAR</t>
  </si>
  <si>
    <t>RUIM</t>
  </si>
  <si>
    <t xml:space="preserve"> FISCAL DO CONTRATO</t>
  </si>
  <si>
    <t>ASSINATURA E CARIMBO:</t>
  </si>
  <si>
    <t>DATA:</t>
  </si>
  <si>
    <t>Equipamentos e Produtos de Limpeza</t>
  </si>
  <si>
    <t>X</t>
  </si>
  <si>
    <r>
      <t>Módulo B -</t>
    </r>
    <r>
      <rPr>
        <b/>
        <sz val="9"/>
        <color indexed="8"/>
        <rFont val="Spranq eco sans"/>
        <family val="2"/>
      </rPr>
      <t xml:space="preserve"> PESSOAL / APRESENTAÇÃO / EPI</t>
    </r>
  </si>
  <si>
    <t>Quantidade da Equipe</t>
  </si>
  <si>
    <t>Apresentação - Uniformização</t>
  </si>
  <si>
    <t>B.3</t>
  </si>
  <si>
    <t>Equipamento de Proteção Individual</t>
  </si>
  <si>
    <t>B.4</t>
  </si>
  <si>
    <t>Qualidade da Equipe</t>
  </si>
  <si>
    <r>
      <t xml:space="preserve">Módulo C - </t>
    </r>
    <r>
      <rPr>
        <b/>
        <sz val="9"/>
        <color indexed="8"/>
        <rFont val="Spranq eco sans"/>
        <family val="2"/>
      </rPr>
      <t>FREQUÊNCIA DOS SERVIÇOS</t>
    </r>
  </si>
  <si>
    <t>Cumprimento de cronograma e atividades</t>
  </si>
  <si>
    <r>
      <t xml:space="preserve">Módulo D - </t>
    </r>
    <r>
      <rPr>
        <b/>
        <sz val="9"/>
        <color indexed="8"/>
        <rFont val="Spranq eco sans"/>
        <family val="2"/>
      </rPr>
      <t>INSPEÇÃO DOS SERVIÇOS NAS ÁREAS</t>
    </r>
  </si>
  <si>
    <t>Não se Aplica</t>
  </si>
  <si>
    <t>ACESSÓRIOS SANITÁRIOS (espelhos, toalheiro, saboneteia e afins)</t>
  </si>
  <si>
    <t>D.2</t>
  </si>
  <si>
    <t>LOUÇAS SANITÁRIAS (vaso, mictório)</t>
  </si>
  <si>
    <t xml:space="preserve"> DIRETOR DA UNIDADE</t>
  </si>
  <si>
    <t>D.3</t>
  </si>
  <si>
    <t>MÓVEIS</t>
  </si>
  <si>
    <t>D.4</t>
  </si>
  <si>
    <t>PAREDES e AZULEJOS</t>
  </si>
  <si>
    <t>D.5</t>
  </si>
  <si>
    <t>PIA e CUBA</t>
  </si>
  <si>
    <t>D.6</t>
  </si>
  <si>
    <t>PISO</t>
  </si>
  <si>
    <t>D.7</t>
  </si>
  <si>
    <t>RECIPIENTE PARA RESÍDUOS (lixeira)</t>
  </si>
  <si>
    <t>D.8</t>
  </si>
  <si>
    <t>SAÍDA DE AR CONDICIONADO e EXAUSTOR</t>
  </si>
  <si>
    <t>D.9</t>
  </si>
  <si>
    <t>TETO</t>
  </si>
  <si>
    <t>D.10</t>
  </si>
  <si>
    <t>VIDROS, ESQUADRIAS ou FACHADA ENVIDRAÇADA</t>
  </si>
  <si>
    <t>D.11</t>
  </si>
  <si>
    <t>RECOLHIMENTO DE RESÍDUOS (recolhimento do lixo até o destino interno)</t>
  </si>
  <si>
    <t>D.12</t>
  </si>
  <si>
    <t>ESCADA, ELEVADOR OU RAMPA</t>
  </si>
  <si>
    <t>Nota Obtida</t>
  </si>
  <si>
    <t>Qtd de Itens avaliados</t>
  </si>
  <si>
    <t>Equivalência</t>
  </si>
  <si>
    <t>Pontos obtidos</t>
  </si>
  <si>
    <t>Total de Pontos</t>
  </si>
  <si>
    <t>Pontos</t>
  </si>
  <si>
    <r>
      <t>Número de Serventes previstos para sua unidade</t>
    </r>
    <r>
      <rPr>
        <i/>
        <vertAlign val="superscript"/>
        <sz val="9"/>
        <color indexed="8"/>
        <rFont val="Spranq eco sans"/>
        <family val="2"/>
      </rPr>
      <t>(*)</t>
    </r>
    <r>
      <rPr>
        <i/>
        <sz val="9"/>
        <color indexed="8"/>
        <rFont val="Spranq eco sans"/>
        <family val="2"/>
      </rPr>
      <t>:</t>
    </r>
  </si>
  <si>
    <t>Número de Serventes presentes no mês avaliado:</t>
  </si>
  <si>
    <t>NOTA</t>
  </si>
  <si>
    <t>RESULTADO</t>
  </si>
  <si>
    <t>% DE LIBERAÇÃO</t>
  </si>
  <si>
    <t>NOTA MAIOR OU IGUAL A 93 PONTOS</t>
  </si>
  <si>
    <t>NOTA ENTRE 92 E  90 PONTOS</t>
  </si>
  <si>
    <t>NOTA ENTRE 89 E 88 PONTOS</t>
  </si>
  <si>
    <r>
      <t>Valor mensal c/ mão de Obra</t>
    </r>
    <r>
      <rPr>
        <vertAlign val="superscript"/>
        <sz val="9"/>
        <color indexed="8"/>
        <rFont val="Spranq eco sans"/>
        <family val="2"/>
      </rPr>
      <t xml:space="preserve"> </t>
    </r>
  </si>
  <si>
    <t>NOTA ENTRE 87 E 86 PONTOS</t>
  </si>
  <si>
    <t>Valor mensal c/ material</t>
  </si>
  <si>
    <t xml:space="preserve">NOTA ENTRE 85 E 84 PONTOS </t>
  </si>
  <si>
    <r>
      <t>Valor mensal do contrato</t>
    </r>
    <r>
      <rPr>
        <vertAlign val="superscript"/>
        <sz val="9"/>
        <color indexed="8"/>
        <rFont val="Spranq eco sans"/>
        <family val="2"/>
      </rPr>
      <t xml:space="preserve"> </t>
    </r>
  </si>
  <si>
    <t xml:space="preserve">NOTA ENTRE 83 E 82 PONTOS </t>
  </si>
  <si>
    <t>Percentual de liberação</t>
  </si>
  <si>
    <t>NOTA MENOR OU IGUAL A 81 PONTOS</t>
  </si>
  <si>
    <t>Valor liberado para Faturamento</t>
  </si>
  <si>
    <t>pag 01/02</t>
  </si>
  <si>
    <t>OCORRÊNCIAS OBSERVADAS EM RELAÇÃO À CONTRATADA – JUSTIFICATIVAS DA AVALIAÇÃO:</t>
  </si>
  <si>
    <t>Este relatório resumo é obrigatório principalmente nos casos em que a fiscalização apontar falhas na execução do contrato atribuindo notas inferiores a 03 (três) nos itens avaliados.  Deve ser usado para relatar todas as falhas ocorridas durante a execução do objeto.</t>
  </si>
  <si>
    <t>CIENTE DO DIRETOR DA UNIDADE</t>
  </si>
  <si>
    <t>CIENTE DO FISCAL DO CONTRATO</t>
  </si>
  <si>
    <t>pag 02/02</t>
  </si>
  <si>
    <t>HOSPITAL UNIVERSITÁRIO CLEMENTINO FRAGA FILHO - HUCFF</t>
  </si>
  <si>
    <t>CONTROLE DE MATERIAIS DO HUCFF- UFRJ</t>
  </si>
  <si>
    <t xml:space="preserve">UNIVERSIDADE FEDERAL DO RIO DE JANEIRO  </t>
  </si>
  <si>
    <t>INSTRUMENTO DE CONSOLIDAÇÃO DE RESULTADO DOS SERVIÇOS DE LIMPEZA</t>
  </si>
  <si>
    <t>CONTRATO Nº:</t>
  </si>
  <si>
    <t>Data:</t>
  </si>
  <si>
    <t>CONTRATADA:</t>
  </si>
  <si>
    <t>FISCAL ADMINISTRATIVO:</t>
  </si>
  <si>
    <t>AVALIAÇÃO REFERENTE AO PERÍODO:</t>
  </si>
  <si>
    <t>ÁREA:</t>
  </si>
  <si>
    <t>QUANTIDADE DE UNIDADES COM FISCAL OPERACIONAL NA ÁREA:</t>
  </si>
  <si>
    <t>UNIDADES BENEFICIADAS COM O SERVIÇO</t>
  </si>
  <si>
    <t>Nota Final</t>
  </si>
  <si>
    <t>MÉDIA GERAL</t>
  </si>
  <si>
    <t>CONCEITO FINAL</t>
  </si>
  <si>
    <t>Conceito</t>
  </si>
  <si>
    <t>Nota Média Mensal Apurada</t>
  </si>
  <si>
    <t>Avaliações realizadas ANO 20XX/20XX</t>
  </si>
  <si>
    <t>Maior ou Igual a 93</t>
  </si>
  <si>
    <t>Mês 01</t>
  </si>
  <si>
    <t>Mês 07</t>
  </si>
  <si>
    <t>Entre 92 e 90</t>
  </si>
  <si>
    <t>Mês 02</t>
  </si>
  <si>
    <t>Mês 08</t>
  </si>
  <si>
    <t>Entre 89 e 88</t>
  </si>
  <si>
    <t>Mês 03</t>
  </si>
  <si>
    <t>Mês 09</t>
  </si>
  <si>
    <t>Entre 87 e 86</t>
  </si>
  <si>
    <t>Mês 04</t>
  </si>
  <si>
    <t>Mês 10</t>
  </si>
  <si>
    <t>Entre 85 e 84</t>
  </si>
  <si>
    <t>Mês 05</t>
  </si>
  <si>
    <t>Mês 11</t>
  </si>
  <si>
    <t>Entre 83 e 82</t>
  </si>
  <si>
    <t>Mês 06</t>
  </si>
  <si>
    <t>Mês 12</t>
  </si>
  <si>
    <t>Menor ou Igual a 81</t>
  </si>
  <si>
    <t>Média Acumulada</t>
  </si>
  <si>
    <t>Sanção:</t>
  </si>
  <si>
    <t>Fiscal Administrativo</t>
  </si>
  <si>
    <t>Gestor PR-6</t>
  </si>
  <si>
    <t>Responsável da Contratada</t>
  </si>
  <si>
    <t>Contrato Atual Com CCT 2018/2019</t>
  </si>
  <si>
    <t>Item</t>
  </si>
  <si>
    <r>
      <t>M</t>
    </r>
    <r>
      <rPr>
        <b/>
        <vertAlign val="superscript"/>
        <sz val="9"/>
        <color theme="0"/>
        <rFont val="Spranq eco sans"/>
        <family val="2"/>
      </rPr>
      <t>2</t>
    </r>
  </si>
  <si>
    <t>Valor Anual Estimado para o Contrato</t>
  </si>
  <si>
    <t>Benefício Social Familiar  - Cláusula Vigésima Sexta da CCT</t>
  </si>
  <si>
    <t>Contribuição Negocial Patronal - Cláusula Quinquagésima nona  da CCT</t>
  </si>
  <si>
    <t>Instrumento de Medição de Resultado (IMR) - CONTROLE DE ÁREA FÍSICA LIMPA</t>
  </si>
  <si>
    <t>MÊS / ANO</t>
  </si>
  <si>
    <t>CONTRATADO</t>
  </si>
  <si>
    <t>ÁREA LIMPA AFERIDA NO MÊS</t>
  </si>
  <si>
    <t>Valor Liberado</t>
  </si>
  <si>
    <t xml:space="preserve">ÁREA </t>
  </si>
  <si>
    <r>
      <t>M</t>
    </r>
    <r>
      <rPr>
        <vertAlign val="superscript"/>
        <sz val="11"/>
        <color theme="1"/>
        <rFont val="Spranq eco sans"/>
        <family val="2"/>
      </rPr>
      <t>2</t>
    </r>
  </si>
  <si>
    <r>
      <t>Valor m</t>
    </r>
    <r>
      <rPr>
        <vertAlign val="superscript"/>
        <sz val="11"/>
        <color theme="1"/>
        <rFont val="Spranq eco sans"/>
        <family val="2"/>
      </rPr>
      <t>2</t>
    </r>
  </si>
  <si>
    <t xml:space="preserve">Diurno </t>
  </si>
  <si>
    <t>Esquadria</t>
  </si>
  <si>
    <t>OBS: Somente preencher as áreas em branco</t>
  </si>
  <si>
    <t>DIRETOR DA UNIDADE</t>
  </si>
  <si>
    <t>FISCAL DO CONTRATO</t>
  </si>
  <si>
    <t>Grupo</t>
  </si>
  <si>
    <t xml:space="preserve">Valor Unitário </t>
  </si>
  <si>
    <t>Valor Estimado com CCT 2020/2021</t>
  </si>
  <si>
    <t>TURNO</t>
  </si>
  <si>
    <t>12/36 Diurno</t>
  </si>
  <si>
    <t>12/36 Noturno</t>
  </si>
  <si>
    <t>44h Seg a Seg</t>
  </si>
  <si>
    <t>Insal</t>
  </si>
  <si>
    <t xml:space="preserve">Serviço de limpeza e conservação -  HOSPITAL UNIVERSITÁRIO CLEMENTINO FRAGA FILHO </t>
  </si>
  <si>
    <r>
      <t xml:space="preserve">IMPORTANTE </t>
    </r>
    <r>
      <rPr>
        <b/>
        <sz val="14"/>
        <color rgb="FFFF0000"/>
        <rFont val="Arial"/>
        <family val="2"/>
      </rPr>
      <t>↓</t>
    </r>
  </si>
  <si>
    <t xml:space="preserve">Seu preenchimento é de responsabilidade da Empresa que enviará a cotação </t>
  </si>
  <si>
    <t>Os itens marcados com a cor</t>
  </si>
  <si>
    <t xml:space="preserve"> em geral são os itens que devem ser preenchidos pela Empresa</t>
  </si>
  <si>
    <t>Caso a Empresa não concorde com o modelo de calculo apresentado, este poderá ser alterado.</t>
  </si>
  <si>
    <t>Esta alteração deve sempre ser feita de forma aberta, auditável e de clara compreensão.</t>
  </si>
  <si>
    <t>A Empresa deverá sempre demonstrar seus cálculos na aba correspondente a memória de cálculo do cargo.</t>
  </si>
  <si>
    <t>Empresa:</t>
  </si>
  <si>
    <t>Prestação de Serviço de Limpeza e Conservação - Áreas Hospitalares-12 Horas Diurnas - 12/36h diurna de domingo a domingo - A.1 - Área Hospitalar Crítica - 40% de insalubridade</t>
  </si>
  <si>
    <t>Prestação de Serviço de Limpeza e Conservação - Áreas Hospitalares-12 Horas Diurnas - 12/36h diurna de domingo a domingo - A.2 - Área Hospitalar Semi-Crítica - 20% de insalubridade</t>
  </si>
  <si>
    <t>Prestação de Serviço de Limpeza e Conservação - Áreas Hospitalares-12 Horas Diurnas - 12/36h diurna de domingo a domingo - A.2 - Área Hospitalar Semi-Crítica - 40% de insalubridade</t>
  </si>
  <si>
    <t>Prestação de Serviço de Limpeza e Conservação - Áreas Hospitalares-12 Horas Noturnas  - 12/36h noturna de domingo a domingo - A.1 - Área Hospitalar Crítica - 40% de insalubridade</t>
  </si>
  <si>
    <t>Prestação de Serviço de Limpeza e Conservação - Áreas Hospitalares - 44 Horas Semanais Diurnas - 44h diurna de segunda a sexta  - A.1 - Área Hospitalar Crítica - 40% de insalubridade</t>
  </si>
  <si>
    <t xml:space="preserve">Prestação de Serviço de Limpeza e Conservação - Áreas Hospitalares - 44 Horas Semanais Diurnas - 44h diurna de segunda a sexta  -    A.3.1 - Cozinhas e Copas - s/ insalubridade </t>
  </si>
  <si>
    <t xml:space="preserve">Prestação de Serviço de Limpeza e Conservação - Áreas Hospitalares - 44 Horas Semanais Diurnas - 44h diurna de segunda a sexta  -    A.3.2 - Escadas e Acesso ao Telhado - s/ insalubridade </t>
  </si>
  <si>
    <t xml:space="preserve">Prestação de Serviço de Limpeza e Conservação - Áreas Hospitalares - 44 Horas Semanais Diurnas - 44h diurna de segunda a sexta  -    A.3.3 - Áreas Ordinárias - s/ insalubridade </t>
  </si>
  <si>
    <t xml:space="preserve">Prestação de Serviço de Limpeza e Conservação - Áreas Hospitalares - 44 Horas Semanais Diurnas - 44h diurna de segunda a sexta  -    A.3.4 - Salões, Auditórios, Hall e Corredor - s/ insalubridade </t>
  </si>
  <si>
    <t xml:space="preserve">Prestação de Serviço de Limpeza e Conservação - Áreas Externas - Outras Necessidades. - 44h diurna de segunda a sexta  - B.1 - Externa  - s/ insalubridade </t>
  </si>
  <si>
    <t>Prestação de Serviço de Limpeza e Conservação - Áreas Hospitalares - Outras Necessidades - Outra Produtividade - 44h diurna de segunda a sexta  - C.1 - Esquadrias Face Interna</t>
  </si>
  <si>
    <t>Prestação de Serviço de Limpeza e Conservação - Esquadrias Externas - Freqüência 16H/Mensal - Outra Produtividade - 44h diurna de segunda a sexta  - C.2 - Esquadrias Face Externa</t>
  </si>
  <si>
    <t>MARCA / MODELO</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</si>
</sst>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quot;R$&quot;\ #,##0.00;\-&quot;R$&quot;\ #,##0.00"/>
    <numFmt numFmtId="165" formatCode="&quot;R$&quot;\ #,##0.00;[Red]\-&quot;R$&quot;\ #,##0.00"/>
    <numFmt numFmtId="166" formatCode="_-&quot;R$&quot;\ * #,##0.00_-;\-&quot;R$&quot;\ * #,##0.00_-;_-&quot;R$&quot;\ * &quot;-&quot;??_-;_-@_-"/>
    <numFmt numFmtId="167" formatCode="_(&quot;R$ &quot;* #,##0.00_);_(&quot;R$ &quot;* \(#,##0.00\);_(&quot;R$ &quot;* &quot;-&quot;??_);_(@_)"/>
    <numFmt numFmtId="168" formatCode="#,###\ \ \ &quot; m²&quot;"/>
    <numFmt numFmtId="169" formatCode="&quot;R$ &quot;#,##0.00_);\(&quot;R$ &quot;#,##0.00\)"/>
    <numFmt numFmtId="170" formatCode="#,##0_ ;\-#,##0\ "/>
    <numFmt numFmtId="171" formatCode="#,##0.00000000"/>
    <numFmt numFmtId="172" formatCode="0.000000000"/>
    <numFmt numFmtId="173" formatCode="0_ ;\-0\ "/>
    <numFmt numFmtId="174" formatCode="0_ ;[Red]\-0\ "/>
    <numFmt numFmtId="175" formatCode="_-&quot;R$&quot;* #,##0.0000_-;\-&quot;R$&quot;* #,##0.0000_-;_-&quot;R$&quot;* &quot;-&quot;??_-;_-@_-"/>
    <numFmt numFmtId="176" formatCode="_-&quot;R$&quot;\ * #,##0.000_-;\-&quot;R$&quot;\ * #,##0.000_-;_-&quot;R$&quot;\ * &quot;-&quot;??_-;_-@_-"/>
    <numFmt numFmtId="177" formatCode="_-&quot;R$&quot;\ * #,##0.0000_-;\-&quot;R$&quot;\ * #,##0.0000_-;_-&quot;R$&quot;\ * &quot;-&quot;??_-;_-@_-"/>
    <numFmt numFmtId="178" formatCode="#,###&quot; m²&quot;"/>
    <numFmt numFmtId="179" formatCode="&quot;R$ &quot;#,##0.0000"/>
    <numFmt numFmtId="180" formatCode="&quot;R$ &quot;#,##0.00"/>
  </numFmts>
  <fonts count="71">
    <font>
      <sz val="10"/>
      <color theme="1"/>
      <name val="Spranq eco sans"/>
      <family val="2"/>
    </font>
    <font>
      <sz val="10"/>
      <color theme="1"/>
      <name val="Spranq eco sans"/>
      <family val="2"/>
    </font>
    <font>
      <b/>
      <sz val="10"/>
      <color theme="0"/>
      <name val="Spranq eco sans"/>
      <family val="2"/>
    </font>
    <font>
      <sz val="10"/>
      <color rgb="FFFF0000"/>
      <name val="Spranq eco sans"/>
      <family val="2"/>
    </font>
    <font>
      <b/>
      <sz val="10"/>
      <color theme="1"/>
      <name val="Spranq eco sans"/>
      <family val="2"/>
    </font>
    <font>
      <sz val="8"/>
      <name val="Spranq eco sans"/>
      <family val="2"/>
    </font>
    <font>
      <sz val="12"/>
      <name val="Spranq eco sans"/>
      <family val="2"/>
    </font>
    <font>
      <sz val="11"/>
      <color theme="1"/>
      <name val="Spranq eco sans"/>
      <family val="2"/>
    </font>
    <font>
      <b/>
      <sz val="8"/>
      <name val="Spranq eco sans"/>
      <family val="2"/>
    </font>
    <font>
      <b/>
      <sz val="12"/>
      <color theme="1"/>
      <name val="Spranq eco sans"/>
      <family val="2"/>
    </font>
    <font>
      <b/>
      <sz val="11"/>
      <color theme="1"/>
      <name val="Spranq eco sans"/>
      <family val="2"/>
    </font>
    <font>
      <sz val="9"/>
      <color theme="0"/>
      <name val="Spranq eco sans"/>
      <family val="2"/>
    </font>
    <font>
      <b/>
      <sz val="9"/>
      <color theme="0"/>
      <name val="Spranq eco sans"/>
      <family val="2"/>
    </font>
    <font>
      <sz val="9"/>
      <color theme="1"/>
      <name val="Spranq eco sans"/>
      <family val="2"/>
    </font>
    <font>
      <sz val="8"/>
      <color theme="1"/>
      <name val="Spranq eco sans"/>
      <family val="2"/>
    </font>
    <font>
      <i/>
      <sz val="10"/>
      <color theme="1"/>
      <name val="Spranq eco sans"/>
      <family val="2"/>
    </font>
    <font>
      <sz val="10"/>
      <name val="Spranq eco sans"/>
      <family val="2"/>
    </font>
    <font>
      <vertAlign val="superscript"/>
      <sz val="9"/>
      <color theme="1"/>
      <name val="Spranq eco sans"/>
      <family val="2"/>
    </font>
    <font>
      <vertAlign val="superscript"/>
      <sz val="10"/>
      <color theme="1"/>
      <name val="Spranq eco sans"/>
      <family val="2"/>
    </font>
    <font>
      <b/>
      <sz val="13"/>
      <color theme="1"/>
      <name val="Spranq eco sans"/>
      <family val="2"/>
    </font>
    <font>
      <sz val="8"/>
      <color rgb="FF000000"/>
      <name val="Spranq eco sans"/>
      <family val="2"/>
    </font>
    <font>
      <sz val="8"/>
      <color theme="1"/>
      <name val="Times New Roman"/>
      <family val="1"/>
    </font>
    <font>
      <b/>
      <vertAlign val="superscript"/>
      <sz val="8"/>
      <name val="Spranq eco sans"/>
      <family val="2"/>
    </font>
    <font>
      <vertAlign val="superscript"/>
      <sz val="8"/>
      <color theme="1"/>
      <name val="Spranq eco sans"/>
      <family val="2"/>
    </font>
    <font>
      <b/>
      <sz val="8"/>
      <color theme="1"/>
      <name val="Spranq eco sans"/>
      <family val="2"/>
    </font>
    <font>
      <b/>
      <sz val="8"/>
      <color rgb="FF000000"/>
      <name val="Spranq eco sans"/>
      <family val="2"/>
    </font>
    <font>
      <sz val="8"/>
      <color rgb="FF00000A"/>
      <name val="Spranq eco sans"/>
      <family val="2"/>
    </font>
    <font>
      <b/>
      <sz val="8"/>
      <color rgb="FF00000A"/>
      <name val="Spranq eco sans"/>
      <family val="2"/>
    </font>
    <font>
      <sz val="8"/>
      <color rgb="FF000000"/>
      <name val="Open Sans"/>
      <family val="2"/>
    </font>
    <font>
      <sz val="8"/>
      <color theme="1"/>
      <name val="Wingdings"/>
      <charset val="2"/>
    </font>
    <font>
      <b/>
      <sz val="8"/>
      <color theme="1"/>
      <name val="Wingdings"/>
      <charset val="2"/>
    </font>
    <font>
      <sz val="8"/>
      <color theme="0"/>
      <name val="Spranq eco sans"/>
      <family val="2"/>
    </font>
    <font>
      <vertAlign val="superscript"/>
      <sz val="8"/>
      <color theme="0"/>
      <name val="Spranq eco sans"/>
      <family val="2"/>
    </font>
    <font>
      <sz val="16"/>
      <color theme="1"/>
      <name val="Spranq eco sans"/>
      <family val="2"/>
    </font>
    <font>
      <sz val="20"/>
      <color theme="1"/>
      <name val="Spranq eco sans"/>
      <family val="2"/>
    </font>
    <font>
      <b/>
      <i/>
      <sz val="8"/>
      <color rgb="FFFF0000"/>
      <name val="Spranq eco sans"/>
      <family val="2"/>
    </font>
    <font>
      <sz val="11"/>
      <color theme="1"/>
      <name val="Calibri"/>
      <family val="2"/>
      <scheme val="minor"/>
    </font>
    <font>
      <sz val="10"/>
      <name val="Arial"/>
      <family val="2"/>
    </font>
    <font>
      <sz val="9"/>
      <name val="Spranq eco sans"/>
      <family val="2"/>
    </font>
    <font>
      <b/>
      <sz val="12"/>
      <name val="Spranq eco sans"/>
      <family val="2"/>
    </font>
    <font>
      <b/>
      <sz val="10"/>
      <name val="Spranq eco sans"/>
      <family val="2"/>
    </font>
    <font>
      <sz val="9"/>
      <color indexed="8"/>
      <name val="Spranq eco sans"/>
      <family val="2"/>
    </font>
    <font>
      <b/>
      <u/>
      <sz val="9"/>
      <color indexed="8"/>
      <name val="Spranq eco sans"/>
      <family val="2"/>
    </font>
    <font>
      <b/>
      <sz val="9"/>
      <color indexed="8"/>
      <name val="Spranq eco sans"/>
      <family val="2"/>
    </font>
    <font>
      <b/>
      <sz val="7"/>
      <color indexed="8"/>
      <name val="Spranq eco sans"/>
      <family val="2"/>
    </font>
    <font>
      <sz val="14"/>
      <color indexed="8"/>
      <name val="Spranq eco sans"/>
      <family val="2"/>
    </font>
    <font>
      <b/>
      <sz val="20"/>
      <color indexed="8"/>
      <name val="Spranq eco sans"/>
      <family val="2"/>
    </font>
    <font>
      <sz val="10"/>
      <color indexed="10"/>
      <name val="Arial"/>
      <family val="2"/>
    </font>
    <font>
      <i/>
      <sz val="9"/>
      <color theme="1"/>
      <name val="Spranq eco sans"/>
      <family val="2"/>
    </font>
    <font>
      <i/>
      <vertAlign val="superscript"/>
      <sz val="9"/>
      <color indexed="8"/>
      <name val="Spranq eco sans"/>
      <family val="2"/>
    </font>
    <font>
      <i/>
      <sz val="9"/>
      <color indexed="8"/>
      <name val="Spranq eco sans"/>
      <family val="2"/>
    </font>
    <font>
      <b/>
      <sz val="7"/>
      <color theme="1"/>
      <name val="Spranq eco sans"/>
      <family val="2"/>
    </font>
    <font>
      <sz val="7"/>
      <color indexed="8"/>
      <name val="Spranq eco sans"/>
      <family val="2"/>
    </font>
    <font>
      <sz val="7"/>
      <color theme="1"/>
      <name val="Spranq eco sans"/>
      <family val="2"/>
    </font>
    <font>
      <vertAlign val="superscript"/>
      <sz val="9"/>
      <color indexed="8"/>
      <name val="Spranq eco sans"/>
      <family val="2"/>
    </font>
    <font>
      <sz val="6"/>
      <color theme="1"/>
      <name val="Spranq eco sans"/>
      <family val="2"/>
    </font>
    <font>
      <b/>
      <i/>
      <sz val="9"/>
      <color theme="1"/>
      <name val="Spranq eco sans"/>
      <family val="2"/>
    </font>
    <font>
      <b/>
      <sz val="9"/>
      <color theme="1"/>
      <name val="Spranq eco sans"/>
      <family val="2"/>
    </font>
    <font>
      <sz val="15"/>
      <name val="Arial"/>
      <family val="2"/>
    </font>
    <font>
      <i/>
      <sz val="10"/>
      <name val="Arial"/>
      <family val="2"/>
    </font>
    <font>
      <sz val="8"/>
      <name val="Arial"/>
      <family val="2"/>
    </font>
    <font>
      <b/>
      <sz val="10"/>
      <color indexed="9"/>
      <name val="Arial"/>
      <family val="2"/>
    </font>
    <font>
      <sz val="10"/>
      <color indexed="9"/>
      <name val="Arial"/>
      <family val="2"/>
    </font>
    <font>
      <b/>
      <vertAlign val="superscript"/>
      <sz val="9"/>
      <color theme="0"/>
      <name val="Spranq eco sans"/>
      <family val="2"/>
    </font>
    <font>
      <vertAlign val="superscript"/>
      <sz val="11"/>
      <color theme="1"/>
      <name val="Spranq eco sans"/>
      <family val="2"/>
    </font>
    <font>
      <sz val="11"/>
      <color rgb="FFFF0000"/>
      <name val="Spranq eco sans"/>
      <family val="2"/>
    </font>
    <font>
      <b/>
      <sz val="11"/>
      <color theme="0"/>
      <name val="Spranq eco sans"/>
      <family val="2"/>
    </font>
    <font>
      <b/>
      <sz val="8"/>
      <color theme="0"/>
      <name val="Spranq eco sans"/>
      <family val="2"/>
    </font>
    <font>
      <b/>
      <sz val="14"/>
      <color rgb="FFFF0000"/>
      <name val="Spranq eco sans"/>
      <family val="2"/>
    </font>
    <font>
      <b/>
      <sz val="14"/>
      <color rgb="FFFF0000"/>
      <name val="Arial"/>
      <family val="2"/>
    </font>
    <font>
      <sz val="10"/>
      <color rgb="FF000000"/>
      <name val="Spranq eco sans"/>
      <family val="2"/>
    </font>
  </fonts>
  <fills count="29">
    <fill>
      <patternFill patternType="none"/>
    </fill>
    <fill>
      <patternFill patternType="gray125"/>
    </fill>
    <fill>
      <patternFill patternType="solid">
        <fgColor indexed="22"/>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9" tint="-0.49998474074526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1" tint="4.9989318521683403E-2"/>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FF"/>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6795556505021"/>
        <bgColor indexed="64"/>
      </patternFill>
    </fill>
    <fill>
      <patternFill patternType="solid">
        <fgColor indexed="8"/>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s>
  <cellStyleXfs count="5">
    <xf numFmtId="0" fontId="0" fillId="0" borderId="0"/>
    <xf numFmtId="166" fontId="1" fillId="0" borderId="0" applyFont="0" applyFill="0" applyBorder="0" applyAlignment="0" applyProtection="0"/>
    <xf numFmtId="9" fontId="1" fillId="0" borderId="0" applyFont="0" applyFill="0" applyBorder="0" applyAlignment="0" applyProtection="0"/>
    <xf numFmtId="167" fontId="37" fillId="0" borderId="0" applyFont="0" applyFill="0" applyBorder="0" applyAlignment="0" applyProtection="0"/>
    <xf numFmtId="0" fontId="37" fillId="0" borderId="0"/>
  </cellStyleXfs>
  <cellXfs count="1099">
    <xf numFmtId="0" fontId="0" fillId="0" borderId="0" xfId="0"/>
    <xf numFmtId="0" fontId="7" fillId="0" borderId="0" xfId="0" applyFont="1"/>
    <xf numFmtId="0" fontId="9" fillId="0" borderId="0" xfId="0" applyFont="1"/>
    <xf numFmtId="0" fontId="8" fillId="0" borderId="1" xfId="0" applyFont="1" applyBorder="1" applyAlignment="1">
      <alignment vertical="top" wrapText="1"/>
    </xf>
    <xf numFmtId="0" fontId="8" fillId="3" borderId="1" xfId="0" applyFont="1" applyFill="1" applyBorder="1" applyAlignment="1">
      <alignment horizontal="center" vertical="center" wrapText="1"/>
    </xf>
    <xf numFmtId="0" fontId="0" fillId="0" borderId="1" xfId="0" applyBorder="1" applyAlignment="1">
      <alignment wrapText="1"/>
    </xf>
    <xf numFmtId="0" fontId="4" fillId="0" borderId="0" xfId="0" applyFont="1" applyFill="1" applyBorder="1" applyAlignment="1"/>
    <xf numFmtId="0" fontId="0" fillId="7" borderId="1" xfId="0" applyFill="1" applyBorder="1" applyAlignment="1">
      <alignment horizontal="left" vertical="center"/>
    </xf>
    <xf numFmtId="0" fontId="0" fillId="7" borderId="1" xfId="0" applyFill="1" applyBorder="1" applyAlignment="1">
      <alignment vertical="center"/>
    </xf>
    <xf numFmtId="0" fontId="0" fillId="0" borderId="0" xfId="0" applyAlignment="1">
      <alignment vertical="center"/>
    </xf>
    <xf numFmtId="0" fontId="3" fillId="0" borderId="0" xfId="0" applyFont="1" applyFill="1" applyAlignment="1">
      <alignment horizontal="center" vertical="center" wrapText="1"/>
    </xf>
    <xf numFmtId="0" fontId="0" fillId="4" borderId="1" xfId="0" applyFill="1" applyBorder="1" applyAlignment="1">
      <alignment horizontal="right" vertical="center"/>
    </xf>
    <xf numFmtId="0" fontId="0" fillId="4" borderId="3" xfId="0" applyFill="1" applyBorder="1" applyAlignment="1">
      <alignment vertical="center"/>
    </xf>
    <xf numFmtId="0" fontId="4" fillId="4" borderId="1" xfId="0" applyFont="1" applyFill="1" applyBorder="1" applyAlignment="1">
      <alignment horizontal="center" vertical="center"/>
    </xf>
    <xf numFmtId="0" fontId="0" fillId="4" borderId="1" xfId="0"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center"/>
    </xf>
    <xf numFmtId="166" fontId="0" fillId="0" borderId="1" xfId="1" applyNumberFormat="1" applyFont="1" applyBorder="1" applyAlignment="1">
      <alignment horizontal="right" vertical="center"/>
    </xf>
    <xf numFmtId="0" fontId="0" fillId="0" borderId="3" xfId="0" applyBorder="1" applyAlignment="1">
      <alignment vertical="center"/>
    </xf>
    <xf numFmtId="9" fontId="0" fillId="0" borderId="1" xfId="2" applyFont="1" applyBorder="1" applyAlignment="1">
      <alignment vertical="center"/>
    </xf>
    <xf numFmtId="166" fontId="0" fillId="0" borderId="0" xfId="0" applyNumberFormat="1"/>
    <xf numFmtId="166" fontId="0" fillId="0" borderId="1" xfId="1" applyNumberFormat="1" applyFont="1" applyFill="1" applyBorder="1" applyAlignment="1">
      <alignment horizontal="right" vertical="center"/>
    </xf>
    <xf numFmtId="166" fontId="0" fillId="0" borderId="1" xfId="1" applyNumberFormat="1" applyFont="1" applyBorder="1"/>
    <xf numFmtId="39" fontId="14" fillId="0" borderId="0" xfId="1" quotePrefix="1" applyNumberFormat="1" applyFont="1" applyBorder="1"/>
    <xf numFmtId="166" fontId="4" fillId="4" borderId="1" xfId="1" applyNumberFormat="1" applyFont="1" applyFill="1" applyBorder="1"/>
    <xf numFmtId="0" fontId="4" fillId="4" borderId="7" xfId="0" applyFont="1" applyFill="1" applyBorder="1"/>
    <xf numFmtId="0" fontId="4" fillId="4" borderId="1" xfId="0" applyFont="1" applyFill="1" applyBorder="1" applyAlignment="1">
      <alignment vertical="center"/>
    </xf>
    <xf numFmtId="0" fontId="4" fillId="4" borderId="8" xfId="0" applyFont="1" applyFill="1" applyBorder="1" applyAlignment="1">
      <alignment horizontal="center" vertical="center"/>
    </xf>
    <xf numFmtId="0" fontId="4" fillId="4" borderId="7" xfId="0" applyFont="1" applyFill="1" applyBorder="1" applyAlignment="1">
      <alignment horizontal="center" vertical="center"/>
    </xf>
    <xf numFmtId="0" fontId="0" fillId="0" borderId="1" xfId="0" applyBorder="1"/>
    <xf numFmtId="10" fontId="0" fillId="0" borderId="1" xfId="2" applyNumberFormat="1" applyFont="1" applyFill="1" applyBorder="1"/>
    <xf numFmtId="0" fontId="15" fillId="9" borderId="1" xfId="0" applyFont="1" applyFill="1" applyBorder="1" applyAlignment="1">
      <alignment horizontal="left" vertical="center"/>
    </xf>
    <xf numFmtId="0" fontId="0" fillId="9" borderId="1" xfId="0" applyFont="1" applyFill="1" applyBorder="1"/>
    <xf numFmtId="10" fontId="1" fillId="9" borderId="1" xfId="2" applyNumberFormat="1" applyFont="1" applyFill="1" applyBorder="1"/>
    <xf numFmtId="166" fontId="1" fillId="9" borderId="1" xfId="1" applyNumberFormat="1" applyFont="1" applyFill="1" applyBorder="1"/>
    <xf numFmtId="0" fontId="15" fillId="0" borderId="1" xfId="0" applyFont="1" applyBorder="1"/>
    <xf numFmtId="10" fontId="15" fillId="0" borderId="1" xfId="2" applyNumberFormat="1" applyFont="1" applyFill="1" applyBorder="1"/>
    <xf numFmtId="166" fontId="15" fillId="0" borderId="1" xfId="1" applyNumberFormat="1" applyFont="1" applyBorder="1"/>
    <xf numFmtId="0" fontId="4" fillId="4" borderId="7" xfId="0" applyFont="1" applyFill="1" applyBorder="1" applyAlignment="1">
      <alignment vertical="center"/>
    </xf>
    <xf numFmtId="10" fontId="0" fillId="0" borderId="1" xfId="2" applyNumberFormat="1" applyFont="1" applyBorder="1"/>
    <xf numFmtId="166" fontId="0" fillId="0" borderId="1" xfId="0" applyNumberFormat="1" applyBorder="1"/>
    <xf numFmtId="0" fontId="4" fillId="4" borderId="3" xfId="0" applyFont="1" applyFill="1" applyBorder="1" applyAlignment="1">
      <alignment horizontal="left" vertical="center"/>
    </xf>
    <xf numFmtId="0" fontId="4" fillId="4" borderId="5" xfId="0" applyFont="1" applyFill="1" applyBorder="1" applyAlignment="1">
      <alignment horizontal="left" vertical="center"/>
    </xf>
    <xf numFmtId="10" fontId="4" fillId="4" borderId="1" xfId="2" applyNumberFormat="1" applyFont="1" applyFill="1" applyBorder="1" applyAlignment="1">
      <alignment horizontal="left" vertical="center"/>
    </xf>
    <xf numFmtId="166" fontId="4" fillId="4" borderId="1" xfId="1" applyNumberFormat="1" applyFont="1" applyFill="1" applyBorder="1" applyAlignment="1">
      <alignment horizontal="left"/>
    </xf>
    <xf numFmtId="0" fontId="0" fillId="0" borderId="0" xfId="0" applyAlignment="1">
      <alignment horizontal="left"/>
    </xf>
    <xf numFmtId="0" fontId="0" fillId="0" borderId="6" xfId="0" applyBorder="1" applyAlignment="1">
      <alignment horizontal="left" vertical="center"/>
    </xf>
    <xf numFmtId="10" fontId="0" fillId="10" borderId="1" xfId="2" applyNumberFormat="1" applyFont="1" applyFill="1" applyBorder="1"/>
    <xf numFmtId="0" fontId="0" fillId="0" borderId="9" xfId="0" applyFill="1" applyBorder="1" applyAlignment="1">
      <alignment horizontal="left" vertical="center"/>
    </xf>
    <xf numFmtId="0" fontId="0" fillId="0" borderId="1" xfId="0" applyFill="1" applyBorder="1"/>
    <xf numFmtId="165" fontId="0" fillId="0" borderId="1" xfId="0" applyNumberFormat="1" applyFill="1" applyBorder="1"/>
    <xf numFmtId="0" fontId="0" fillId="0" borderId="0" xfId="0" applyFill="1"/>
    <xf numFmtId="0" fontId="0" fillId="0" borderId="0" xfId="0" applyFill="1" applyBorder="1"/>
    <xf numFmtId="0" fontId="0" fillId="0" borderId="0" xfId="0" applyBorder="1"/>
    <xf numFmtId="10" fontId="0" fillId="0" borderId="0" xfId="2" applyNumberFormat="1" applyFont="1" applyFill="1" applyBorder="1"/>
    <xf numFmtId="169" fontId="5" fillId="0" borderId="0" xfId="0" applyNumberFormat="1" applyFont="1" applyBorder="1" applyAlignment="1">
      <alignment vertical="center" wrapText="1"/>
    </xf>
    <xf numFmtId="10" fontId="4" fillId="4" borderId="1" xfId="2" applyNumberFormat="1" applyFont="1" applyFill="1" applyBorder="1" applyAlignment="1">
      <alignment vertical="center"/>
    </xf>
    <xf numFmtId="165" fontId="4" fillId="4" borderId="1" xfId="1" applyNumberFormat="1" applyFont="1" applyFill="1" applyBorder="1"/>
    <xf numFmtId="0" fontId="4" fillId="8" borderId="1" xfId="0" applyFont="1" applyFill="1" applyBorder="1"/>
    <xf numFmtId="0" fontId="4" fillId="8" borderId="1" xfId="0" applyFont="1" applyFill="1" applyBorder="1" applyAlignment="1">
      <alignment horizontal="center" vertical="center"/>
    </xf>
    <xf numFmtId="0" fontId="0" fillId="0" borderId="1" xfId="0" applyFont="1" applyFill="1" applyBorder="1"/>
    <xf numFmtId="165" fontId="0" fillId="0" borderId="1" xfId="0" applyNumberFormat="1" applyBorder="1"/>
    <xf numFmtId="166" fontId="4" fillId="8" borderId="1" xfId="1" applyNumberFormat="1" applyFont="1" applyFill="1" applyBorder="1" applyAlignment="1">
      <alignment horizontal="center" vertical="center"/>
    </xf>
    <xf numFmtId="0" fontId="4" fillId="4" borderId="1" xfId="0" applyFont="1" applyFill="1" applyBorder="1"/>
    <xf numFmtId="166" fontId="0" fillId="0" borderId="1" xfId="0" applyNumberFormat="1" applyFill="1" applyBorder="1"/>
    <xf numFmtId="0" fontId="0" fillId="10" borderId="1" xfId="0" applyFill="1" applyBorder="1"/>
    <xf numFmtId="0" fontId="0" fillId="0" borderId="1" xfId="0" applyFill="1" applyBorder="1" applyAlignment="1">
      <alignment horizontal="left" vertical="center"/>
    </xf>
    <xf numFmtId="166" fontId="0" fillId="10" borderId="1" xfId="1" applyNumberFormat="1" applyFont="1" applyFill="1" applyBorder="1"/>
    <xf numFmtId="166" fontId="4" fillId="4" borderId="1" xfId="0" applyNumberFormat="1" applyFont="1" applyFill="1" applyBorder="1"/>
    <xf numFmtId="166" fontId="0" fillId="0" borderId="1" xfId="1" applyNumberFormat="1" applyFont="1" applyFill="1" applyBorder="1"/>
    <xf numFmtId="10" fontId="0" fillId="0" borderId="0" xfId="2" applyNumberFormat="1" applyFont="1"/>
    <xf numFmtId="166" fontId="0" fillId="0" borderId="1" xfId="1" applyNumberFormat="1" applyFont="1" applyFill="1" applyBorder="1" applyAlignment="1">
      <alignment horizontal="left" vertical="center"/>
    </xf>
    <xf numFmtId="0" fontId="0" fillId="0" borderId="0" xfId="0" applyAlignment="1">
      <alignment horizontal="left" vertical="center"/>
    </xf>
    <xf numFmtId="0" fontId="4" fillId="8" borderId="1" xfId="0" applyFont="1" applyFill="1" applyBorder="1" applyAlignment="1">
      <alignment horizontal="left"/>
    </xf>
    <xf numFmtId="0" fontId="0" fillId="11" borderId="1" xfId="0" applyFill="1" applyBorder="1"/>
    <xf numFmtId="166" fontId="4" fillId="11" borderId="1" xfId="1" applyNumberFormat="1" applyFont="1" applyFill="1" applyBorder="1"/>
    <xf numFmtId="0" fontId="4" fillId="8" borderId="1" xfId="0" applyFont="1" applyFill="1" applyBorder="1" applyAlignment="1">
      <alignment horizontal="left"/>
    </xf>
    <xf numFmtId="166" fontId="4" fillId="8" borderId="1" xfId="0" applyNumberFormat="1" applyFont="1" applyFill="1" applyBorder="1"/>
    <xf numFmtId="0" fontId="4" fillId="4" borderId="5" xfId="0" applyFont="1" applyFill="1" applyBorder="1" applyAlignment="1">
      <alignment horizontal="center" vertical="center"/>
    </xf>
    <xf numFmtId="166" fontId="4" fillId="11" borderId="1" xfId="0" applyNumberFormat="1" applyFont="1" applyFill="1" applyBorder="1" applyAlignment="1">
      <alignment horizontal="left" vertical="center"/>
    </xf>
    <xf numFmtId="0" fontId="4" fillId="0" borderId="0" xfId="0" applyFont="1" applyAlignment="1">
      <alignment horizontal="left" vertical="center"/>
    </xf>
    <xf numFmtId="10" fontId="5" fillId="0" borderId="0" xfId="0" applyNumberFormat="1" applyFont="1" applyBorder="1" applyAlignment="1">
      <alignment horizontal="center" vertical="center" wrapText="1"/>
    </xf>
    <xf numFmtId="10" fontId="4" fillId="4" borderId="5" xfId="0" applyNumberFormat="1" applyFont="1" applyFill="1" applyBorder="1" applyAlignment="1">
      <alignment vertical="center"/>
    </xf>
    <xf numFmtId="166" fontId="4" fillId="0" borderId="1" xfId="1" applyNumberFormat="1" applyFont="1" applyBorder="1"/>
    <xf numFmtId="166" fontId="2" fillId="13" borderId="1" xfId="0" applyNumberFormat="1" applyFont="1" applyFill="1" applyBorder="1"/>
    <xf numFmtId="166" fontId="4" fillId="8" borderId="1" xfId="1" applyNumberFormat="1" applyFont="1" applyFill="1" applyBorder="1"/>
    <xf numFmtId="0" fontId="0" fillId="0" borderId="10" xfId="0" applyBorder="1" applyAlignment="1"/>
    <xf numFmtId="0" fontId="0" fillId="0" borderId="0" xfId="0" applyBorder="1" applyAlignment="1"/>
    <xf numFmtId="39" fontId="1" fillId="0" borderId="1" xfId="1" applyNumberFormat="1" applyFont="1" applyBorder="1"/>
    <xf numFmtId="39" fontId="0" fillId="0" borderId="1" xfId="0" applyNumberFormat="1" applyBorder="1"/>
    <xf numFmtId="0" fontId="0" fillId="6" borderId="1" xfId="0" applyFill="1" applyBorder="1"/>
    <xf numFmtId="166" fontId="0" fillId="6" borderId="1" xfId="1" applyNumberFormat="1" applyFont="1" applyFill="1" applyBorder="1"/>
    <xf numFmtId="0" fontId="0" fillId="14" borderId="1" xfId="0" applyFill="1" applyBorder="1"/>
    <xf numFmtId="10" fontId="0" fillId="14" borderId="1" xfId="2" applyNumberFormat="1" applyFont="1" applyFill="1" applyBorder="1"/>
    <xf numFmtId="0" fontId="0" fillId="14" borderId="1" xfId="0" applyFont="1" applyFill="1" applyBorder="1" applyAlignment="1">
      <alignment horizontal="left" wrapText="1"/>
    </xf>
    <xf numFmtId="0" fontId="0" fillId="0" borderId="1" xfId="0" applyFont="1" applyBorder="1"/>
    <xf numFmtId="0" fontId="15" fillId="0" borderId="1" xfId="0" applyFont="1" applyFill="1" applyBorder="1"/>
    <xf numFmtId="166" fontId="15" fillId="0" borderId="1" xfId="0" applyNumberFormat="1" applyFont="1" applyBorder="1"/>
    <xf numFmtId="166" fontId="4" fillId="11" borderId="1" xfId="0" applyNumberFormat="1" applyFont="1" applyFill="1" applyBorder="1"/>
    <xf numFmtId="170" fontId="0" fillId="0" borderId="1" xfId="0" applyNumberFormat="1" applyBorder="1"/>
    <xf numFmtId="0" fontId="0" fillId="14" borderId="1" xfId="0" applyFill="1" applyBorder="1" applyAlignment="1">
      <alignment horizontal="left" wrapText="1"/>
    </xf>
    <xf numFmtId="0" fontId="0" fillId="0" borderId="0" xfId="0" applyAlignment="1">
      <alignment vertical="top" wrapText="1"/>
    </xf>
    <xf numFmtId="0" fontId="0" fillId="0" borderId="1" xfId="0" applyFill="1" applyBorder="1" applyAlignment="1">
      <alignment wrapText="1"/>
    </xf>
    <xf numFmtId="0" fontId="0" fillId="0" borderId="1" xfId="0" applyFont="1" applyFill="1" applyBorder="1" applyAlignment="1">
      <alignment horizontal="right"/>
    </xf>
    <xf numFmtId="166" fontId="0" fillId="0" borderId="1" xfId="1" applyFont="1" applyBorder="1"/>
    <xf numFmtId="166" fontId="0" fillId="10" borderId="1" xfId="0" applyNumberFormat="1" applyFill="1" applyBorder="1"/>
    <xf numFmtId="0" fontId="8" fillId="0"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4" borderId="3" xfId="0" applyFont="1" applyFill="1" applyBorder="1" applyAlignment="1">
      <alignment horizontal="left" vertical="center"/>
    </xf>
    <xf numFmtId="0" fontId="0" fillId="0" borderId="1" xfId="0" applyBorder="1" applyAlignment="1">
      <alignment horizontal="left" vertical="center"/>
    </xf>
    <xf numFmtId="0" fontId="4" fillId="8" borderId="1" xfId="0" applyFont="1" applyFill="1" applyBorder="1" applyAlignment="1">
      <alignment horizontal="left"/>
    </xf>
    <xf numFmtId="0" fontId="4" fillId="4" borderId="5" xfId="0" applyFont="1" applyFill="1" applyBorder="1" applyAlignment="1">
      <alignment horizontal="left" vertical="center"/>
    </xf>
    <xf numFmtId="0" fontId="4" fillId="4" borderId="5" xfId="0" applyFont="1" applyFill="1" applyBorder="1" applyAlignment="1">
      <alignment horizontal="center" vertical="center"/>
    </xf>
    <xf numFmtId="0" fontId="0" fillId="15" borderId="1" xfId="0" applyFill="1" applyBorder="1" applyAlignment="1">
      <alignment horizontal="left" vertical="center"/>
    </xf>
    <xf numFmtId="0" fontId="0" fillId="15" borderId="1" xfId="0" applyFill="1" applyBorder="1" applyAlignment="1">
      <alignment vertical="center"/>
    </xf>
    <xf numFmtId="0" fontId="0" fillId="16" borderId="1" xfId="0" applyFill="1" applyBorder="1" applyAlignment="1">
      <alignment horizontal="left" vertical="center"/>
    </xf>
    <xf numFmtId="0" fontId="0" fillId="16" borderId="1" xfId="0" applyFill="1" applyBorder="1" applyAlignment="1">
      <alignment vertical="center"/>
    </xf>
    <xf numFmtId="0" fontId="14" fillId="0" borderId="1" xfId="0" applyFont="1" applyBorder="1" applyAlignment="1">
      <alignment vertical="top" wrapText="1"/>
    </xf>
    <xf numFmtId="0" fontId="14" fillId="0" borderId="0" xfId="0" applyFont="1"/>
    <xf numFmtId="0" fontId="14" fillId="0" borderId="1" xfId="0" applyFont="1" applyBorder="1"/>
    <xf numFmtId="0" fontId="14" fillId="0" borderId="1" xfId="0" applyFont="1" applyBorder="1" applyAlignment="1">
      <alignment horizontal="center" vertical="top" wrapText="1"/>
    </xf>
    <xf numFmtId="0" fontId="14" fillId="0" borderId="5" xfId="0" applyFont="1" applyBorder="1" applyAlignment="1">
      <alignment horizontal="center" vertical="top" wrapText="1"/>
    </xf>
    <xf numFmtId="167" fontId="14" fillId="0" borderId="1" xfId="1" applyNumberFormat="1" applyFont="1" applyFill="1" applyBorder="1" applyAlignment="1">
      <alignment horizontal="center" vertical="top" wrapText="1"/>
    </xf>
    <xf numFmtId="0" fontId="14" fillId="0" borderId="1" xfId="0" applyFont="1" applyBorder="1" applyAlignment="1">
      <alignment horizontal="justify" vertical="top" wrapText="1"/>
    </xf>
    <xf numFmtId="0" fontId="14" fillId="0" borderId="5" xfId="0" applyFont="1" applyBorder="1" applyAlignment="1">
      <alignment horizontal="right" vertical="center" wrapText="1"/>
    </xf>
    <xf numFmtId="0" fontId="14" fillId="0" borderId="1" xfId="0" applyFont="1" applyBorder="1" applyAlignment="1">
      <alignment horizontal="right" vertical="center" wrapText="1"/>
    </xf>
    <xf numFmtId="167" fontId="14" fillId="0" borderId="1" xfId="1" applyNumberFormat="1" applyFont="1" applyBorder="1" applyAlignment="1">
      <alignment horizontal="right" vertical="center"/>
    </xf>
    <xf numFmtId="0" fontId="20" fillId="0" borderId="0" xfId="0" applyFont="1" applyAlignment="1">
      <alignment horizontal="left" wrapText="1"/>
    </xf>
    <xf numFmtId="167" fontId="14" fillId="0" borderId="0" xfId="1" applyNumberFormat="1" applyFont="1"/>
    <xf numFmtId="167" fontId="14" fillId="0" borderId="1" xfId="1" applyNumberFormat="1" applyFont="1" applyBorder="1"/>
    <xf numFmtId="0" fontId="7" fillId="0" borderId="0" xfId="0" applyFont="1" applyFill="1" applyBorder="1" applyAlignment="1">
      <alignment vertical="top" wrapText="1"/>
    </xf>
    <xf numFmtId="4" fontId="21" fillId="0" borderId="0" xfId="0" applyNumberFormat="1" applyFont="1"/>
    <xf numFmtId="167" fontId="8" fillId="0" borderId="0" xfId="1" applyNumberFormat="1" applyFont="1" applyFill="1" applyBorder="1" applyAlignment="1">
      <alignment horizontal="left" vertical="center" wrapText="1"/>
    </xf>
    <xf numFmtId="0" fontId="0" fillId="0" borderId="0" xfId="0" applyBorder="1" applyAlignment="1">
      <alignment wrapText="1"/>
    </xf>
    <xf numFmtId="0" fontId="0" fillId="0" borderId="0" xfId="0" applyAlignment="1">
      <alignment wrapText="1"/>
    </xf>
    <xf numFmtId="0" fontId="0" fillId="17" borderId="1" xfId="0" applyFill="1" applyBorder="1" applyAlignment="1">
      <alignment horizontal="left" vertical="center"/>
    </xf>
    <xf numFmtId="0" fontId="0" fillId="17" borderId="1" xfId="0" applyFill="1" applyBorder="1" applyAlignment="1">
      <alignment vertical="center"/>
    </xf>
    <xf numFmtId="9" fontId="14" fillId="0" borderId="1" xfId="2" applyFont="1" applyBorder="1"/>
    <xf numFmtId="0" fontId="0" fillId="16" borderId="3" xfId="0" applyFill="1" applyBorder="1" applyAlignment="1">
      <alignment vertical="center"/>
    </xf>
    <xf numFmtId="9" fontId="0" fillId="16" borderId="1" xfId="2" applyFont="1" applyFill="1" applyBorder="1" applyAlignment="1">
      <alignment vertical="center"/>
    </xf>
    <xf numFmtId="166" fontId="0" fillId="16" borderId="1" xfId="1" applyNumberFormat="1" applyFont="1" applyFill="1" applyBorder="1" applyAlignment="1">
      <alignment horizontal="right" vertical="center"/>
    </xf>
    <xf numFmtId="0" fontId="0" fillId="15" borderId="3" xfId="0" applyFill="1" applyBorder="1" applyAlignment="1">
      <alignment vertical="center"/>
    </xf>
    <xf numFmtId="9" fontId="0" fillId="15" borderId="1" xfId="2" applyFont="1" applyFill="1" applyBorder="1" applyAlignment="1">
      <alignment vertical="center"/>
    </xf>
    <xf numFmtId="166" fontId="0" fillId="15" borderId="1" xfId="1" applyNumberFormat="1" applyFont="1" applyFill="1" applyBorder="1" applyAlignment="1">
      <alignment horizontal="right" vertical="center"/>
    </xf>
    <xf numFmtId="0" fontId="0" fillId="7" borderId="3" xfId="0" applyFill="1" applyBorder="1" applyAlignment="1">
      <alignment vertical="center"/>
    </xf>
    <xf numFmtId="9" fontId="0" fillId="7" borderId="1" xfId="2" applyFont="1" applyFill="1" applyBorder="1" applyAlignment="1">
      <alignment vertical="center"/>
    </xf>
    <xf numFmtId="166" fontId="0" fillId="7" borderId="1" xfId="1" applyNumberFormat="1" applyFont="1" applyFill="1" applyBorder="1" applyAlignment="1">
      <alignment horizontal="right" vertical="center"/>
    </xf>
    <xf numFmtId="0" fontId="0" fillId="18" borderId="1" xfId="0" applyFill="1" applyBorder="1" applyAlignment="1">
      <alignment horizontal="left" vertical="center"/>
    </xf>
    <xf numFmtId="0" fontId="0" fillId="18" borderId="1" xfId="0" applyFill="1" applyBorder="1" applyAlignment="1">
      <alignment vertical="center"/>
    </xf>
    <xf numFmtId="0" fontId="0" fillId="18" borderId="3" xfId="0" applyFill="1" applyBorder="1" applyAlignment="1">
      <alignment vertical="center"/>
    </xf>
    <xf numFmtId="9" fontId="0" fillId="18" borderId="1" xfId="2" applyFont="1" applyFill="1" applyBorder="1" applyAlignment="1">
      <alignment vertical="center"/>
    </xf>
    <xf numFmtId="166" fontId="0" fillId="18" borderId="1" xfId="1" applyNumberFormat="1" applyFont="1" applyFill="1" applyBorder="1" applyAlignment="1">
      <alignment horizontal="right" vertical="center"/>
    </xf>
    <xf numFmtId="0" fontId="0" fillId="19" borderId="1" xfId="0" applyFill="1" applyBorder="1" applyAlignment="1">
      <alignment horizontal="left" vertical="center"/>
    </xf>
    <xf numFmtId="0" fontId="0" fillId="19" borderId="1" xfId="0" applyFill="1" applyBorder="1" applyAlignment="1">
      <alignment vertical="center"/>
    </xf>
    <xf numFmtId="0" fontId="0" fillId="19" borderId="3" xfId="0" applyFill="1" applyBorder="1" applyAlignment="1">
      <alignment vertical="center"/>
    </xf>
    <xf numFmtId="9" fontId="0" fillId="19" borderId="1" xfId="2" applyFont="1" applyFill="1" applyBorder="1" applyAlignment="1">
      <alignment vertical="center"/>
    </xf>
    <xf numFmtId="166" fontId="0" fillId="19" borderId="1" xfId="1" applyNumberFormat="1" applyFont="1" applyFill="1" applyBorder="1" applyAlignment="1">
      <alignment horizontal="right" vertical="center"/>
    </xf>
    <xf numFmtId="0" fontId="8" fillId="0" borderId="1" xfId="0" applyFont="1" applyFill="1" applyBorder="1" applyAlignment="1">
      <alignment horizontal="center" vertical="center" wrapText="1"/>
    </xf>
    <xf numFmtId="0" fontId="4" fillId="4" borderId="5" xfId="0" applyFont="1" applyFill="1" applyBorder="1" applyAlignment="1">
      <alignment horizontal="center" vertical="center"/>
    </xf>
    <xf numFmtId="0" fontId="4" fillId="4" borderId="3" xfId="0" applyFont="1" applyFill="1" applyBorder="1" applyAlignment="1">
      <alignment horizontal="left" vertical="center"/>
    </xf>
    <xf numFmtId="0" fontId="4" fillId="4" borderId="5" xfId="0" applyFont="1" applyFill="1" applyBorder="1" applyAlignment="1">
      <alignment horizontal="left" vertical="center"/>
    </xf>
    <xf numFmtId="0" fontId="0" fillId="0" borderId="1" xfId="0" applyBorder="1" applyAlignment="1">
      <alignment horizontal="left" vertical="center"/>
    </xf>
    <xf numFmtId="0" fontId="4" fillId="8" borderId="1" xfId="0" applyFont="1" applyFill="1" applyBorder="1" applyAlignment="1">
      <alignment horizontal="left"/>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168" fontId="5" fillId="0" borderId="1" xfId="0" applyNumberFormat="1" applyFont="1" applyFill="1" applyBorder="1" applyAlignment="1">
      <alignment horizontal="right" wrapText="1"/>
    </xf>
    <xf numFmtId="171" fontId="5" fillId="0" borderId="20" xfId="0" applyNumberFormat="1" applyFont="1" applyFill="1" applyBorder="1" applyAlignment="1">
      <alignment horizontal="right" wrapText="1"/>
    </xf>
    <xf numFmtId="168" fontId="5" fillId="0" borderId="1" xfId="0" applyNumberFormat="1" applyFont="1" applyBorder="1" applyAlignment="1">
      <alignment horizontal="right"/>
    </xf>
    <xf numFmtId="168" fontId="5" fillId="0" borderId="25" xfId="0" applyNumberFormat="1" applyFont="1" applyFill="1" applyBorder="1" applyAlignment="1">
      <alignment horizontal="right"/>
    </xf>
    <xf numFmtId="171" fontId="5" fillId="0" borderId="26" xfId="0" applyNumberFormat="1" applyFont="1" applyFill="1" applyBorder="1" applyAlignment="1">
      <alignment horizontal="right" wrapText="1"/>
    </xf>
    <xf numFmtId="0" fontId="5" fillId="0" borderId="0" xfId="0" applyFont="1"/>
    <xf numFmtId="0" fontId="8" fillId="3" borderId="27" xfId="0" applyFont="1" applyFill="1" applyBorder="1" applyAlignment="1">
      <alignment horizontal="center"/>
    </xf>
    <xf numFmtId="0" fontId="8" fillId="3" borderId="28" xfId="0" applyFont="1" applyFill="1" applyBorder="1" applyAlignment="1">
      <alignment horizontal="center"/>
    </xf>
    <xf numFmtId="168" fontId="8" fillId="3" borderId="29" xfId="0" applyNumberFormat="1" applyFont="1" applyFill="1" applyBorder="1" applyAlignment="1">
      <alignment horizontal="right"/>
    </xf>
    <xf numFmtId="0" fontId="14" fillId="0" borderId="0" xfId="0" applyFont="1" applyBorder="1"/>
    <xf numFmtId="0" fontId="14" fillId="0" borderId="36" xfId="0" applyFont="1" applyBorder="1"/>
    <xf numFmtId="0" fontId="23" fillId="0" borderId="0" xfId="0" applyFont="1"/>
    <xf numFmtId="0" fontId="14" fillId="0" borderId="0" xfId="0" applyFont="1" applyAlignment="1">
      <alignment vertical="center" wrapText="1"/>
    </xf>
    <xf numFmtId="0" fontId="5" fillId="0" borderId="1" xfId="0" applyFont="1" applyFill="1" applyBorder="1" applyAlignment="1">
      <alignment wrapText="1"/>
    </xf>
    <xf numFmtId="0" fontId="8" fillId="0" borderId="0" xfId="0" applyFont="1" applyFill="1" applyBorder="1" applyAlignment="1">
      <alignment vertical="center" wrapText="1"/>
    </xf>
    <xf numFmtId="0" fontId="5" fillId="0" borderId="1" xfId="0" applyFont="1" applyBorder="1" applyAlignment="1"/>
    <xf numFmtId="0" fontId="5" fillId="0" borderId="1" xfId="0" applyFont="1" applyBorder="1" applyAlignment="1">
      <alignment horizontal="left" wrapText="1"/>
    </xf>
    <xf numFmtId="0" fontId="5" fillId="0" borderId="25" xfId="0" applyFont="1" applyFill="1" applyBorder="1" applyAlignment="1"/>
    <xf numFmtId="0" fontId="14" fillId="0" borderId="35" xfId="0" applyFont="1" applyBorder="1"/>
    <xf numFmtId="0" fontId="5" fillId="0" borderId="0" xfId="0" applyFont="1" applyFill="1" applyBorder="1" applyAlignment="1">
      <alignment wrapText="1"/>
    </xf>
    <xf numFmtId="3" fontId="5" fillId="0" borderId="0" xfId="0" applyNumberFormat="1" applyFont="1" applyFill="1" applyBorder="1" applyAlignment="1">
      <alignment horizontal="right" wrapText="1"/>
    </xf>
    <xf numFmtId="0" fontId="5" fillId="0" borderId="0" xfId="0" applyFont="1" applyBorder="1" applyAlignment="1"/>
    <xf numFmtId="3" fontId="5" fillId="0" borderId="0" xfId="0" applyNumberFormat="1" applyFont="1" applyBorder="1" applyAlignment="1">
      <alignment horizontal="right"/>
    </xf>
    <xf numFmtId="0" fontId="14" fillId="0" borderId="22" xfId="0" applyFont="1" applyBorder="1" applyAlignment="1">
      <alignment horizontal="right"/>
    </xf>
    <xf numFmtId="0" fontId="14" fillId="0" borderId="20" xfId="0" applyFont="1" applyBorder="1"/>
    <xf numFmtId="0" fontId="5" fillId="0" borderId="0" xfId="0" applyFont="1" applyBorder="1" applyAlignment="1">
      <alignment horizontal="left" wrapText="1"/>
    </xf>
    <xf numFmtId="0" fontId="14" fillId="0" borderId="35" xfId="0" applyFont="1" applyBorder="1" applyAlignment="1">
      <alignment horizontal="right"/>
    </xf>
    <xf numFmtId="0" fontId="5" fillId="0" borderId="0" xfId="0" applyFont="1" applyFill="1" applyBorder="1" applyAlignment="1"/>
    <xf numFmtId="3" fontId="5" fillId="0" borderId="0" xfId="0" applyNumberFormat="1" applyFont="1" applyFill="1" applyBorder="1" applyAlignment="1">
      <alignment horizontal="right"/>
    </xf>
    <xf numFmtId="172" fontId="14" fillId="0" borderId="20" xfId="0" applyNumberFormat="1" applyFont="1" applyBorder="1"/>
    <xf numFmtId="0" fontId="14" fillId="0" borderId="23" xfId="0" applyFont="1" applyBorder="1" applyAlignment="1">
      <alignment horizontal="right"/>
    </xf>
    <xf numFmtId="172" fontId="14" fillId="0" borderId="26" xfId="0" applyNumberFormat="1" applyFont="1" applyBorder="1"/>
    <xf numFmtId="0" fontId="14" fillId="0" borderId="22" xfId="0" applyFont="1" applyBorder="1" applyAlignment="1">
      <alignment horizontal="right" wrapText="1"/>
    </xf>
    <xf numFmtId="0" fontId="5" fillId="0" borderId="19" xfId="0" applyFont="1" applyFill="1" applyBorder="1" applyAlignment="1">
      <alignment horizontal="center" vertical="center" wrapText="1"/>
    </xf>
    <xf numFmtId="0" fontId="5" fillId="0" borderId="1" xfId="0" applyFont="1" applyBorder="1" applyAlignment="1">
      <alignment horizontal="left"/>
    </xf>
    <xf numFmtId="0" fontId="5" fillId="0" borderId="1" xfId="0" applyFont="1" applyFill="1" applyBorder="1" applyAlignment="1">
      <alignment horizontal="left" wrapText="1"/>
    </xf>
    <xf numFmtId="0" fontId="5" fillId="0" borderId="5" xfId="0" applyFont="1" applyBorder="1" applyAlignment="1">
      <alignment horizontal="left"/>
    </xf>
    <xf numFmtId="0" fontId="5" fillId="0" borderId="24" xfId="0" applyFont="1" applyBorder="1" applyAlignment="1">
      <alignment horizontal="left"/>
    </xf>
    <xf numFmtId="0" fontId="8" fillId="0" borderId="1" xfId="0" applyFont="1" applyFill="1" applyBorder="1" applyAlignment="1">
      <alignment horizontal="left"/>
    </xf>
    <xf numFmtId="0" fontId="14" fillId="0" borderId="1" xfId="0" applyFont="1" applyBorder="1" applyAlignment="1">
      <alignment horizontal="center" vertical="center"/>
    </xf>
    <xf numFmtId="9" fontId="14" fillId="0" borderId="1" xfId="0" applyNumberFormat="1" applyFont="1" applyBorder="1" applyAlignment="1">
      <alignment horizontal="center" vertical="center"/>
    </xf>
    <xf numFmtId="168" fontId="5" fillId="0" borderId="25" xfId="0" applyNumberFormat="1" applyFont="1" applyBorder="1" applyAlignment="1">
      <alignment horizontal="right"/>
    </xf>
    <xf numFmtId="168" fontId="5" fillId="0" borderId="26" xfId="0" applyNumberFormat="1" applyFont="1" applyBorder="1" applyAlignment="1">
      <alignment horizontal="right"/>
    </xf>
    <xf numFmtId="0" fontId="14" fillId="0" borderId="0" xfId="0" applyFont="1" applyFill="1"/>
    <xf numFmtId="0" fontId="14" fillId="0" borderId="5" xfId="0" applyFont="1" applyBorder="1" applyAlignment="1">
      <alignment horizontal="center" vertical="center"/>
    </xf>
    <xf numFmtId="168" fontId="5" fillId="0" borderId="24" xfId="0" applyNumberFormat="1" applyFont="1" applyBorder="1" applyAlignment="1">
      <alignment horizontal="right"/>
    </xf>
    <xf numFmtId="0" fontId="8" fillId="0" borderId="44" xfId="0" applyFont="1" applyFill="1" applyBorder="1" applyAlignment="1">
      <alignment horizontal="left"/>
    </xf>
    <xf numFmtId="0" fontId="8" fillId="0" borderId="45" xfId="0" applyFont="1" applyFill="1" applyBorder="1" applyAlignment="1">
      <alignment horizontal="left"/>
    </xf>
    <xf numFmtId="0" fontId="24" fillId="0" borderId="45" xfId="0" applyFont="1" applyFill="1" applyBorder="1" applyAlignment="1">
      <alignment horizontal="left"/>
    </xf>
    <xf numFmtId="0" fontId="8" fillId="0" borderId="46" xfId="0" applyFont="1" applyFill="1" applyBorder="1" applyAlignment="1">
      <alignment horizontal="left"/>
    </xf>
    <xf numFmtId="0" fontId="5" fillId="21" borderId="7" xfId="0" applyFont="1" applyFill="1" applyBorder="1" applyAlignment="1">
      <alignment horizontal="left"/>
    </xf>
    <xf numFmtId="168" fontId="5" fillId="21" borderId="7" xfId="0" applyNumberFormat="1" applyFont="1" applyFill="1" applyBorder="1" applyAlignment="1">
      <alignment horizontal="right"/>
    </xf>
    <xf numFmtId="0" fontId="5" fillId="16" borderId="7" xfId="0" applyFont="1" applyFill="1" applyBorder="1" applyAlignment="1">
      <alignment horizontal="left"/>
    </xf>
    <xf numFmtId="168" fontId="5" fillId="16" borderId="7" xfId="0" applyNumberFormat="1" applyFont="1" applyFill="1" applyBorder="1" applyAlignment="1">
      <alignment horizontal="right"/>
    </xf>
    <xf numFmtId="0" fontId="5" fillId="20" borderId="7" xfId="0" applyFont="1" applyFill="1" applyBorder="1" applyAlignment="1">
      <alignment horizontal="left"/>
    </xf>
    <xf numFmtId="168" fontId="5" fillId="20" borderId="7" xfId="0" applyNumberFormat="1" applyFont="1" applyFill="1" applyBorder="1" applyAlignment="1">
      <alignment horizontal="right"/>
    </xf>
    <xf numFmtId="168" fontId="14" fillId="0" borderId="0" xfId="0" applyNumberFormat="1" applyFont="1"/>
    <xf numFmtId="0" fontId="14" fillId="0" borderId="0" xfId="0" applyFont="1" applyAlignment="1">
      <alignment horizontal="center" vertical="center"/>
    </xf>
    <xf numFmtId="3" fontId="5" fillId="20" borderId="7" xfId="0" applyNumberFormat="1" applyFont="1" applyFill="1" applyBorder="1" applyAlignment="1">
      <alignment horizontal="right"/>
    </xf>
    <xf numFmtId="3" fontId="14" fillId="0" borderId="0" xfId="0" applyNumberFormat="1" applyFont="1"/>
    <xf numFmtId="166" fontId="14" fillId="0" borderId="0" xfId="0" applyNumberFormat="1" applyFont="1"/>
    <xf numFmtId="0" fontId="0" fillId="22" borderId="1" xfId="0" applyFill="1" applyBorder="1" applyAlignment="1">
      <alignment horizontal="left" vertical="center"/>
    </xf>
    <xf numFmtId="0" fontId="0" fillId="22" borderId="1" xfId="0" applyFill="1" applyBorder="1" applyAlignment="1">
      <alignment vertical="center"/>
    </xf>
    <xf numFmtId="166" fontId="0" fillId="14" borderId="1" xfId="0" applyNumberFormat="1" applyFill="1" applyBorder="1"/>
    <xf numFmtId="169" fontId="16" fillId="14"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0" fillId="0" borderId="1" xfId="0" applyBorder="1" applyAlignment="1">
      <alignment horizontal="left" vertical="center"/>
    </xf>
    <xf numFmtId="0" fontId="4" fillId="4" borderId="3" xfId="0" applyFont="1" applyFill="1" applyBorder="1" applyAlignment="1">
      <alignment horizontal="left" vertical="center"/>
    </xf>
    <xf numFmtId="0" fontId="4" fillId="4" borderId="5" xfId="0" applyFont="1" applyFill="1" applyBorder="1" applyAlignment="1">
      <alignment horizontal="left" vertical="center"/>
    </xf>
    <xf numFmtId="0" fontId="4" fillId="8" borderId="1" xfId="0" applyFont="1" applyFill="1" applyBorder="1" applyAlignment="1">
      <alignment horizontal="left"/>
    </xf>
    <xf numFmtId="0" fontId="4" fillId="4" borderId="5"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3" xfId="0" applyFont="1" applyFill="1" applyBorder="1" applyAlignment="1">
      <alignment horizontal="left" vertical="center"/>
    </xf>
    <xf numFmtId="0" fontId="4" fillId="4" borderId="5" xfId="0" applyFont="1" applyFill="1" applyBorder="1" applyAlignment="1">
      <alignment horizontal="left" vertical="center"/>
    </xf>
    <xf numFmtId="0" fontId="0" fillId="0" borderId="1" xfId="0" applyBorder="1" applyAlignment="1">
      <alignment horizontal="left" vertical="center"/>
    </xf>
    <xf numFmtId="0" fontId="4" fillId="8" borderId="1" xfId="0" applyFont="1" applyFill="1" applyBorder="1" applyAlignment="1">
      <alignment horizontal="left"/>
    </xf>
    <xf numFmtId="10" fontId="14" fillId="0" borderId="1" xfId="0" applyNumberFormat="1" applyFont="1" applyBorder="1" applyAlignment="1">
      <alignment horizontal="right" vertical="center"/>
    </xf>
    <xf numFmtId="3" fontId="14" fillId="0" borderId="0" xfId="0" applyNumberFormat="1" applyFont="1" applyAlignment="1">
      <alignment horizontal="right" vertical="center"/>
    </xf>
    <xf numFmtId="166" fontId="14" fillId="0" borderId="0" xfId="1" applyFont="1"/>
    <xf numFmtId="0" fontId="14" fillId="0" borderId="0" xfId="0" applyFont="1" applyAlignment="1">
      <alignment horizontal="left" vertical="center" wrapText="1"/>
    </xf>
    <xf numFmtId="0" fontId="14" fillId="0" borderId="0" xfId="0" applyFont="1" applyAlignment="1">
      <alignment horizontal="left" vertical="center"/>
    </xf>
    <xf numFmtId="0" fontId="20" fillId="23" borderId="1" xfId="0" applyFont="1" applyFill="1" applyBorder="1" applyAlignment="1">
      <alignment horizontal="left" vertical="center" wrapText="1"/>
    </xf>
    <xf numFmtId="3" fontId="20" fillId="23" borderId="1" xfId="0" applyNumberFormat="1" applyFont="1" applyFill="1" applyBorder="1" applyAlignment="1">
      <alignment horizontal="right" vertical="center" wrapText="1"/>
    </xf>
    <xf numFmtId="3" fontId="26" fillId="23" borderId="1" xfId="0" applyNumberFormat="1" applyFont="1" applyFill="1" applyBorder="1" applyAlignment="1">
      <alignment horizontal="right" vertical="center" wrapText="1"/>
    </xf>
    <xf numFmtId="3" fontId="14" fillId="0" borderId="1" xfId="0" applyNumberFormat="1" applyFont="1" applyBorder="1" applyAlignment="1">
      <alignment horizontal="right" vertical="center"/>
    </xf>
    <xf numFmtId="0" fontId="20" fillId="23" borderId="7" xfId="0" applyFont="1" applyFill="1" applyBorder="1" applyAlignment="1">
      <alignment horizontal="left" vertical="center" wrapText="1"/>
    </xf>
    <xf numFmtId="3" fontId="14" fillId="0" borderId="7" xfId="0" applyNumberFormat="1" applyFont="1" applyBorder="1" applyAlignment="1">
      <alignment horizontal="right" vertical="center"/>
    </xf>
    <xf numFmtId="0" fontId="14" fillId="0" borderId="0" xfId="0" applyFont="1" applyFill="1" applyBorder="1" applyAlignment="1">
      <alignment horizontal="center" vertical="center" textRotation="90" wrapText="1"/>
    </xf>
    <xf numFmtId="0" fontId="14" fillId="0" borderId="0" xfId="0" applyFont="1" applyFill="1" applyBorder="1" applyAlignment="1">
      <alignment horizontal="left" vertical="center" wrapText="1"/>
    </xf>
    <xf numFmtId="0" fontId="20" fillId="0" borderId="0" xfId="0" applyFont="1" applyFill="1" applyBorder="1" applyAlignment="1">
      <alignment horizontal="left" vertical="center" wrapText="1"/>
    </xf>
    <xf numFmtId="3" fontId="14" fillId="0" borderId="0" xfId="0" applyNumberFormat="1" applyFont="1" applyFill="1" applyBorder="1" applyAlignment="1">
      <alignment horizontal="right" vertical="center"/>
    </xf>
    <xf numFmtId="0" fontId="14" fillId="0" borderId="0" xfId="0" applyFont="1" applyFill="1" applyBorder="1"/>
    <xf numFmtId="166" fontId="14" fillId="0" borderId="0" xfId="1" applyFont="1" applyFill="1" applyBorder="1"/>
    <xf numFmtId="165" fontId="14" fillId="0" borderId="0" xfId="1" applyNumberFormat="1" applyFont="1" applyFill="1" applyBorder="1"/>
    <xf numFmtId="0" fontId="20" fillId="23" borderId="1" xfId="0" applyFont="1" applyFill="1" applyBorder="1" applyAlignment="1">
      <alignment vertical="center" wrapText="1"/>
    </xf>
    <xf numFmtId="3" fontId="26" fillId="23" borderId="1" xfId="0" applyNumberFormat="1" applyFont="1" applyFill="1" applyBorder="1" applyAlignment="1">
      <alignment vertical="center" wrapText="1"/>
    </xf>
    <xf numFmtId="166" fontId="14" fillId="0" borderId="1" xfId="1" applyFont="1" applyBorder="1"/>
    <xf numFmtId="165" fontId="14" fillId="0" borderId="1" xfId="1" applyNumberFormat="1" applyFont="1" applyBorder="1"/>
    <xf numFmtId="0" fontId="20" fillId="0" borderId="1" xfId="0" applyFont="1" applyBorder="1"/>
    <xf numFmtId="3" fontId="20" fillId="23" borderId="1" xfId="0" applyNumberFormat="1" applyFont="1" applyFill="1" applyBorder="1" applyAlignment="1">
      <alignment vertical="center" wrapText="1"/>
    </xf>
    <xf numFmtId="173" fontId="14" fillId="0" borderId="1" xfId="1" applyNumberFormat="1" applyFont="1" applyBorder="1"/>
    <xf numFmtId="0" fontId="26" fillId="23" borderId="1" xfId="0" applyFont="1" applyFill="1" applyBorder="1" applyAlignment="1">
      <alignment vertical="center" wrapText="1"/>
    </xf>
    <xf numFmtId="165" fontId="14" fillId="0" borderId="0" xfId="0" applyNumberFormat="1" applyFont="1"/>
    <xf numFmtId="0" fontId="24" fillId="0" borderId="0" xfId="0" applyFont="1"/>
    <xf numFmtId="3" fontId="14" fillId="0" borderId="1" xfId="0" applyNumberFormat="1" applyFont="1" applyBorder="1"/>
    <xf numFmtId="166" fontId="14" fillId="0" borderId="1" xfId="0" applyNumberFormat="1" applyFont="1" applyBorder="1"/>
    <xf numFmtId="166" fontId="14" fillId="0" borderId="20" xfId="1" applyFont="1" applyBorder="1"/>
    <xf numFmtId="0" fontId="20" fillId="23" borderId="25" xfId="0" applyFont="1" applyFill="1" applyBorder="1" applyAlignment="1">
      <alignment horizontal="left" vertical="center" wrapText="1"/>
    </xf>
    <xf numFmtId="3" fontId="14" fillId="0" borderId="25" xfId="0" applyNumberFormat="1" applyFont="1" applyBorder="1" applyAlignment="1">
      <alignment horizontal="right" vertical="center"/>
    </xf>
    <xf numFmtId="0" fontId="14" fillId="0" borderId="25" xfId="0" applyFont="1" applyBorder="1"/>
    <xf numFmtId="166" fontId="14" fillId="0" borderId="25" xfId="1" applyFont="1" applyBorder="1"/>
    <xf numFmtId="9" fontId="14" fillId="0" borderId="25" xfId="2" applyFont="1" applyBorder="1"/>
    <xf numFmtId="165" fontId="14" fillId="0" borderId="25" xfId="1" applyNumberFormat="1" applyFont="1" applyBorder="1"/>
    <xf numFmtId="166" fontId="14" fillId="0" borderId="26" xfId="1" applyFont="1" applyBorder="1"/>
    <xf numFmtId="0" fontId="20" fillId="0" borderId="17" xfId="0" applyFont="1" applyFill="1" applyBorder="1" applyAlignment="1">
      <alignment horizontal="left" vertical="center" wrapText="1"/>
    </xf>
    <xf numFmtId="3" fontId="20" fillId="0" borderId="17" xfId="0" applyNumberFormat="1" applyFont="1" applyFill="1" applyBorder="1" applyAlignment="1">
      <alignment horizontal="right" vertical="center" wrapText="1"/>
    </xf>
    <xf numFmtId="0" fontId="14" fillId="0" borderId="17" xfId="0" applyFont="1" applyBorder="1"/>
    <xf numFmtId="165" fontId="14" fillId="0" borderId="17" xfId="1" applyNumberFormat="1" applyFont="1" applyBorder="1"/>
    <xf numFmtId="166" fontId="14" fillId="0" borderId="18" xfId="1" applyFont="1" applyBorder="1"/>
    <xf numFmtId="0" fontId="20" fillId="0" borderId="25" xfId="0" applyFont="1" applyFill="1" applyBorder="1" applyAlignment="1">
      <alignment horizontal="left" vertical="center" wrapText="1"/>
    </xf>
    <xf numFmtId="3" fontId="14" fillId="0" borderId="25" xfId="0" applyNumberFormat="1" applyFont="1" applyFill="1" applyBorder="1" applyAlignment="1">
      <alignment horizontal="right" vertical="center"/>
    </xf>
    <xf numFmtId="0" fontId="26" fillId="23" borderId="17" xfId="0" applyFont="1" applyFill="1" applyBorder="1" applyAlignment="1">
      <alignment vertical="center" wrapText="1"/>
    </xf>
    <xf numFmtId="3" fontId="26" fillId="23" borderId="17" xfId="0" applyNumberFormat="1" applyFont="1" applyFill="1" applyBorder="1" applyAlignment="1">
      <alignment horizontal="right" vertical="center" wrapText="1"/>
    </xf>
    <xf numFmtId="3" fontId="20" fillId="23" borderId="25" xfId="0" applyNumberFormat="1" applyFont="1" applyFill="1" applyBorder="1" applyAlignment="1">
      <alignment horizontal="right" vertical="center" wrapText="1"/>
    </xf>
    <xf numFmtId="0" fontId="20" fillId="23" borderId="17" xfId="0" applyFont="1" applyFill="1" applyBorder="1" applyAlignment="1">
      <alignment vertical="center" wrapText="1"/>
    </xf>
    <xf numFmtId="3" fontId="26" fillId="23" borderId="17" xfId="0" applyNumberFormat="1" applyFont="1" applyFill="1" applyBorder="1" applyAlignment="1">
      <alignment vertical="center" wrapText="1"/>
    </xf>
    <xf numFmtId="0" fontId="25" fillId="24" borderId="49" xfId="0" applyFont="1" applyFill="1" applyBorder="1" applyAlignment="1">
      <alignment horizontal="center" vertical="center" wrapText="1"/>
    </xf>
    <xf numFmtId="3" fontId="25" fillId="24" borderId="49" xfId="0" applyNumberFormat="1" applyFont="1" applyFill="1" applyBorder="1" applyAlignment="1">
      <alignment horizontal="center" vertical="center" wrapText="1"/>
    </xf>
    <xf numFmtId="0" fontId="24" fillId="24" borderId="49" xfId="0" applyFont="1" applyFill="1" applyBorder="1" applyAlignment="1">
      <alignment horizontal="center" vertical="center"/>
    </xf>
    <xf numFmtId="166" fontId="24" fillId="24" borderId="49" xfId="1" applyFont="1" applyFill="1" applyBorder="1" applyAlignment="1">
      <alignment horizontal="center" vertical="center"/>
    </xf>
    <xf numFmtId="0" fontId="8" fillId="24" borderId="49" xfId="0" applyFont="1" applyFill="1" applyBorder="1" applyAlignment="1">
      <alignment horizontal="center" vertical="center" wrapText="1"/>
    </xf>
    <xf numFmtId="0" fontId="8" fillId="24" borderId="50" xfId="0" applyFont="1" applyFill="1" applyBorder="1" applyAlignment="1">
      <alignment horizontal="center" vertical="center" wrapText="1"/>
    </xf>
    <xf numFmtId="10" fontId="14" fillId="24" borderId="47" xfId="0" applyNumberFormat="1" applyFont="1" applyFill="1" applyBorder="1"/>
    <xf numFmtId="0" fontId="14" fillId="0" borderId="0" xfId="0" applyFont="1" applyFill="1" applyBorder="1" applyAlignment="1">
      <alignment horizontal="center" vertical="center"/>
    </xf>
    <xf numFmtId="0" fontId="25" fillId="24" borderId="48" xfId="0" applyFont="1" applyFill="1" applyBorder="1" applyAlignment="1">
      <alignment horizontal="center" vertical="center" wrapText="1"/>
    </xf>
    <xf numFmtId="0" fontId="20" fillId="23" borderId="43" xfId="0" applyFont="1" applyFill="1" applyBorder="1" applyAlignment="1">
      <alignment vertical="center" wrapText="1"/>
    </xf>
    <xf numFmtId="0" fontId="20" fillId="0" borderId="5" xfId="0" applyFont="1" applyFill="1" applyBorder="1" applyAlignment="1">
      <alignment horizontal="left" vertical="center" wrapText="1"/>
    </xf>
    <xf numFmtId="0" fontId="20" fillId="23" borderId="5" xfId="0" applyFont="1" applyFill="1" applyBorder="1" applyAlignment="1">
      <alignment horizontal="left" vertical="center" wrapText="1"/>
    </xf>
    <xf numFmtId="0" fontId="26" fillId="23" borderId="5" xfId="0" applyFont="1" applyFill="1" applyBorder="1" applyAlignment="1">
      <alignment horizontal="left" vertical="center" wrapText="1"/>
    </xf>
    <xf numFmtId="0" fontId="20" fillId="23" borderId="5" xfId="0" applyFont="1" applyFill="1" applyBorder="1" applyAlignment="1">
      <alignment vertical="center" wrapText="1"/>
    </xf>
    <xf numFmtId="0" fontId="20" fillId="23" borderId="24" xfId="0" applyFont="1" applyFill="1" applyBorder="1" applyAlignment="1">
      <alignment horizontal="left" vertical="center" wrapText="1"/>
    </xf>
    <xf numFmtId="0" fontId="28" fillId="0" borderId="7" xfId="0" applyFont="1" applyBorder="1"/>
    <xf numFmtId="166" fontId="14" fillId="0" borderId="7" xfId="1" applyFont="1" applyBorder="1"/>
    <xf numFmtId="0" fontId="14" fillId="0" borderId="7" xfId="0" applyFont="1" applyBorder="1"/>
    <xf numFmtId="9" fontId="14" fillId="0" borderId="7" xfId="2" applyFont="1" applyBorder="1"/>
    <xf numFmtId="165" fontId="14" fillId="0" borderId="7" xfId="1" applyNumberFormat="1" applyFont="1" applyBorder="1"/>
    <xf numFmtId="166" fontId="14" fillId="0" borderId="52" xfId="1" applyFont="1" applyBorder="1"/>
    <xf numFmtId="0" fontId="14" fillId="0" borderId="8" xfId="0" applyFont="1" applyBorder="1" applyAlignment="1">
      <alignment horizontal="left" vertical="center" wrapText="1"/>
    </xf>
    <xf numFmtId="0" fontId="14" fillId="0" borderId="5" xfId="0" applyFont="1" applyBorder="1" applyAlignment="1">
      <alignment horizontal="left" vertical="center" wrapText="1"/>
    </xf>
    <xf numFmtId="0" fontId="14" fillId="0" borderId="24" xfId="0" applyFont="1" applyBorder="1" applyAlignment="1">
      <alignment horizontal="left" vertical="center" wrapText="1"/>
    </xf>
    <xf numFmtId="0" fontId="20" fillId="0" borderId="43" xfId="0" applyFont="1" applyFill="1" applyBorder="1" applyAlignment="1">
      <alignment horizontal="left" vertical="center" wrapText="1"/>
    </xf>
    <xf numFmtId="0" fontId="14" fillId="0" borderId="24" xfId="0" applyFont="1" applyFill="1" applyBorder="1" applyAlignment="1">
      <alignment horizontal="left" vertical="center" wrapText="1"/>
    </xf>
    <xf numFmtId="0" fontId="26" fillId="23" borderId="43" xfId="0" applyFont="1" applyFill="1" applyBorder="1" applyAlignment="1">
      <alignment vertical="center" wrapText="1"/>
    </xf>
    <xf numFmtId="0" fontId="26" fillId="23" borderId="5" xfId="0" applyFont="1" applyFill="1" applyBorder="1" applyAlignment="1">
      <alignment vertical="center" wrapText="1"/>
    </xf>
    <xf numFmtId="0" fontId="26" fillId="23" borderId="24" xfId="0" applyFont="1" applyFill="1" applyBorder="1" applyAlignment="1">
      <alignment horizontal="left" vertical="center" wrapText="1"/>
    </xf>
    <xf numFmtId="0" fontId="0" fillId="25" borderId="1" xfId="0" applyFill="1" applyBorder="1"/>
    <xf numFmtId="10" fontId="0" fillId="25" borderId="1" xfId="2" applyNumberFormat="1" applyFont="1" applyFill="1" applyBorder="1"/>
    <xf numFmtId="166" fontId="0" fillId="25" borderId="1" xfId="0" applyNumberFormat="1" applyFill="1" applyBorder="1"/>
    <xf numFmtId="3" fontId="24" fillId="0" borderId="1" xfId="0" applyNumberFormat="1" applyFont="1" applyBorder="1"/>
    <xf numFmtId="166" fontId="5" fillId="0" borderId="25" xfId="1" applyFont="1" applyBorder="1" applyAlignment="1">
      <alignment horizontal="right"/>
    </xf>
    <xf numFmtId="166" fontId="5" fillId="16" borderId="7" xfId="1" applyFont="1" applyFill="1" applyBorder="1" applyAlignment="1">
      <alignment horizontal="right"/>
    </xf>
    <xf numFmtId="166" fontId="5" fillId="21" borderId="7" xfId="1" applyFont="1" applyFill="1" applyBorder="1" applyAlignment="1">
      <alignment horizontal="right"/>
    </xf>
    <xf numFmtId="0" fontId="5" fillId="21" borderId="51" xfId="0" applyFont="1" applyFill="1" applyBorder="1" applyAlignment="1">
      <alignment horizontal="left"/>
    </xf>
    <xf numFmtId="166" fontId="5" fillId="21" borderId="52" xfId="1" applyFont="1" applyFill="1" applyBorder="1" applyAlignment="1">
      <alignment horizontal="right"/>
    </xf>
    <xf numFmtId="0" fontId="8" fillId="0" borderId="23" xfId="0" applyFont="1" applyFill="1" applyBorder="1" applyAlignment="1">
      <alignment horizontal="left"/>
    </xf>
    <xf numFmtId="0" fontId="5" fillId="16" borderId="51" xfId="0" applyFont="1" applyFill="1" applyBorder="1" applyAlignment="1">
      <alignment horizontal="left"/>
    </xf>
    <xf numFmtId="166" fontId="5" fillId="16" borderId="52" xfId="1" applyFont="1" applyFill="1" applyBorder="1" applyAlignment="1">
      <alignment horizontal="right"/>
    </xf>
    <xf numFmtId="0" fontId="5" fillId="20" borderId="51" xfId="0" applyFont="1" applyFill="1" applyBorder="1" applyAlignment="1">
      <alignment horizontal="left"/>
    </xf>
    <xf numFmtId="166" fontId="5" fillId="20" borderId="52" xfId="1" applyFont="1" applyFill="1" applyBorder="1" applyAlignment="1">
      <alignment horizontal="right"/>
    </xf>
    <xf numFmtId="3" fontId="5" fillId="0" borderId="1" xfId="0" applyNumberFormat="1" applyFont="1" applyBorder="1" applyAlignment="1">
      <alignment horizontal="right"/>
    </xf>
    <xf numFmtId="170" fontId="14" fillId="0" borderId="0" xfId="0" applyNumberFormat="1" applyFont="1"/>
    <xf numFmtId="0" fontId="0" fillId="0" borderId="3" xfId="0" applyFill="1" applyBorder="1" applyAlignment="1">
      <alignment vertical="center"/>
    </xf>
    <xf numFmtId="9" fontId="0" fillId="0" borderId="1" xfId="2" applyFont="1" applyFill="1" applyBorder="1" applyAlignment="1">
      <alignment vertical="center"/>
    </xf>
    <xf numFmtId="3" fontId="24" fillId="0" borderId="29" xfId="0" applyNumberFormat="1" applyFont="1" applyBorder="1"/>
    <xf numFmtId="3" fontId="14" fillId="0" borderId="18" xfId="0" applyNumberFormat="1" applyFont="1" applyBorder="1"/>
    <xf numFmtId="3" fontId="14" fillId="0" borderId="20" xfId="0" applyNumberFormat="1" applyFont="1" applyBorder="1"/>
    <xf numFmtId="0" fontId="14" fillId="0" borderId="22" xfId="0" applyFont="1" applyBorder="1"/>
    <xf numFmtId="3" fontId="14" fillId="0" borderId="26" xfId="0" applyNumberFormat="1" applyFont="1" applyBorder="1"/>
    <xf numFmtId="10" fontId="14" fillId="0" borderId="1" xfId="2" applyNumberFormat="1" applyFont="1" applyBorder="1"/>
    <xf numFmtId="0" fontId="14" fillId="0" borderId="0" xfId="0" applyFont="1" applyBorder="1" applyAlignment="1">
      <alignment vertical="center" wrapText="1"/>
    </xf>
    <xf numFmtId="168" fontId="14" fillId="0" borderId="1" xfId="0" applyNumberFormat="1" applyFont="1" applyBorder="1"/>
    <xf numFmtId="166" fontId="14" fillId="0" borderId="20" xfId="0" applyNumberFormat="1" applyFont="1" applyBorder="1"/>
    <xf numFmtId="168" fontId="14" fillId="0" borderId="0" xfId="0" applyNumberFormat="1" applyFont="1" applyBorder="1"/>
    <xf numFmtId="166" fontId="14" fillId="0" borderId="0" xfId="0" applyNumberFormat="1" applyFont="1" applyBorder="1"/>
    <xf numFmtId="0" fontId="14" fillId="0" borderId="23" xfId="0" applyFont="1" applyBorder="1"/>
    <xf numFmtId="168" fontId="14" fillId="0" borderId="25" xfId="0" applyNumberFormat="1" applyFont="1" applyBorder="1"/>
    <xf numFmtId="166" fontId="14" fillId="0" borderId="25" xfId="0" applyNumberFormat="1" applyFont="1" applyBorder="1"/>
    <xf numFmtId="166" fontId="14" fillId="0" borderId="26" xfId="0" applyNumberFormat="1" applyFont="1" applyBorder="1"/>
    <xf numFmtId="0" fontId="14" fillId="21" borderId="16" xfId="0" applyFont="1" applyFill="1" applyBorder="1" applyAlignment="1">
      <alignment horizontal="center" vertical="center"/>
    </xf>
    <xf numFmtId="0" fontId="14" fillId="21" borderId="17" xfId="0" applyFont="1" applyFill="1" applyBorder="1" applyAlignment="1">
      <alignment horizontal="center" wrapText="1"/>
    </xf>
    <xf numFmtId="0" fontId="14" fillId="21" borderId="17" xfId="0" applyFont="1" applyFill="1" applyBorder="1" applyAlignment="1">
      <alignment horizontal="center" vertical="center"/>
    </xf>
    <xf numFmtId="0" fontId="14" fillId="21" borderId="17" xfId="0" applyFont="1" applyFill="1" applyBorder="1" applyAlignment="1">
      <alignment horizontal="center" vertical="center" wrapText="1"/>
    </xf>
    <xf numFmtId="0" fontId="14" fillId="21" borderId="18" xfId="0" applyFont="1" applyFill="1" applyBorder="1" applyAlignment="1">
      <alignment horizontal="center" vertical="center" wrapText="1"/>
    </xf>
    <xf numFmtId="0" fontId="14" fillId="21" borderId="1" xfId="0" applyFont="1" applyFill="1" applyBorder="1"/>
    <xf numFmtId="0" fontId="14" fillId="21" borderId="20" xfId="0" applyFont="1" applyFill="1" applyBorder="1"/>
    <xf numFmtId="0" fontId="14" fillId="16" borderId="1" xfId="0" applyFont="1" applyFill="1" applyBorder="1"/>
    <xf numFmtId="0" fontId="14" fillId="16" borderId="16" xfId="0" applyFont="1" applyFill="1" applyBorder="1" applyAlignment="1">
      <alignment horizontal="center" vertical="center"/>
    </xf>
    <xf numFmtId="0" fontId="14" fillId="16" borderId="17" xfId="0" applyFont="1" applyFill="1" applyBorder="1" applyAlignment="1">
      <alignment horizontal="center" wrapText="1"/>
    </xf>
    <xf numFmtId="0" fontId="14" fillId="16" borderId="17" xfId="0" applyFont="1" applyFill="1" applyBorder="1" applyAlignment="1">
      <alignment horizontal="center" vertical="center"/>
    </xf>
    <xf numFmtId="0" fontId="14" fillId="16" borderId="17" xfId="0" applyFont="1" applyFill="1" applyBorder="1" applyAlignment="1">
      <alignment horizontal="center" vertical="center" wrapText="1"/>
    </xf>
    <xf numFmtId="0" fontId="14" fillId="16" borderId="18" xfId="0" applyFont="1" applyFill="1" applyBorder="1" applyAlignment="1">
      <alignment horizontal="center" vertical="center" wrapText="1"/>
    </xf>
    <xf numFmtId="0" fontId="14" fillId="16" borderId="20" xfId="0" applyFont="1" applyFill="1" applyBorder="1"/>
    <xf numFmtId="0" fontId="14" fillId="20" borderId="1" xfId="0" applyFont="1" applyFill="1" applyBorder="1"/>
    <xf numFmtId="0" fontId="14" fillId="3" borderId="1" xfId="0" applyFont="1" applyFill="1" applyBorder="1"/>
    <xf numFmtId="0" fontId="14" fillId="3" borderId="20" xfId="0" applyFont="1" applyFill="1" applyBorder="1"/>
    <xf numFmtId="0" fontId="31" fillId="3" borderId="16" xfId="0" applyFont="1" applyFill="1" applyBorder="1" applyAlignment="1">
      <alignment horizontal="center" vertical="center"/>
    </xf>
    <xf numFmtId="0" fontId="31" fillId="3" borderId="17" xfId="0" applyFont="1" applyFill="1" applyBorder="1" applyAlignment="1">
      <alignment horizontal="center" wrapText="1"/>
    </xf>
    <xf numFmtId="0" fontId="31" fillId="3" borderId="17" xfId="0" applyFont="1" applyFill="1" applyBorder="1" applyAlignment="1">
      <alignment horizontal="center" vertical="center"/>
    </xf>
    <xf numFmtId="0" fontId="31" fillId="3" borderId="17" xfId="0" applyFont="1" applyFill="1" applyBorder="1" applyAlignment="1">
      <alignment horizontal="center" vertical="center" wrapText="1"/>
    </xf>
    <xf numFmtId="0" fontId="31" fillId="3" borderId="18" xfId="0" applyFont="1" applyFill="1" applyBorder="1" applyAlignment="1">
      <alignment horizontal="center" vertical="center" wrapText="1"/>
    </xf>
    <xf numFmtId="0" fontId="31" fillId="5" borderId="16" xfId="0" applyFont="1" applyFill="1" applyBorder="1" applyAlignment="1">
      <alignment horizontal="center" vertical="center"/>
    </xf>
    <xf numFmtId="0" fontId="31" fillId="5" borderId="17" xfId="0" applyFont="1" applyFill="1" applyBorder="1" applyAlignment="1">
      <alignment horizontal="center" wrapText="1"/>
    </xf>
    <xf numFmtId="0" fontId="31" fillId="5" borderId="17" xfId="0" applyFont="1" applyFill="1" applyBorder="1" applyAlignment="1">
      <alignment horizontal="center" vertical="center"/>
    </xf>
    <xf numFmtId="0" fontId="31" fillId="5" borderId="17" xfId="0" applyFont="1" applyFill="1" applyBorder="1" applyAlignment="1">
      <alignment horizontal="center" vertical="center" wrapText="1"/>
    </xf>
    <xf numFmtId="0" fontId="31" fillId="5" borderId="18" xfId="0" applyFont="1" applyFill="1" applyBorder="1" applyAlignment="1">
      <alignment horizontal="center" vertical="center" wrapText="1"/>
    </xf>
    <xf numFmtId="0" fontId="14" fillId="5" borderId="1" xfId="0" applyFont="1" applyFill="1" applyBorder="1"/>
    <xf numFmtId="0" fontId="14" fillId="5" borderId="20" xfId="0" applyFont="1" applyFill="1" applyBorder="1"/>
    <xf numFmtId="49" fontId="23" fillId="0" borderId="1" xfId="0" applyNumberFormat="1" applyFont="1" applyBorder="1" applyAlignment="1">
      <alignment horizontal="center"/>
    </xf>
    <xf numFmtId="0" fontId="8" fillId="2" borderId="5" xfId="0" applyFont="1" applyFill="1" applyBorder="1" applyAlignment="1">
      <alignment horizontal="center" vertical="center" wrapText="1"/>
    </xf>
    <xf numFmtId="3" fontId="8" fillId="3" borderId="1" xfId="0" applyNumberFormat="1" applyFont="1" applyFill="1" applyBorder="1" applyAlignment="1">
      <alignment vertical="center" wrapText="1"/>
    </xf>
    <xf numFmtId="166" fontId="8" fillId="3" borderId="5" xfId="1" applyFont="1" applyFill="1" applyBorder="1" applyAlignment="1">
      <alignment vertical="center" wrapText="1"/>
    </xf>
    <xf numFmtId="0" fontId="5" fillId="5" borderId="1" xfId="0" applyFont="1" applyFill="1" applyBorder="1"/>
    <xf numFmtId="0" fontId="8" fillId="2" borderId="1" xfId="0" applyFont="1" applyFill="1" applyBorder="1" applyAlignment="1">
      <alignment horizontal="center" vertical="center" wrapText="1"/>
    </xf>
    <xf numFmtId="0" fontId="34" fillId="0" borderId="37" xfId="0" applyFont="1" applyFill="1" applyBorder="1" applyAlignment="1">
      <alignment vertical="center"/>
    </xf>
    <xf numFmtId="0" fontId="14" fillId="4" borderId="6" xfId="0" applyFont="1" applyFill="1" applyBorder="1" applyAlignment="1">
      <alignment horizontal="center" vertical="center"/>
    </xf>
    <xf numFmtId="0" fontId="14" fillId="4" borderId="53" xfId="0" applyFont="1" applyFill="1" applyBorder="1" applyAlignment="1">
      <alignment horizontal="center" vertical="center"/>
    </xf>
    <xf numFmtId="0" fontId="14" fillId="0" borderId="17" xfId="0" applyFont="1" applyFill="1" applyBorder="1" applyAlignment="1">
      <alignment horizontal="center" wrapText="1"/>
    </xf>
    <xf numFmtId="0" fontId="14" fillId="0" borderId="17" xfId="0" applyFont="1" applyFill="1" applyBorder="1"/>
    <xf numFmtId="0" fontId="14" fillId="0" borderId="17" xfId="0" applyFont="1" applyFill="1" applyBorder="1" applyProtection="1">
      <protection locked="0"/>
    </xf>
    <xf numFmtId="174" fontId="24" fillId="0" borderId="17" xfId="0" applyNumberFormat="1" applyFont="1" applyFill="1" applyBorder="1"/>
    <xf numFmtId="167" fontId="14" fillId="0" borderId="17" xfId="1" applyNumberFormat="1" applyFont="1" applyFill="1" applyBorder="1" applyProtection="1"/>
    <xf numFmtId="167" fontId="14" fillId="0" borderId="18" xfId="1" applyNumberFormat="1" applyFont="1" applyFill="1" applyBorder="1" applyProtection="1"/>
    <xf numFmtId="0" fontId="14" fillId="0" borderId="1" xfId="0" applyFont="1" applyFill="1" applyBorder="1" applyAlignment="1">
      <alignment horizontal="center" wrapText="1"/>
    </xf>
    <xf numFmtId="0" fontId="14" fillId="0" borderId="1" xfId="0" applyFont="1" applyFill="1" applyBorder="1"/>
    <xf numFmtId="0" fontId="14" fillId="0" borderId="1" xfId="0" applyFont="1" applyFill="1" applyBorder="1" applyProtection="1">
      <protection locked="0"/>
    </xf>
    <xf numFmtId="174" fontId="24" fillId="0" borderId="1" xfId="0" applyNumberFormat="1" applyFont="1" applyFill="1" applyBorder="1"/>
    <xf numFmtId="167" fontId="14" fillId="0" borderId="1" xfId="1" applyNumberFormat="1" applyFont="1" applyFill="1" applyBorder="1" applyProtection="1"/>
    <xf numFmtId="167" fontId="14" fillId="0" borderId="20" xfId="1" applyNumberFormat="1" applyFont="1" applyFill="1" applyBorder="1" applyProtection="1"/>
    <xf numFmtId="0" fontId="14" fillId="0" borderId="25" xfId="0" applyFont="1" applyFill="1" applyBorder="1" applyAlignment="1">
      <alignment horizontal="center" wrapText="1"/>
    </xf>
    <xf numFmtId="0" fontId="14" fillId="0" borderId="25" xfId="0" applyFont="1" applyFill="1" applyBorder="1"/>
    <xf numFmtId="0" fontId="14" fillId="0" borderId="25" xfId="0" applyFont="1" applyFill="1" applyBorder="1" applyProtection="1">
      <protection locked="0"/>
    </xf>
    <xf numFmtId="174" fontId="24" fillId="0" borderId="25" xfId="0" applyNumberFormat="1" applyFont="1" applyFill="1" applyBorder="1"/>
    <xf numFmtId="167" fontId="14" fillId="0" borderId="25" xfId="1" applyNumberFormat="1" applyFont="1" applyFill="1" applyBorder="1" applyProtection="1"/>
    <xf numFmtId="167" fontId="14" fillId="0" borderId="26" xfId="1" applyNumberFormat="1" applyFont="1" applyFill="1" applyBorder="1" applyProtection="1"/>
    <xf numFmtId="0" fontId="14" fillId="0" borderId="7" xfId="0" applyFont="1" applyFill="1" applyBorder="1" applyAlignment="1">
      <alignment horizontal="center" wrapText="1"/>
    </xf>
    <xf numFmtId="0" fontId="14" fillId="0" borderId="7" xfId="0" applyFont="1" applyFill="1" applyBorder="1"/>
    <xf numFmtId="0" fontId="14" fillId="0" borderId="7" xfId="0" applyFont="1" applyFill="1" applyBorder="1" applyProtection="1">
      <protection locked="0"/>
    </xf>
    <xf numFmtId="174" fontId="24" fillId="0" borderId="7" xfId="0" applyNumberFormat="1" applyFont="1" applyFill="1" applyBorder="1"/>
    <xf numFmtId="167" fontId="14" fillId="0" borderId="7" xfId="1" applyNumberFormat="1" applyFont="1" applyFill="1" applyBorder="1" applyProtection="1"/>
    <xf numFmtId="167" fontId="14" fillId="0" borderId="52" xfId="1" applyNumberFormat="1" applyFont="1" applyFill="1" applyBorder="1" applyProtection="1"/>
    <xf numFmtId="167" fontId="14" fillId="0" borderId="9" xfId="1" applyNumberFormat="1" applyFont="1" applyFill="1" applyBorder="1" applyProtection="1"/>
    <xf numFmtId="167" fontId="14" fillId="0" borderId="54" xfId="1" applyNumberFormat="1" applyFont="1" applyFill="1" applyBorder="1" applyProtection="1"/>
    <xf numFmtId="167" fontId="14" fillId="4" borderId="48" xfId="1" applyNumberFormat="1" applyFont="1" applyFill="1" applyBorder="1"/>
    <xf numFmtId="167" fontId="14" fillId="4" borderId="49" xfId="1" applyNumberFormat="1" applyFont="1" applyFill="1" applyBorder="1"/>
    <xf numFmtId="167" fontId="14" fillId="4" borderId="50" xfId="1" applyNumberFormat="1" applyFont="1" applyFill="1" applyBorder="1"/>
    <xf numFmtId="0" fontId="31" fillId="0" borderId="0" xfId="0" applyFont="1" applyFill="1" applyBorder="1" applyAlignment="1">
      <alignment vertical="center"/>
    </xf>
    <xf numFmtId="167" fontId="14" fillId="4" borderId="55" xfId="1" applyNumberFormat="1" applyFont="1" applyFill="1" applyBorder="1" applyAlignment="1">
      <alignment horizontal="center" wrapText="1"/>
    </xf>
    <xf numFmtId="167" fontId="14" fillId="4" borderId="56" xfId="1" applyNumberFormat="1" applyFont="1" applyFill="1" applyBorder="1" applyAlignment="1">
      <alignment horizontal="center" wrapText="1"/>
    </xf>
    <xf numFmtId="167" fontId="14" fillId="4" borderId="57" xfId="1" applyNumberFormat="1" applyFont="1" applyFill="1" applyBorder="1" applyAlignment="1">
      <alignment horizontal="center" wrapText="1"/>
    </xf>
    <xf numFmtId="0" fontId="13" fillId="0" borderId="40" xfId="0" applyFont="1" applyBorder="1" applyAlignment="1" applyProtection="1">
      <alignment horizontal="center"/>
    </xf>
    <xf numFmtId="0" fontId="13" fillId="0" borderId="47" xfId="0" applyFont="1" applyBorder="1" applyAlignment="1" applyProtection="1">
      <alignment horizontal="center"/>
    </xf>
    <xf numFmtId="3" fontId="14" fillId="0" borderId="17" xfId="0" applyNumberFormat="1" applyFont="1" applyFill="1" applyBorder="1"/>
    <xf numFmtId="0" fontId="14" fillId="0" borderId="16" xfId="0" applyFont="1" applyFill="1" applyBorder="1" applyAlignment="1"/>
    <xf numFmtId="0" fontId="14" fillId="0" borderId="22" xfId="0" applyFont="1" applyFill="1" applyBorder="1" applyAlignment="1"/>
    <xf numFmtId="0" fontId="14" fillId="0" borderId="23" xfId="0" applyFont="1" applyFill="1" applyBorder="1" applyAlignment="1"/>
    <xf numFmtId="0" fontId="14" fillId="0" borderId="0" xfId="0" applyFont="1" applyFill="1" applyAlignment="1"/>
    <xf numFmtId="0" fontId="14" fillId="0" borderId="0" xfId="0" applyFont="1" applyAlignment="1"/>
    <xf numFmtId="0" fontId="14" fillId="0" borderId="1" xfId="0" applyFont="1" applyFill="1" applyBorder="1" applyAlignment="1"/>
    <xf numFmtId="3" fontId="14" fillId="0" borderId="1" xfId="0" applyNumberFormat="1" applyFont="1" applyFill="1" applyBorder="1"/>
    <xf numFmtId="167" fontId="14" fillId="0" borderId="8" xfId="1" applyNumberFormat="1" applyFont="1" applyFill="1" applyBorder="1" applyProtection="1"/>
    <xf numFmtId="167" fontId="14" fillId="0" borderId="5" xfId="1" applyNumberFormat="1" applyFont="1" applyFill="1" applyBorder="1" applyProtection="1"/>
    <xf numFmtId="0" fontId="14" fillId="0" borderId="17" xfId="0" applyFont="1" applyFill="1" applyBorder="1" applyAlignment="1"/>
    <xf numFmtId="167" fontId="14" fillId="0" borderId="18" xfId="1" applyNumberFormat="1" applyFont="1" applyFill="1" applyBorder="1"/>
    <xf numFmtId="167" fontId="14" fillId="0" borderId="20" xfId="1" applyNumberFormat="1" applyFont="1" applyFill="1" applyBorder="1"/>
    <xf numFmtId="0" fontId="14" fillId="0" borderId="25" xfId="0" applyFont="1" applyFill="1" applyBorder="1" applyAlignment="1"/>
    <xf numFmtId="3" fontId="14" fillId="0" borderId="25" xfId="0" applyNumberFormat="1" applyFont="1" applyFill="1" applyBorder="1"/>
    <xf numFmtId="167" fontId="14" fillId="0" borderId="26" xfId="1" applyNumberFormat="1" applyFont="1" applyFill="1" applyBorder="1"/>
    <xf numFmtId="0" fontId="14" fillId="0" borderId="6" xfId="0" applyFont="1" applyFill="1" applyBorder="1" applyProtection="1">
      <protection locked="0"/>
    </xf>
    <xf numFmtId="0" fontId="14" fillId="0" borderId="6" xfId="0" applyFont="1" applyFill="1" applyBorder="1"/>
    <xf numFmtId="174" fontId="24" fillId="0" borderId="6" xfId="0" applyNumberFormat="1" applyFont="1" applyFill="1" applyBorder="1"/>
    <xf numFmtId="0" fontId="14" fillId="0" borderId="51" xfId="0" applyFont="1" applyFill="1" applyBorder="1" applyAlignment="1"/>
    <xf numFmtId="167" fontId="14" fillId="0" borderId="13" xfId="1" applyNumberFormat="1" applyFont="1" applyFill="1" applyBorder="1" applyProtection="1"/>
    <xf numFmtId="167" fontId="14" fillId="0" borderId="60" xfId="1" applyNumberFormat="1" applyFont="1" applyFill="1" applyBorder="1"/>
    <xf numFmtId="167" fontId="14" fillId="0" borderId="3" xfId="1" applyNumberFormat="1" applyFont="1" applyFill="1" applyBorder="1"/>
    <xf numFmtId="167" fontId="14" fillId="0" borderId="16" xfId="1" applyNumberFormat="1" applyFont="1" applyFill="1" applyBorder="1" applyProtection="1"/>
    <xf numFmtId="167" fontId="14" fillId="0" borderId="22" xfId="1" applyNumberFormat="1" applyFont="1" applyFill="1" applyBorder="1" applyProtection="1"/>
    <xf numFmtId="167" fontId="14" fillId="0" borderId="23" xfId="1" applyNumberFormat="1" applyFont="1" applyFill="1" applyBorder="1" applyProtection="1"/>
    <xf numFmtId="3" fontId="14" fillId="0" borderId="17" xfId="0" applyNumberFormat="1" applyFont="1" applyFill="1" applyBorder="1" applyProtection="1">
      <protection locked="0"/>
    </xf>
    <xf numFmtId="3" fontId="14" fillId="0" borderId="1" xfId="0" applyNumberFormat="1" applyFont="1" applyFill="1" applyBorder="1" applyProtection="1">
      <protection locked="0"/>
    </xf>
    <xf numFmtId="3" fontId="14" fillId="0" borderId="25" xfId="0" applyNumberFormat="1" applyFont="1" applyFill="1" applyBorder="1" applyProtection="1">
      <protection locked="0"/>
    </xf>
    <xf numFmtId="3" fontId="14" fillId="0" borderId="6" xfId="0" applyNumberFormat="1" applyFont="1" applyFill="1" applyBorder="1" applyProtection="1">
      <protection locked="0"/>
    </xf>
    <xf numFmtId="3" fontId="14" fillId="0" borderId="0" xfId="0" applyNumberFormat="1" applyFont="1" applyFill="1" applyBorder="1" applyProtection="1">
      <protection locked="0"/>
    </xf>
    <xf numFmtId="3" fontId="14" fillId="0" borderId="7" xfId="0" applyNumberFormat="1" applyFont="1" applyFill="1" applyBorder="1"/>
    <xf numFmtId="0" fontId="14" fillId="0" borderId="6" xfId="0" applyFont="1" applyFill="1" applyBorder="1" applyAlignment="1"/>
    <xf numFmtId="0" fontId="14" fillId="0" borderId="6" xfId="0" applyFont="1" applyFill="1" applyBorder="1" applyAlignment="1">
      <alignment horizontal="center" wrapText="1"/>
    </xf>
    <xf numFmtId="3" fontId="14" fillId="0" borderId="6" xfId="0" applyNumberFormat="1" applyFont="1" applyFill="1" applyBorder="1"/>
    <xf numFmtId="167" fontId="14" fillId="0" borderId="11" xfId="1" applyNumberFormat="1" applyFont="1" applyFill="1" applyBorder="1"/>
    <xf numFmtId="3" fontId="14" fillId="0" borderId="7" xfId="0" applyNumberFormat="1" applyFont="1" applyFill="1" applyBorder="1" applyProtection="1">
      <protection locked="0"/>
    </xf>
    <xf numFmtId="167" fontId="14" fillId="0" borderId="14" xfId="1" applyNumberFormat="1" applyFont="1" applyFill="1" applyBorder="1"/>
    <xf numFmtId="0" fontId="14" fillId="0" borderId="19" xfId="0" applyFont="1" applyFill="1" applyBorder="1" applyAlignment="1"/>
    <xf numFmtId="0" fontId="13" fillId="0" borderId="0" xfId="0" applyFont="1" applyProtection="1"/>
    <xf numFmtId="0" fontId="41" fillId="0" borderId="0" xfId="0" applyFont="1" applyBorder="1" applyAlignment="1" applyProtection="1">
      <alignment vertical="center"/>
    </xf>
    <xf numFmtId="0" fontId="41" fillId="0" borderId="0" xfId="0" applyFont="1" applyFill="1" applyBorder="1" applyAlignment="1" applyProtection="1">
      <alignment vertical="center"/>
    </xf>
    <xf numFmtId="0" fontId="43" fillId="0" borderId="0" xfId="0" applyFont="1" applyBorder="1" applyAlignment="1" applyProtection="1">
      <alignment vertical="center"/>
    </xf>
    <xf numFmtId="0" fontId="41" fillId="0" borderId="0" xfId="0" applyFont="1" applyBorder="1" applyAlignment="1" applyProtection="1">
      <alignment horizontal="center" vertical="center"/>
    </xf>
    <xf numFmtId="0" fontId="41" fillId="0" borderId="0" xfId="0" applyFont="1" applyFill="1" applyBorder="1" applyAlignment="1" applyProtection="1">
      <alignment horizontal="center" vertical="center"/>
    </xf>
    <xf numFmtId="0" fontId="41" fillId="0" borderId="2" xfId="0" applyFont="1" applyBorder="1" applyAlignment="1" applyProtection="1">
      <alignment vertical="center"/>
    </xf>
    <xf numFmtId="0" fontId="41" fillId="0" borderId="0" xfId="0" applyFont="1" applyAlignment="1" applyProtection="1">
      <alignment vertical="center"/>
    </xf>
    <xf numFmtId="0" fontId="43" fillId="27" borderId="17" xfId="0" applyFont="1" applyFill="1" applyBorder="1" applyAlignment="1" applyProtection="1">
      <alignment horizontal="center" vertical="center"/>
    </xf>
    <xf numFmtId="0" fontId="44" fillId="11" borderId="18" xfId="0" applyFont="1" applyFill="1" applyBorder="1" applyAlignment="1" applyProtection="1">
      <alignment horizontal="center" vertical="center" wrapText="1"/>
    </xf>
    <xf numFmtId="0" fontId="44" fillId="0" borderId="0" xfId="0" applyFont="1" applyFill="1" applyBorder="1" applyAlignment="1" applyProtection="1">
      <alignment horizontal="center" vertical="center" wrapText="1"/>
    </xf>
    <xf numFmtId="0" fontId="11" fillId="0" borderId="0" xfId="0" applyFont="1" applyProtection="1"/>
    <xf numFmtId="0" fontId="41" fillId="27" borderId="23" xfId="0" applyFont="1" applyFill="1" applyBorder="1" applyAlignment="1" applyProtection="1">
      <alignment horizontal="center" vertical="center"/>
    </xf>
    <xf numFmtId="0" fontId="45" fillId="0" borderId="25" xfId="0" applyFont="1" applyBorder="1" applyAlignment="1" applyProtection="1">
      <alignment horizontal="center" vertical="center"/>
      <protection locked="0"/>
    </xf>
    <xf numFmtId="0" fontId="45" fillId="11" borderId="26" xfId="0" applyFont="1" applyFill="1" applyBorder="1" applyAlignment="1" applyProtection="1">
      <alignment horizontal="center" vertical="center"/>
    </xf>
    <xf numFmtId="3" fontId="11" fillId="0" borderId="0" xfId="0" applyNumberFormat="1" applyFont="1" applyBorder="1" applyAlignment="1" applyProtection="1">
      <alignment horizontal="center" vertical="center"/>
    </xf>
    <xf numFmtId="0" fontId="41" fillId="27" borderId="22" xfId="0" applyFont="1" applyFill="1" applyBorder="1" applyAlignment="1" applyProtection="1">
      <alignment horizontal="center" vertical="center"/>
    </xf>
    <xf numFmtId="0" fontId="45" fillId="0" borderId="1" xfId="0" applyFont="1" applyBorder="1" applyAlignment="1" applyProtection="1">
      <alignment horizontal="center" vertical="center"/>
      <protection locked="0"/>
    </xf>
    <xf numFmtId="0" fontId="45" fillId="11" borderId="20" xfId="0" applyFont="1" applyFill="1" applyBorder="1" applyAlignment="1" applyProtection="1">
      <alignment horizontal="center" vertical="center"/>
    </xf>
    <xf numFmtId="0" fontId="44" fillId="27" borderId="18" xfId="0" applyFont="1" applyFill="1" applyBorder="1" applyAlignment="1" applyProtection="1">
      <alignment horizontal="center" vertical="center" wrapText="1"/>
    </xf>
    <xf numFmtId="0" fontId="43" fillId="0" borderId="0" xfId="0" applyFont="1" applyFill="1" applyBorder="1" applyAlignment="1" applyProtection="1">
      <alignment vertical="center" textRotation="90"/>
    </xf>
    <xf numFmtId="0" fontId="45" fillId="0" borderId="20" xfId="0" applyFont="1" applyBorder="1" applyAlignment="1" applyProtection="1">
      <alignment horizontal="center" vertical="center"/>
      <protection locked="0"/>
    </xf>
    <xf numFmtId="0" fontId="41" fillId="0" borderId="0" xfId="0" applyFont="1" applyBorder="1" applyAlignment="1" applyProtection="1">
      <alignment vertical="top" textRotation="90"/>
    </xf>
    <xf numFmtId="0" fontId="45" fillId="0" borderId="26" xfId="0" applyFont="1" applyBorder="1" applyAlignment="1" applyProtection="1">
      <alignment horizontal="center" vertical="center"/>
      <protection locked="0"/>
    </xf>
    <xf numFmtId="3" fontId="41" fillId="0" borderId="7" xfId="0" applyNumberFormat="1" applyFont="1" applyBorder="1" applyAlignment="1" applyProtection="1">
      <alignment horizontal="center" vertical="center"/>
    </xf>
    <xf numFmtId="3" fontId="41" fillId="0" borderId="9" xfId="0" applyNumberFormat="1" applyFont="1" applyBorder="1" applyAlignment="1" applyProtection="1">
      <alignment horizontal="center" vertical="center"/>
    </xf>
    <xf numFmtId="3" fontId="13" fillId="0" borderId="6" xfId="0" applyNumberFormat="1" applyFont="1" applyBorder="1" applyProtection="1"/>
    <xf numFmtId="3" fontId="41" fillId="0" borderId="14" xfId="0" applyNumberFormat="1" applyFont="1" applyBorder="1" applyAlignment="1" applyProtection="1">
      <alignment horizontal="center" vertical="center"/>
    </xf>
    <xf numFmtId="3" fontId="41" fillId="0" borderId="1" xfId="0" applyNumberFormat="1" applyFont="1" applyBorder="1" applyAlignment="1" applyProtection="1">
      <alignment horizontal="center" vertical="center"/>
    </xf>
    <xf numFmtId="3" fontId="41" fillId="0" borderId="3" xfId="0" applyNumberFormat="1" applyFont="1" applyBorder="1" applyAlignment="1" applyProtection="1">
      <alignment horizontal="center" vertical="center"/>
    </xf>
    <xf numFmtId="3" fontId="41" fillId="0" borderId="56" xfId="0" applyNumberFormat="1" applyFont="1" applyBorder="1" applyAlignment="1" applyProtection="1">
      <alignment vertical="center"/>
    </xf>
    <xf numFmtId="3" fontId="43" fillId="0" borderId="56" xfId="0" applyNumberFormat="1" applyFont="1" applyBorder="1" applyAlignment="1" applyProtection="1">
      <alignment vertical="center"/>
    </xf>
    <xf numFmtId="3" fontId="43" fillId="0" borderId="67" xfId="0" applyNumberFormat="1" applyFont="1" applyBorder="1" applyAlignment="1" applyProtection="1">
      <alignment vertical="center"/>
    </xf>
    <xf numFmtId="0" fontId="47" fillId="0" borderId="0" xfId="0" applyFont="1" applyFill="1" applyBorder="1" applyAlignment="1" applyProtection="1"/>
    <xf numFmtId="3" fontId="13" fillId="11" borderId="50" xfId="0" applyNumberFormat="1" applyFont="1" applyFill="1" applyBorder="1" applyAlignment="1" applyProtection="1">
      <alignment horizontal="right" vertical="center"/>
    </xf>
    <xf numFmtId="0" fontId="41" fillId="26" borderId="50" xfId="0" applyFont="1" applyFill="1" applyBorder="1" applyAlignment="1" applyProtection="1">
      <alignment horizontal="right" vertical="center"/>
      <protection locked="0"/>
    </xf>
    <xf numFmtId="0" fontId="13" fillId="0" borderId="0" xfId="0" applyFont="1" applyBorder="1" applyProtection="1"/>
    <xf numFmtId="0" fontId="51" fillId="0" borderId="16" xfId="0" applyFont="1" applyBorder="1" applyAlignment="1" applyProtection="1">
      <alignment horizontal="center" vertical="center"/>
    </xf>
    <xf numFmtId="3" fontId="44" fillId="0" borderId="18" xfId="0" applyNumberFormat="1" applyFont="1" applyBorder="1" applyAlignment="1" applyProtection="1">
      <alignment horizontal="center" vertical="center" wrapText="1"/>
    </xf>
    <xf numFmtId="0" fontId="51" fillId="0" borderId="0" xfId="0" applyFont="1" applyBorder="1" applyAlignment="1" applyProtection="1">
      <alignment vertical="center"/>
    </xf>
    <xf numFmtId="3" fontId="41" fillId="0" borderId="0" xfId="0" applyNumberFormat="1" applyFont="1" applyBorder="1" applyAlignment="1" applyProtection="1">
      <alignment horizontal="center" vertical="center"/>
    </xf>
    <xf numFmtId="0" fontId="52" fillId="0" borderId="22" xfId="0" applyFont="1" applyBorder="1" applyAlignment="1" applyProtection="1">
      <alignment horizontal="center" vertical="center"/>
    </xf>
    <xf numFmtId="9" fontId="52" fillId="0" borderId="20" xfId="2" applyFont="1" applyBorder="1" applyAlignment="1" applyProtection="1">
      <alignment horizontal="right" vertical="center"/>
    </xf>
    <xf numFmtId="0" fontId="53" fillId="0" borderId="0" xfId="0" applyFont="1" applyFill="1" applyBorder="1" applyAlignment="1"/>
    <xf numFmtId="0" fontId="13" fillId="0" borderId="0" xfId="0" applyFont="1" applyFill="1" applyBorder="1" applyProtection="1"/>
    <xf numFmtId="9" fontId="53" fillId="0" borderId="20" xfId="2" applyFont="1" applyBorder="1" applyAlignment="1" applyProtection="1">
      <alignment horizontal="right"/>
    </xf>
    <xf numFmtId="0" fontId="52" fillId="0" borderId="23" xfId="0" applyFont="1" applyBorder="1" applyAlignment="1" applyProtection="1">
      <alignment horizontal="center" vertical="center"/>
    </xf>
    <xf numFmtId="9" fontId="53" fillId="0" borderId="26" xfId="2" applyFont="1" applyBorder="1" applyAlignment="1" applyProtection="1">
      <alignment horizontal="right"/>
    </xf>
    <xf numFmtId="3" fontId="41" fillId="0" borderId="0" xfId="0" applyNumberFormat="1" applyFont="1" applyBorder="1" applyAlignment="1" applyProtection="1">
      <alignment vertical="center"/>
    </xf>
    <xf numFmtId="3" fontId="43" fillId="0" borderId="0" xfId="0" applyNumberFormat="1" applyFont="1" applyBorder="1" applyAlignment="1" applyProtection="1">
      <alignment vertical="center"/>
    </xf>
    <xf numFmtId="0" fontId="41" fillId="0" borderId="0" xfId="0" applyFont="1" applyAlignment="1" applyProtection="1">
      <alignment horizontal="center" vertical="center"/>
    </xf>
    <xf numFmtId="0" fontId="55" fillId="0" borderId="0" xfId="0" applyFont="1" applyAlignment="1" applyProtection="1">
      <alignment horizontal="right"/>
    </xf>
    <xf numFmtId="0" fontId="56" fillId="0" borderId="0" xfId="0" applyFont="1" applyBorder="1" applyProtection="1"/>
    <xf numFmtId="0" fontId="13" fillId="0" borderId="0" xfId="0" applyFont="1" applyAlignment="1" applyProtection="1">
      <alignment horizontal="center"/>
    </xf>
    <xf numFmtId="0" fontId="57" fillId="0" borderId="0" xfId="0" applyFont="1" applyProtection="1"/>
    <xf numFmtId="0" fontId="13" fillId="0" borderId="27" xfId="0" applyFont="1" applyBorder="1" applyAlignment="1" applyProtection="1">
      <alignment vertical="top"/>
    </xf>
    <xf numFmtId="0" fontId="13" fillId="0" borderId="37" xfId="0" applyFont="1" applyBorder="1" applyAlignment="1" applyProtection="1">
      <alignment vertical="top"/>
    </xf>
    <xf numFmtId="0" fontId="55" fillId="0" borderId="28" xfId="0" applyFont="1" applyBorder="1" applyAlignment="1" applyProtection="1">
      <alignment horizontal="right"/>
    </xf>
    <xf numFmtId="0" fontId="13" fillId="0" borderId="0" xfId="0" applyFont="1" applyBorder="1" applyAlignment="1" applyProtection="1">
      <alignment vertical="top"/>
    </xf>
    <xf numFmtId="0" fontId="60" fillId="0" borderId="0" xfId="0" applyFont="1" applyBorder="1" applyAlignment="1" applyProtection="1">
      <alignment vertical="center"/>
    </xf>
    <xf numFmtId="0" fontId="37" fillId="2" borderId="22" xfId="0" applyFont="1" applyFill="1" applyBorder="1" applyAlignment="1" applyProtection="1">
      <alignment horizontal="left" vertical="center"/>
    </xf>
    <xf numFmtId="0" fontId="0" fillId="0" borderId="0" xfId="0" applyBorder="1" applyProtection="1"/>
    <xf numFmtId="9" fontId="36" fillId="0" borderId="0" xfId="2" applyFont="1" applyBorder="1" applyProtection="1"/>
    <xf numFmtId="0" fontId="37" fillId="0" borderId="1" xfId="0" applyFont="1" applyBorder="1" applyAlignment="1" applyProtection="1">
      <alignment horizontal="left" vertical="center"/>
    </xf>
    <xf numFmtId="14" fontId="0" fillId="0" borderId="1" xfId="0" applyNumberFormat="1" applyBorder="1" applyAlignment="1" applyProtection="1">
      <alignment horizontal="center" vertical="center"/>
      <protection locked="0"/>
    </xf>
    <xf numFmtId="0" fontId="0" fillId="0" borderId="35" xfId="0" applyBorder="1" applyProtection="1"/>
    <xf numFmtId="0" fontId="37" fillId="2" borderId="1" xfId="0" applyFont="1" applyFill="1" applyBorder="1" applyAlignment="1" applyProtection="1">
      <alignment horizontal="left" vertical="center"/>
    </xf>
    <xf numFmtId="0" fontId="37" fillId="0" borderId="18" xfId="0" applyFont="1" applyBorder="1" applyAlignment="1"/>
    <xf numFmtId="0" fontId="0" fillId="0" borderId="20" xfId="0" applyBorder="1" applyAlignment="1" applyProtection="1">
      <alignment vertical="center"/>
      <protection locked="0"/>
    </xf>
    <xf numFmtId="0" fontId="62" fillId="28" borderId="20" xfId="0" applyFont="1" applyFill="1" applyBorder="1" applyAlignment="1">
      <alignment horizontal="center"/>
    </xf>
    <xf numFmtId="0" fontId="61" fillId="28" borderId="26" xfId="0" applyFont="1" applyFill="1" applyBorder="1" applyAlignment="1">
      <alignment horizontal="center"/>
    </xf>
    <xf numFmtId="0" fontId="37" fillId="0" borderId="1" xfId="0" applyFont="1" applyBorder="1" applyAlignment="1" applyProtection="1">
      <alignment horizontal="center" vertical="center"/>
    </xf>
    <xf numFmtId="0" fontId="37" fillId="0" borderId="1" xfId="0" applyFont="1" applyBorder="1" applyAlignment="1" applyProtection="1">
      <alignment horizontal="center"/>
    </xf>
    <xf numFmtId="0" fontId="37" fillId="0" borderId="1" xfId="0" applyFont="1" applyBorder="1"/>
    <xf numFmtId="49" fontId="37" fillId="0" borderId="1" xfId="0" applyNumberFormat="1" applyFont="1" applyBorder="1" applyAlignment="1">
      <alignment horizontal="center"/>
    </xf>
    <xf numFmtId="0" fontId="37" fillId="0" borderId="0" xfId="0" applyFont="1" applyBorder="1" applyAlignment="1" applyProtection="1">
      <alignment horizontal="center"/>
    </xf>
    <xf numFmtId="0" fontId="37" fillId="0" borderId="0" xfId="0" applyFont="1" applyBorder="1" applyAlignment="1" applyProtection="1">
      <alignment horizontal="right" vertical="center"/>
    </xf>
    <xf numFmtId="0" fontId="0" fillId="0" borderId="0" xfId="0" applyBorder="1" applyAlignment="1" applyProtection="1">
      <alignment horizontal="right" vertical="center"/>
    </xf>
    <xf numFmtId="0" fontId="37" fillId="0" borderId="0" xfId="0" applyFont="1" applyFill="1" applyBorder="1" applyAlignment="1">
      <alignment horizontal="center"/>
    </xf>
    <xf numFmtId="49" fontId="37" fillId="0" borderId="0" xfId="0" applyNumberFormat="1" applyFont="1" applyBorder="1" applyAlignment="1">
      <alignment horizontal="center"/>
    </xf>
    <xf numFmtId="0" fontId="37" fillId="0" borderId="3" xfId="0" applyFont="1" applyBorder="1" applyAlignment="1" applyProtection="1">
      <alignment horizontal="right" vertical="center"/>
    </xf>
    <xf numFmtId="0" fontId="0" fillId="0" borderId="4" xfId="0" applyBorder="1" applyAlignment="1" applyProtection="1">
      <alignment horizontal="right" vertical="center"/>
    </xf>
    <xf numFmtId="0" fontId="0" fillId="0" borderId="5" xfId="0" applyBorder="1" applyAlignment="1" applyProtection="1">
      <alignment horizontal="right" vertical="center"/>
    </xf>
    <xf numFmtId="0" fontId="37" fillId="0" borderId="0" xfId="0" applyFont="1" applyBorder="1"/>
    <xf numFmtId="0" fontId="37" fillId="0" borderId="0" xfId="0" applyFont="1"/>
    <xf numFmtId="49" fontId="37" fillId="0" borderId="0" xfId="0" applyNumberFormat="1" applyFont="1"/>
    <xf numFmtId="49" fontId="0" fillId="0" borderId="0" xfId="0" applyNumberFormat="1"/>
    <xf numFmtId="0" fontId="0" fillId="0" borderId="0" xfId="0" applyNumberFormat="1"/>
    <xf numFmtId="175" fontId="14" fillId="0" borderId="0" xfId="0" applyNumberFormat="1" applyFont="1"/>
    <xf numFmtId="176" fontId="5" fillId="20" borderId="7" xfId="1" applyNumberFormat="1" applyFont="1" applyFill="1" applyBorder="1" applyAlignment="1">
      <alignment horizontal="right"/>
    </xf>
    <xf numFmtId="166" fontId="24" fillId="3" borderId="1" xfId="0" applyNumberFormat="1" applyFont="1" applyFill="1" applyBorder="1" applyAlignment="1">
      <alignment vertical="center"/>
    </xf>
    <xf numFmtId="0" fontId="0" fillId="6" borderId="1" xfId="0" applyFill="1" applyBorder="1" applyAlignment="1">
      <alignment wrapText="1"/>
    </xf>
    <xf numFmtId="178" fontId="41" fillId="0" borderId="0" xfId="0" applyNumberFormat="1" applyFont="1" applyBorder="1" applyAlignment="1" applyProtection="1">
      <alignment vertical="center"/>
    </xf>
    <xf numFmtId="178" fontId="41" fillId="0" borderId="0" xfId="0" applyNumberFormat="1" applyFont="1" applyBorder="1" applyAlignment="1" applyProtection="1">
      <alignment horizontal="center" vertical="center"/>
    </xf>
    <xf numFmtId="178" fontId="43" fillId="0" borderId="0" xfId="0" applyNumberFormat="1" applyFont="1" applyBorder="1" applyAlignment="1" applyProtection="1">
      <alignment vertical="center"/>
    </xf>
    <xf numFmtId="178" fontId="43" fillId="11" borderId="1" xfId="0" applyNumberFormat="1" applyFont="1" applyFill="1" applyBorder="1" applyAlignment="1" applyProtection="1">
      <alignment vertical="center"/>
    </xf>
    <xf numFmtId="0" fontId="13" fillId="0" borderId="1" xfId="0" applyFont="1" applyBorder="1" applyProtection="1"/>
    <xf numFmtId="0" fontId="13" fillId="0" borderId="0" xfId="0" applyFont="1"/>
    <xf numFmtId="178" fontId="13" fillId="0" borderId="0" xfId="0" applyNumberFormat="1" applyFont="1"/>
    <xf numFmtId="178" fontId="7" fillId="11" borderId="1" xfId="0" applyNumberFormat="1" applyFont="1" applyFill="1" applyBorder="1" applyAlignment="1">
      <alignment horizontal="center" vertical="center" wrapText="1"/>
    </xf>
    <xf numFmtId="0" fontId="7" fillId="0" borderId="0" xfId="0" applyFont="1" applyAlignment="1">
      <alignment horizontal="center" vertical="center"/>
    </xf>
    <xf numFmtId="0" fontId="7" fillId="11" borderId="1" xfId="0" applyFont="1" applyFill="1" applyBorder="1" applyAlignment="1">
      <alignment horizontal="center" vertical="center" wrapText="1"/>
    </xf>
    <xf numFmtId="0" fontId="7" fillId="0" borderId="0" xfId="0" applyFont="1" applyAlignment="1">
      <alignment horizontal="center" vertical="center" wrapText="1"/>
    </xf>
    <xf numFmtId="178" fontId="7" fillId="11" borderId="1" xfId="0" applyNumberFormat="1" applyFont="1" applyFill="1" applyBorder="1" applyAlignment="1">
      <alignment vertical="center"/>
    </xf>
    <xf numFmtId="179" fontId="7" fillId="11" borderId="1" xfId="1" applyNumberFormat="1" applyFont="1" applyFill="1" applyBorder="1" applyAlignment="1">
      <alignment vertical="center"/>
    </xf>
    <xf numFmtId="178" fontId="7" fillId="0" borderId="1" xfId="0" applyNumberFormat="1" applyFont="1" applyBorder="1" applyAlignment="1">
      <alignment vertical="center"/>
    </xf>
    <xf numFmtId="164" fontId="7" fillId="11" borderId="1" xfId="0" applyNumberFormat="1" applyFont="1" applyFill="1" applyBorder="1" applyAlignment="1">
      <alignment vertical="center"/>
    </xf>
    <xf numFmtId="0" fontId="7" fillId="0" borderId="0" xfId="0" applyFont="1" applyAlignment="1">
      <alignment vertical="center"/>
    </xf>
    <xf numFmtId="180" fontId="7" fillId="11" borderId="1" xfId="1" applyNumberFormat="1" applyFont="1" applyFill="1" applyBorder="1" applyAlignment="1">
      <alignment vertical="center"/>
    </xf>
    <xf numFmtId="178" fontId="7" fillId="0" borderId="0" xfId="0" applyNumberFormat="1" applyFont="1"/>
    <xf numFmtId="0" fontId="65" fillId="0" borderId="0" xfId="0" applyFont="1"/>
    <xf numFmtId="0" fontId="57" fillId="0" borderId="0" xfId="0" applyFont="1" applyFill="1" applyBorder="1" applyAlignment="1" applyProtection="1">
      <alignment vertical="center"/>
    </xf>
    <xf numFmtId="0" fontId="13" fillId="0" borderId="0" xfId="0" applyFont="1" applyFill="1" applyBorder="1" applyAlignment="1" applyProtection="1">
      <alignment vertical="top"/>
      <protection locked="0"/>
    </xf>
    <xf numFmtId="0" fontId="43" fillId="0" borderId="0" xfId="0" applyFont="1" applyBorder="1" applyAlignment="1" applyProtection="1">
      <alignment horizontal="center" vertical="center"/>
    </xf>
    <xf numFmtId="0" fontId="7" fillId="11" borderId="9" xfId="0" applyFont="1" applyFill="1" applyBorder="1" applyAlignment="1">
      <alignment horizontal="center" vertical="center"/>
    </xf>
    <xf numFmtId="0" fontId="7" fillId="11" borderId="1" xfId="0" applyFont="1" applyFill="1" applyBorder="1" applyAlignment="1">
      <alignment horizontal="center" vertical="center" wrapText="1"/>
    </xf>
    <xf numFmtId="165" fontId="66" fillId="5" borderId="1" xfId="0" applyNumberFormat="1" applyFont="1" applyFill="1" applyBorder="1"/>
    <xf numFmtId="0" fontId="14" fillId="21" borderId="1" xfId="0" applyFont="1" applyFill="1" applyBorder="1" applyAlignment="1">
      <alignment horizontal="right" vertical="center"/>
    </xf>
    <xf numFmtId="0" fontId="14" fillId="21" borderId="1" xfId="0" applyFont="1" applyFill="1" applyBorder="1" applyAlignment="1">
      <alignment horizontal="left" vertical="center" wrapText="1"/>
    </xf>
    <xf numFmtId="178" fontId="14" fillId="21" borderId="1" xfId="0" applyNumberFormat="1" applyFont="1" applyFill="1" applyBorder="1" applyAlignment="1">
      <alignment horizontal="right" vertical="center"/>
    </xf>
    <xf numFmtId="166" fontId="14" fillId="21" borderId="1" xfId="1" applyNumberFormat="1" applyFont="1" applyFill="1" applyBorder="1" applyAlignment="1">
      <alignment horizontal="right" vertical="center"/>
    </xf>
    <xf numFmtId="165" fontId="14" fillId="21" borderId="1" xfId="1" applyNumberFormat="1" applyFont="1" applyFill="1" applyBorder="1" applyAlignment="1">
      <alignment horizontal="right" vertical="center"/>
    </xf>
    <xf numFmtId="165" fontId="20" fillId="21" borderId="1" xfId="1" applyNumberFormat="1" applyFont="1" applyFill="1" applyBorder="1" applyAlignment="1">
      <alignment horizontal="right" vertical="center"/>
    </xf>
    <xf numFmtId="0" fontId="14" fillId="16" borderId="1" xfId="0" applyFont="1" applyFill="1" applyBorder="1" applyAlignment="1">
      <alignment horizontal="right" vertical="center"/>
    </xf>
    <xf numFmtId="0" fontId="14" fillId="16" borderId="1" xfId="0" applyFont="1" applyFill="1" applyBorder="1" applyAlignment="1">
      <alignment horizontal="left" vertical="center" wrapText="1"/>
    </xf>
    <xf numFmtId="178" fontId="14" fillId="16" borderId="1" xfId="0" applyNumberFormat="1" applyFont="1" applyFill="1" applyBorder="1" applyAlignment="1">
      <alignment horizontal="right" vertical="center"/>
    </xf>
    <xf numFmtId="166" fontId="14" fillId="16" borderId="1" xfId="1" applyNumberFormat="1" applyFont="1" applyFill="1" applyBorder="1" applyAlignment="1">
      <alignment horizontal="right" vertical="center"/>
    </xf>
    <xf numFmtId="165" fontId="14" fillId="16" borderId="1" xfId="1" applyNumberFormat="1" applyFont="1" applyFill="1" applyBorder="1" applyAlignment="1">
      <alignment horizontal="right" vertical="center"/>
    </xf>
    <xf numFmtId="165" fontId="20" fillId="16" borderId="1" xfId="1" applyNumberFormat="1" applyFont="1" applyFill="1" applyBorder="1" applyAlignment="1">
      <alignment horizontal="right" vertical="center"/>
    </xf>
    <xf numFmtId="0" fontId="24" fillId="0" borderId="0" xfId="0" applyFont="1" applyFill="1" applyBorder="1" applyAlignment="1">
      <alignment horizontal="left" vertical="center"/>
    </xf>
    <xf numFmtId="177" fontId="24" fillId="0" borderId="0" xfId="1" applyNumberFormat="1" applyFont="1" applyFill="1" applyBorder="1" applyAlignment="1">
      <alignment horizontal="left" vertical="center"/>
    </xf>
    <xf numFmtId="0" fontId="14" fillId="11" borderId="1" xfId="0" applyFont="1" applyFill="1" applyBorder="1" applyAlignment="1">
      <alignment vertical="center" wrapText="1"/>
    </xf>
    <xf numFmtId="0" fontId="14" fillId="11" borderId="6"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14" fillId="11" borderId="6" xfId="0" applyFont="1" applyFill="1" applyBorder="1" applyAlignment="1">
      <alignment horizontal="left" vertical="center" wrapText="1"/>
    </xf>
    <xf numFmtId="0" fontId="14" fillId="11" borderId="1" xfId="0" applyFont="1" applyFill="1" applyBorder="1" applyAlignment="1">
      <alignment horizontal="left" vertical="center" wrapText="1"/>
    </xf>
    <xf numFmtId="9" fontId="14" fillId="11" borderId="1" xfId="2" applyFont="1" applyFill="1" applyBorder="1" applyAlignment="1">
      <alignment vertical="center" wrapText="1"/>
    </xf>
    <xf numFmtId="0" fontId="12" fillId="5" borderId="1" xfId="0" applyFont="1" applyFill="1" applyBorder="1" applyAlignment="1">
      <alignment horizontal="center" vertical="center" wrapText="1"/>
    </xf>
    <xf numFmtId="166" fontId="12" fillId="5" borderId="1" xfId="1" applyFont="1" applyFill="1" applyBorder="1" applyAlignment="1">
      <alignment horizontal="center" vertical="center" wrapText="1"/>
    </xf>
    <xf numFmtId="0" fontId="70" fillId="0" borderId="0" xfId="0" applyFont="1" applyBorder="1" applyAlignment="1">
      <alignment vertical="center"/>
    </xf>
    <xf numFmtId="0" fontId="0" fillId="14" borderId="4" xfId="0" applyFill="1" applyBorder="1" applyAlignment="1">
      <alignment horizontal="left" vertical="center" wrapText="1"/>
    </xf>
    <xf numFmtId="0" fontId="0" fillId="0" borderId="0" xfId="0" applyBorder="1" applyAlignment="1">
      <alignment vertical="center" wrapText="1"/>
    </xf>
    <xf numFmtId="0" fontId="70" fillId="0" borderId="0" xfId="0" applyFont="1" applyBorder="1" applyAlignment="1">
      <alignment vertical="center" wrapText="1"/>
    </xf>
    <xf numFmtId="0" fontId="5" fillId="14" borderId="1" xfId="0" applyFont="1" applyFill="1" applyBorder="1" applyAlignment="1" applyProtection="1">
      <alignment vertical="center" wrapText="1"/>
      <protection locked="0"/>
    </xf>
    <xf numFmtId="0" fontId="5" fillId="0" borderId="0" xfId="0" applyFont="1" applyFill="1" applyBorder="1" applyAlignment="1" applyProtection="1">
      <alignment vertical="center" wrapText="1"/>
      <protection locked="0"/>
    </xf>
    <xf numFmtId="167" fontId="8" fillId="14" borderId="1" xfId="1" applyNumberFormat="1" applyFont="1" applyFill="1" applyBorder="1" applyAlignment="1">
      <alignment vertical="center" wrapText="1"/>
    </xf>
    <xf numFmtId="167" fontId="8" fillId="14" borderId="1" xfId="1" applyNumberFormat="1" applyFont="1" applyFill="1" applyBorder="1" applyAlignment="1">
      <alignment horizontal="left" vertical="center" wrapText="1"/>
    </xf>
    <xf numFmtId="0" fontId="14" fillId="20" borderId="16" xfId="0" applyFont="1" applyFill="1" applyBorder="1" applyAlignment="1">
      <alignment horizontal="center" vertical="center"/>
    </xf>
    <xf numFmtId="0" fontId="14" fillId="20" borderId="17" xfId="0" applyFont="1" applyFill="1" applyBorder="1" applyAlignment="1">
      <alignment horizontal="center" wrapText="1"/>
    </xf>
    <xf numFmtId="0" fontId="14" fillId="20" borderId="17" xfId="0" applyFont="1" applyFill="1" applyBorder="1" applyAlignment="1">
      <alignment horizontal="center" vertical="center"/>
    </xf>
    <xf numFmtId="0" fontId="14" fillId="20" borderId="17" xfId="0" applyFont="1" applyFill="1" applyBorder="1" applyAlignment="1">
      <alignment horizontal="center" vertical="center" wrapText="1"/>
    </xf>
    <xf numFmtId="0" fontId="14" fillId="20" borderId="18" xfId="0" applyFont="1" applyFill="1" applyBorder="1" applyAlignment="1">
      <alignment horizontal="center" vertical="center" wrapText="1"/>
    </xf>
    <xf numFmtId="0" fontId="14" fillId="20" borderId="20" xfId="0" applyFont="1" applyFill="1" applyBorder="1"/>
    <xf numFmtId="49" fontId="23" fillId="0" borderId="25" xfId="0" applyNumberFormat="1" applyFont="1" applyBorder="1" applyAlignment="1">
      <alignment horizontal="center"/>
    </xf>
    <xf numFmtId="168" fontId="5" fillId="14" borderId="1" xfId="0" applyNumberFormat="1" applyFont="1" applyFill="1" applyBorder="1" applyAlignment="1">
      <alignment horizontal="right" wrapText="1"/>
    </xf>
    <xf numFmtId="168" fontId="5" fillId="14" borderId="1" xfId="0" applyNumberFormat="1" applyFont="1" applyFill="1" applyBorder="1" applyAlignment="1">
      <alignment horizontal="right"/>
    </xf>
    <xf numFmtId="168" fontId="5" fillId="14" borderId="25" xfId="0" applyNumberFormat="1" applyFont="1" applyFill="1" applyBorder="1" applyAlignment="1">
      <alignment horizontal="right"/>
    </xf>
    <xf numFmtId="167" fontId="14" fillId="14" borderId="1" xfId="1" applyNumberFormat="1" applyFont="1" applyFill="1" applyBorder="1" applyAlignment="1">
      <alignment horizontal="right" vertical="center"/>
    </xf>
    <xf numFmtId="166" fontId="24" fillId="24" borderId="49" xfId="1" applyFont="1" applyFill="1" applyBorder="1" applyAlignment="1">
      <alignment horizontal="center" vertical="center" wrapText="1"/>
    </xf>
    <xf numFmtId="166" fontId="14" fillId="14" borderId="17" xfId="1" applyFont="1" applyFill="1" applyBorder="1"/>
    <xf numFmtId="166" fontId="14" fillId="14" borderId="1" xfId="1" applyFont="1" applyFill="1" applyBorder="1"/>
    <xf numFmtId="166" fontId="14" fillId="14" borderId="25" xfId="1" applyFont="1" applyFill="1" applyBorder="1"/>
    <xf numFmtId="166" fontId="14" fillId="14" borderId="7" xfId="1" applyFont="1" applyFill="1" applyBorder="1"/>
    <xf numFmtId="0" fontId="10" fillId="4" borderId="1" xfId="0" applyFont="1" applyFill="1" applyBorder="1" applyAlignment="1">
      <alignment horizontal="center"/>
    </xf>
    <xf numFmtId="0" fontId="67" fillId="5" borderId="1" xfId="0" applyFont="1" applyFill="1" applyBorder="1" applyAlignment="1">
      <alignment horizontal="center" vertical="center"/>
    </xf>
    <xf numFmtId="0" fontId="8" fillId="0" borderId="1" xfId="0" applyFont="1" applyBorder="1" applyAlignment="1">
      <alignment horizontal="left" vertical="top" wrapText="1"/>
    </xf>
    <xf numFmtId="0" fontId="8" fillId="0" borderId="3" xfId="0" applyFont="1" applyBorder="1" applyAlignment="1">
      <alignment horizontal="center" vertical="top" wrapText="1"/>
    </xf>
    <xf numFmtId="0" fontId="8" fillId="0" borderId="4" xfId="0" applyFont="1" applyBorder="1" applyAlignment="1">
      <alignment horizontal="center" vertical="top" wrapText="1"/>
    </xf>
    <xf numFmtId="0" fontId="8" fillId="0" borderId="5" xfId="0" applyFont="1" applyBorder="1" applyAlignment="1">
      <alignment horizontal="center" vertical="top" wrapText="1"/>
    </xf>
    <xf numFmtId="0" fontId="5" fillId="0" borderId="1" xfId="0" applyFont="1" applyBorder="1" applyAlignment="1">
      <alignment horizontal="left" vertical="center" wrapText="1"/>
    </xf>
    <xf numFmtId="0" fontId="6" fillId="0" borderId="1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5" fillId="0" borderId="1" xfId="0" applyFont="1" applyBorder="1" applyAlignment="1">
      <alignment horizontal="center" vertical="center" wrapText="1"/>
    </xf>
    <xf numFmtId="0" fontId="8" fillId="0" borderId="2" xfId="0" applyFont="1" applyBorder="1" applyAlignment="1">
      <alignment horizontal="center"/>
    </xf>
    <xf numFmtId="0" fontId="8" fillId="0" borderId="0" xfId="0" applyFont="1" applyBorder="1" applyAlignment="1">
      <alignment horizontal="center"/>
    </xf>
    <xf numFmtId="0" fontId="68" fillId="0" borderId="0" xfId="0" applyFont="1" applyBorder="1" applyAlignment="1">
      <alignment horizontal="center"/>
    </xf>
    <xf numFmtId="0" fontId="70" fillId="0" borderId="3" xfId="0" applyFont="1" applyBorder="1" applyAlignment="1">
      <alignment horizontal="left" vertical="center"/>
    </xf>
    <xf numFmtId="0" fontId="70" fillId="0" borderId="4" xfId="0" applyFont="1" applyBorder="1" applyAlignment="1">
      <alignment horizontal="left" vertical="center"/>
    </xf>
    <xf numFmtId="0" fontId="70" fillId="0" borderId="5" xfId="0" applyFont="1" applyBorder="1" applyAlignment="1">
      <alignment horizontal="left" vertical="center"/>
    </xf>
    <xf numFmtId="0" fontId="70" fillId="0" borderId="3" xfId="0" applyFont="1" applyBorder="1" applyAlignment="1">
      <alignment horizontal="left" vertical="center" wrapText="1"/>
    </xf>
    <xf numFmtId="0" fontId="70"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70" fillId="0" borderId="5" xfId="0" applyFont="1" applyBorder="1" applyAlignment="1">
      <alignment horizontal="left" vertical="center" wrapText="1"/>
    </xf>
    <xf numFmtId="0" fontId="8" fillId="0" borderId="1" xfId="0" applyFont="1" applyBorder="1" applyAlignment="1">
      <alignment horizontal="center" vertical="top" wrapText="1"/>
    </xf>
    <xf numFmtId="0" fontId="8" fillId="0" borderId="1" xfId="0" applyFont="1" applyBorder="1" applyAlignment="1">
      <alignment horizontal="left" vertical="center" wrapText="1"/>
    </xf>
    <xf numFmtId="0" fontId="8" fillId="14" borderId="3" xfId="0" applyFont="1" applyFill="1" applyBorder="1" applyAlignment="1">
      <alignment horizontal="left" vertical="center" wrapText="1"/>
    </xf>
    <xf numFmtId="0" fontId="8" fillId="14" borderId="4" xfId="0" applyFont="1" applyFill="1" applyBorder="1" applyAlignment="1">
      <alignment horizontal="left" vertical="center" wrapText="1"/>
    </xf>
    <xf numFmtId="0" fontId="8" fillId="14" borderId="5"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Border="1" applyAlignment="1">
      <alignment horizontal="center"/>
    </xf>
    <xf numFmtId="0" fontId="8" fillId="0" borderId="6" xfId="0" applyFont="1" applyBorder="1" applyAlignment="1">
      <alignment horizontal="center"/>
    </xf>
    <xf numFmtId="0" fontId="8" fillId="2" borderId="1" xfId="0" applyFont="1" applyFill="1" applyBorder="1" applyAlignment="1">
      <alignment horizontal="center" vertical="center" wrapText="1"/>
    </xf>
    <xf numFmtId="0" fontId="5" fillId="14" borderId="1" xfId="0" applyFont="1" applyFill="1" applyBorder="1" applyAlignment="1" applyProtection="1">
      <alignment horizontal="left" vertical="center" wrapText="1"/>
      <protection locked="0"/>
    </xf>
    <xf numFmtId="0" fontId="5" fillId="14" borderId="1" xfId="0" applyFont="1" applyFill="1" applyBorder="1" applyAlignment="1" applyProtection="1">
      <alignment horizontal="center" vertical="center" wrapText="1"/>
      <protection locked="0"/>
    </xf>
    <xf numFmtId="0" fontId="5" fillId="14" borderId="7" xfId="0" applyFont="1" applyFill="1" applyBorder="1" applyAlignment="1" applyProtection="1">
      <alignment horizontal="center" vertical="center" wrapText="1"/>
      <protection locked="0"/>
    </xf>
    <xf numFmtId="0" fontId="14" fillId="0" borderId="38" xfId="0" applyFont="1" applyBorder="1" applyAlignment="1">
      <alignment horizontal="left"/>
    </xf>
    <xf numFmtId="0" fontId="14" fillId="0" borderId="4" xfId="0" applyFont="1" applyBorder="1" applyAlignment="1">
      <alignment horizontal="left"/>
    </xf>
    <xf numFmtId="0" fontId="14" fillId="0" borderId="5" xfId="0" applyFont="1" applyBorder="1" applyAlignment="1">
      <alignment horizontal="left"/>
    </xf>
    <xf numFmtId="0" fontId="14" fillId="0" borderId="23" xfId="0" applyFont="1" applyBorder="1" applyAlignment="1">
      <alignment horizontal="left"/>
    </xf>
    <xf numFmtId="0" fontId="14" fillId="0" borderId="25" xfId="0" applyFont="1" applyBorder="1" applyAlignment="1">
      <alignment horizontal="left"/>
    </xf>
    <xf numFmtId="0" fontId="24" fillId="3" borderId="1" xfId="0" applyFont="1" applyFill="1" applyBorder="1" applyAlignment="1">
      <alignment horizontal="left" vertical="center"/>
    </xf>
    <xf numFmtId="0" fontId="14" fillId="0" borderId="16" xfId="0" applyFont="1" applyBorder="1" applyAlignment="1">
      <alignment horizontal="left"/>
    </xf>
    <xf numFmtId="0" fontId="14" fillId="0" borderId="17" xfId="0" applyFont="1" applyBorder="1" applyAlignment="1">
      <alignment horizontal="left"/>
    </xf>
    <xf numFmtId="0" fontId="14" fillId="0" borderId="22" xfId="0" applyFont="1" applyBorder="1" applyAlignment="1">
      <alignment horizontal="left"/>
    </xf>
    <xf numFmtId="0" fontId="14" fillId="0" borderId="1" xfId="0" applyFont="1" applyBorder="1" applyAlignment="1">
      <alignment horizontal="left"/>
    </xf>
    <xf numFmtId="0" fontId="24" fillId="0" borderId="1" xfId="0" applyFont="1" applyBorder="1" applyAlignment="1">
      <alignment horizontal="left"/>
    </xf>
    <xf numFmtId="0" fontId="5" fillId="0" borderId="43"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0"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3" borderId="40" xfId="0" applyFont="1" applyFill="1" applyBorder="1" applyAlignment="1">
      <alignment horizontal="center" vertical="center" wrapText="1"/>
    </xf>
    <xf numFmtId="0" fontId="8" fillId="3" borderId="41" xfId="0" applyFont="1" applyFill="1" applyBorder="1" applyAlignment="1">
      <alignment horizontal="center" vertical="center" wrapText="1"/>
    </xf>
    <xf numFmtId="0" fontId="8" fillId="3" borderId="4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14" fillId="3" borderId="32" xfId="0" applyFont="1" applyFill="1" applyBorder="1" applyAlignment="1">
      <alignment horizontal="center" vertical="center"/>
    </xf>
    <xf numFmtId="0" fontId="14" fillId="0" borderId="22" xfId="0" applyFont="1" applyBorder="1" applyAlignment="1">
      <alignment horizontal="center"/>
    </xf>
    <xf numFmtId="0" fontId="14" fillId="0" borderId="20" xfId="0" applyFont="1" applyBorder="1" applyAlignment="1">
      <alignment horizontal="center"/>
    </xf>
    <xf numFmtId="0" fontId="14" fillId="0" borderId="35" xfId="0" applyFont="1" applyBorder="1" applyAlignment="1">
      <alignment horizontal="center"/>
    </xf>
    <xf numFmtId="0" fontId="14" fillId="0" borderId="0" xfId="0" applyFont="1" applyBorder="1" applyAlignment="1">
      <alignment horizontal="center"/>
    </xf>
    <xf numFmtId="0" fontId="14" fillId="0" borderId="36" xfId="0" applyFont="1" applyBorder="1" applyAlignment="1">
      <alignment horizontal="center"/>
    </xf>
    <xf numFmtId="0" fontId="14" fillId="0" borderId="33" xfId="0" applyFont="1" applyBorder="1" applyAlignment="1">
      <alignment horizontal="left"/>
    </xf>
    <xf numFmtId="0" fontId="14" fillId="0" borderId="10" xfId="0" applyFont="1" applyBorder="1" applyAlignment="1">
      <alignment horizontal="left"/>
    </xf>
    <xf numFmtId="0" fontId="14" fillId="0" borderId="34" xfId="0" applyFont="1" applyBorder="1" applyAlignment="1">
      <alignment horizontal="left"/>
    </xf>
    <xf numFmtId="0" fontId="14" fillId="0" borderId="35" xfId="0" applyFont="1" applyBorder="1" applyAlignment="1">
      <alignment horizontal="left"/>
    </xf>
    <xf numFmtId="0" fontId="14" fillId="0" borderId="0" xfId="0" applyFont="1" applyBorder="1" applyAlignment="1">
      <alignment horizontal="left"/>
    </xf>
    <xf numFmtId="0" fontId="14" fillId="0" borderId="36" xfId="0" applyFont="1" applyBorder="1" applyAlignment="1">
      <alignment horizontal="left"/>
    </xf>
    <xf numFmtId="0" fontId="14" fillId="0" borderId="27" xfId="0" applyFont="1" applyBorder="1" applyAlignment="1">
      <alignment horizontal="left"/>
    </xf>
    <xf numFmtId="0" fontId="14" fillId="0" borderId="37" xfId="0" applyFont="1" applyBorder="1" applyAlignment="1">
      <alignment horizontal="left"/>
    </xf>
    <xf numFmtId="0" fontId="14" fillId="0" borderId="28" xfId="0" applyFont="1" applyBorder="1" applyAlignment="1">
      <alignment horizontal="left"/>
    </xf>
    <xf numFmtId="0" fontId="14" fillId="0" borderId="38" xfId="0" applyFont="1" applyBorder="1" applyAlignment="1">
      <alignment horizontal="center"/>
    </xf>
    <xf numFmtId="0" fontId="14" fillId="0" borderId="39" xfId="0" applyFont="1" applyBorder="1" applyAlignment="1">
      <alignment horizontal="center"/>
    </xf>
    <xf numFmtId="0" fontId="0" fillId="0" borderId="3" xfId="0" applyBorder="1" applyAlignment="1">
      <alignment horizontal="left" vertical="center"/>
    </xf>
    <xf numFmtId="0" fontId="0" fillId="0" borderId="5" xfId="0" applyBorder="1" applyAlignment="1">
      <alignment horizontal="left"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3" xfId="0" applyFont="1" applyFill="1" applyBorder="1" applyAlignment="1">
      <alignment horizontal="left" vertical="center"/>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7" borderId="3" xfId="0" applyFont="1" applyFill="1" applyBorder="1" applyAlignment="1">
      <alignment horizontal="center" vertical="center" wrapText="1"/>
    </xf>
    <xf numFmtId="0" fontId="4" fillId="7" borderId="5" xfId="0" applyFont="1" applyFill="1" applyBorder="1" applyAlignment="1">
      <alignment horizontal="center" vertical="center" wrapText="1"/>
    </xf>
    <xf numFmtId="0" fontId="0" fillId="7" borderId="3" xfId="0" applyFill="1" applyBorder="1" applyAlignment="1">
      <alignment horizontal="right" vertical="center"/>
    </xf>
    <xf numFmtId="0" fontId="0" fillId="7" borderId="5" xfId="0" applyFill="1" applyBorder="1" applyAlignment="1">
      <alignment horizontal="right" vertical="center"/>
    </xf>
    <xf numFmtId="166" fontId="0" fillId="7" borderId="1" xfId="1" applyNumberFormat="1" applyFont="1" applyFill="1" applyBorder="1" applyAlignment="1">
      <alignment horizontal="left" vertical="center"/>
    </xf>
    <xf numFmtId="0" fontId="0" fillId="7" borderId="3" xfId="0" applyFill="1" applyBorder="1" applyAlignment="1">
      <alignment horizontal="left" vertical="center" wrapText="1"/>
    </xf>
    <xf numFmtId="0" fontId="0" fillId="7" borderId="5" xfId="0" applyFill="1" applyBorder="1" applyAlignment="1">
      <alignment horizontal="left" vertical="center" wrapText="1"/>
    </xf>
    <xf numFmtId="17" fontId="0" fillId="7" borderId="3" xfId="0" applyNumberFormat="1" applyFill="1" applyBorder="1" applyAlignment="1">
      <alignment horizontal="right" vertical="center"/>
    </xf>
    <xf numFmtId="0" fontId="4" fillId="8" borderId="3" xfId="0" applyFont="1" applyFill="1" applyBorder="1" applyAlignment="1">
      <alignment horizontal="left" vertical="center"/>
    </xf>
    <xf numFmtId="0" fontId="4" fillId="8" borderId="4" xfId="0" applyFont="1" applyFill="1" applyBorder="1" applyAlignment="1">
      <alignment horizontal="left" vertical="center"/>
    </xf>
    <xf numFmtId="0" fontId="0" fillId="0" borderId="1" xfId="0" applyBorder="1" applyAlignment="1">
      <alignment horizontal="left" vertical="center"/>
    </xf>
    <xf numFmtId="0" fontId="0" fillId="0" borderId="3" xfId="0" applyBorder="1" applyAlignment="1">
      <alignment horizontal="left" vertical="center" wrapText="1"/>
    </xf>
    <xf numFmtId="0" fontId="4" fillId="4" borderId="1" xfId="0" applyFont="1" applyFill="1" applyBorder="1" applyAlignment="1">
      <alignment horizontal="left" vertical="center"/>
    </xf>
    <xf numFmtId="0" fontId="4" fillId="8" borderId="3" xfId="0" applyFont="1" applyFill="1" applyBorder="1" applyAlignment="1">
      <alignment horizontal="left" vertical="center" wrapText="1"/>
    </xf>
    <xf numFmtId="0" fontId="4" fillId="8" borderId="4" xfId="0" applyFont="1" applyFill="1" applyBorder="1" applyAlignment="1">
      <alignment horizontal="left" vertical="center" wrapText="1"/>
    </xf>
    <xf numFmtId="0" fontId="0" fillId="14" borderId="1" xfId="0" applyFill="1" applyBorder="1" applyAlignment="1">
      <alignment horizontal="left" vertical="center"/>
    </xf>
    <xf numFmtId="0" fontId="0" fillId="0" borderId="3" xfId="0" applyBorder="1" applyAlignment="1">
      <alignment horizontal="left"/>
    </xf>
    <xf numFmtId="0" fontId="0" fillId="0" borderId="5" xfId="0" applyBorder="1" applyAlignment="1">
      <alignment horizontal="left"/>
    </xf>
    <xf numFmtId="0" fontId="4" fillId="8" borderId="1" xfId="0" applyFont="1" applyFill="1" applyBorder="1" applyAlignment="1">
      <alignment horizontal="left" vertical="center"/>
    </xf>
    <xf numFmtId="0" fontId="0" fillId="0" borderId="1" xfId="0" applyFont="1" applyFill="1" applyBorder="1" applyAlignment="1">
      <alignment horizontal="left" vertical="center"/>
    </xf>
    <xf numFmtId="0" fontId="4" fillId="8" borderId="1" xfId="0" applyFont="1" applyFill="1" applyBorder="1" applyAlignment="1">
      <alignment horizontal="left" vertical="center" wrapText="1"/>
    </xf>
    <xf numFmtId="0" fontId="0" fillId="0" borderId="3" xfId="0" applyFill="1" applyBorder="1" applyAlignment="1">
      <alignment horizontal="left" vertical="center" wrapText="1"/>
    </xf>
    <xf numFmtId="0" fontId="0" fillId="0" borderId="5" xfId="0" applyFill="1" applyBorder="1" applyAlignment="1">
      <alignment horizontal="left" vertical="center" wrapText="1"/>
    </xf>
    <xf numFmtId="0" fontId="0" fillId="0" borderId="3" xfId="0" applyFill="1" applyBorder="1" applyAlignment="1">
      <alignment horizontal="left"/>
    </xf>
    <xf numFmtId="0" fontId="0" fillId="0" borderId="5" xfId="0" applyFill="1" applyBorder="1" applyAlignment="1">
      <alignment horizontal="left"/>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1" xfId="0" applyFill="1" applyBorder="1" applyAlignment="1">
      <alignment horizontal="left" vertical="center" wrapText="1"/>
    </xf>
    <xf numFmtId="0" fontId="4" fillId="11" borderId="3" xfId="0" applyFont="1" applyFill="1" applyBorder="1" applyAlignment="1">
      <alignment horizontal="left"/>
    </xf>
    <xf numFmtId="0" fontId="4" fillId="11" borderId="5" xfId="0" applyFont="1" applyFill="1" applyBorder="1" applyAlignment="1">
      <alignment horizontal="left"/>
    </xf>
    <xf numFmtId="0" fontId="4" fillId="8" borderId="1" xfId="0" applyFont="1" applyFill="1" applyBorder="1" applyAlignment="1">
      <alignment horizontal="left"/>
    </xf>
    <xf numFmtId="0" fontId="0" fillId="0" borderId="1" xfId="0" applyBorder="1" applyAlignment="1">
      <alignment horizontal="left"/>
    </xf>
    <xf numFmtId="0" fontId="4" fillId="11" borderId="3" xfId="0" applyFont="1" applyFill="1" applyBorder="1" applyAlignment="1">
      <alignment horizontal="left" vertical="center"/>
    </xf>
    <xf numFmtId="0" fontId="4" fillId="11" borderId="4" xfId="0" applyFont="1" applyFill="1" applyBorder="1" applyAlignment="1">
      <alignment horizontal="left" vertical="center"/>
    </xf>
    <xf numFmtId="0" fontId="4" fillId="11" borderId="5" xfId="0" applyFont="1" applyFill="1" applyBorder="1" applyAlignment="1">
      <alignment horizontal="left" vertical="center"/>
    </xf>
    <xf numFmtId="0" fontId="4" fillId="11" borderId="3" xfId="0" applyFont="1" applyFill="1" applyBorder="1" applyAlignment="1">
      <alignment horizontal="left" vertical="center" wrapText="1"/>
    </xf>
    <xf numFmtId="0" fontId="4" fillId="11" borderId="4" xfId="0" applyFont="1" applyFill="1" applyBorder="1" applyAlignment="1">
      <alignment horizontal="left" vertical="center" wrapText="1"/>
    </xf>
    <xf numFmtId="0" fontId="4" fillId="11" borderId="5" xfId="0" applyFont="1" applyFill="1" applyBorder="1" applyAlignment="1">
      <alignment horizontal="left" vertical="center" wrapText="1"/>
    </xf>
    <xf numFmtId="0" fontId="4" fillId="12" borderId="0" xfId="0" applyFont="1" applyFill="1" applyAlignment="1">
      <alignment horizontal="center"/>
    </xf>
    <xf numFmtId="0" fontId="4" fillId="0" borderId="1" xfId="0" applyFont="1" applyBorder="1" applyAlignment="1">
      <alignment horizontal="left"/>
    </xf>
    <xf numFmtId="0" fontId="2" fillId="13" borderId="0" xfId="0" applyFont="1" applyFill="1" applyAlignment="1">
      <alignment horizontal="left"/>
    </xf>
    <xf numFmtId="0" fontId="4" fillId="8" borderId="3" xfId="0" applyFont="1" applyFill="1" applyBorder="1" applyAlignment="1">
      <alignment horizontal="center"/>
    </xf>
    <xf numFmtId="0" fontId="4" fillId="8" borderId="4" xfId="0" applyFont="1" applyFill="1" applyBorder="1" applyAlignment="1">
      <alignment horizontal="center"/>
    </xf>
    <xf numFmtId="0" fontId="4" fillId="8" borderId="5" xfId="0" applyFont="1" applyFill="1" applyBorder="1" applyAlignment="1">
      <alignment horizontal="center"/>
    </xf>
    <xf numFmtId="0" fontId="19" fillId="7" borderId="0" xfId="0" applyFont="1" applyFill="1" applyAlignment="1">
      <alignment horizontal="center"/>
    </xf>
    <xf numFmtId="0" fontId="4" fillId="8" borderId="3" xfId="0" applyFont="1" applyFill="1" applyBorder="1" applyAlignment="1">
      <alignment horizontal="left"/>
    </xf>
    <xf numFmtId="0" fontId="4" fillId="8" borderId="5" xfId="0" applyFont="1" applyFill="1" applyBorder="1" applyAlignment="1">
      <alignment horizontal="left"/>
    </xf>
    <xf numFmtId="0" fontId="4" fillId="8" borderId="3" xfId="0" applyFont="1" applyFill="1" applyBorder="1" applyAlignment="1">
      <alignment horizontal="center" wrapText="1"/>
    </xf>
    <xf numFmtId="0" fontId="4" fillId="8" borderId="4" xfId="0" applyFont="1" applyFill="1" applyBorder="1" applyAlignment="1">
      <alignment horizontal="center" wrapText="1"/>
    </xf>
    <xf numFmtId="0" fontId="4" fillId="8" borderId="5" xfId="0" applyFont="1" applyFill="1" applyBorder="1" applyAlignment="1">
      <alignment horizontal="center" wrapText="1"/>
    </xf>
    <xf numFmtId="0" fontId="0" fillId="0" borderId="11" xfId="0" applyBorder="1" applyAlignment="1">
      <alignment horizontal="left" vertical="top" wrapText="1"/>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8" xfId="0" applyBorder="1" applyAlignment="1">
      <alignment horizontal="left" vertical="top" wrapText="1"/>
    </xf>
    <xf numFmtId="0" fontId="4" fillId="8" borderId="3" xfId="0" applyFont="1" applyFill="1" applyBorder="1" applyAlignment="1">
      <alignment horizontal="left" wrapText="1"/>
    </xf>
    <xf numFmtId="0" fontId="4" fillId="8" borderId="4" xfId="0" applyFont="1" applyFill="1" applyBorder="1" applyAlignment="1">
      <alignment horizontal="left" wrapText="1"/>
    </xf>
    <xf numFmtId="0" fontId="4" fillId="8" borderId="5" xfId="0" applyFont="1" applyFill="1" applyBorder="1" applyAlignment="1">
      <alignment horizontal="left" wrapText="1"/>
    </xf>
    <xf numFmtId="0" fontId="4" fillId="8" borderId="4" xfId="0" applyFont="1" applyFill="1" applyBorder="1" applyAlignment="1">
      <alignment horizontal="left"/>
    </xf>
    <xf numFmtId="0" fontId="0" fillId="0" borderId="0" xfId="0" applyAlignment="1">
      <alignment horizontal="left" vertical="center" wrapText="1"/>
    </xf>
    <xf numFmtId="0" fontId="4" fillId="8" borderId="1" xfId="0" applyFont="1" applyFill="1" applyBorder="1" applyAlignment="1">
      <alignment horizontal="center"/>
    </xf>
    <xf numFmtId="0" fontId="4" fillId="4" borderId="1" xfId="0" applyFont="1" applyFill="1" applyBorder="1" applyAlignment="1">
      <alignment horizontal="left"/>
    </xf>
    <xf numFmtId="0" fontId="4" fillId="18" borderId="3" xfId="0" applyFont="1" applyFill="1" applyBorder="1" applyAlignment="1">
      <alignment horizontal="center" vertical="center" wrapText="1"/>
    </xf>
    <xf numFmtId="0" fontId="4" fillId="18" borderId="5" xfId="0" applyFont="1" applyFill="1" applyBorder="1" applyAlignment="1">
      <alignment horizontal="center" vertical="center" wrapText="1"/>
    </xf>
    <xf numFmtId="0" fontId="0" fillId="18" borderId="3" xfId="0" applyFill="1" applyBorder="1" applyAlignment="1">
      <alignment horizontal="right" vertical="center"/>
    </xf>
    <xf numFmtId="0" fontId="0" fillId="18" borderId="5" xfId="0" applyFill="1" applyBorder="1" applyAlignment="1">
      <alignment horizontal="right" vertical="center"/>
    </xf>
    <xf numFmtId="166" fontId="0" fillId="18" borderId="1" xfId="1" applyNumberFormat="1" applyFont="1" applyFill="1" applyBorder="1" applyAlignment="1">
      <alignment horizontal="left" vertical="center"/>
    </xf>
    <xf numFmtId="0" fontId="0" fillId="18" borderId="3" xfId="0" applyFill="1" applyBorder="1" applyAlignment="1">
      <alignment horizontal="left" vertical="center" wrapText="1"/>
    </xf>
    <xf numFmtId="0" fontId="0" fillId="18" borderId="5" xfId="0" applyFill="1" applyBorder="1" applyAlignment="1">
      <alignment horizontal="left" vertical="center" wrapText="1"/>
    </xf>
    <xf numFmtId="17" fontId="0" fillId="18" borderId="3" xfId="0" applyNumberFormat="1" applyFill="1" applyBorder="1" applyAlignment="1">
      <alignment horizontal="right" vertical="center"/>
    </xf>
    <xf numFmtId="0" fontId="19" fillId="18" borderId="0" xfId="0" applyFont="1" applyFill="1" applyAlignment="1">
      <alignment horizontal="center"/>
    </xf>
    <xf numFmtId="0" fontId="0" fillId="0" borderId="0" xfId="0" applyBorder="1" applyAlignment="1">
      <alignment horizontal="left" vertical="center" wrapText="1"/>
    </xf>
    <xf numFmtId="0" fontId="0" fillId="0" borderId="0" xfId="0" applyAlignment="1">
      <alignment horizontal="left" wrapText="1"/>
    </xf>
    <xf numFmtId="0" fontId="0" fillId="22" borderId="3" xfId="0" applyFill="1" applyBorder="1" applyAlignment="1">
      <alignment horizontal="left" vertical="center" wrapText="1"/>
    </xf>
    <xf numFmtId="0" fontId="0" fillId="22" borderId="5" xfId="0" applyFill="1" applyBorder="1" applyAlignment="1">
      <alignment horizontal="left" vertical="center" wrapText="1"/>
    </xf>
    <xf numFmtId="17" fontId="0" fillId="22" borderId="3" xfId="0" applyNumberFormat="1" applyFill="1" applyBorder="1" applyAlignment="1">
      <alignment horizontal="right" vertical="center"/>
    </xf>
    <xf numFmtId="0" fontId="0" fillId="22" borderId="5" xfId="0" applyFill="1" applyBorder="1" applyAlignment="1">
      <alignment horizontal="right" vertical="center"/>
    </xf>
    <xf numFmtId="166" fontId="0" fillId="22" borderId="1" xfId="1" applyNumberFormat="1" applyFont="1" applyFill="1" applyBorder="1" applyAlignment="1">
      <alignment horizontal="left" vertical="center"/>
    </xf>
    <xf numFmtId="0" fontId="4" fillId="22" borderId="3" xfId="0" applyFont="1" applyFill="1" applyBorder="1" applyAlignment="1">
      <alignment horizontal="center" vertical="center" wrapText="1"/>
    </xf>
    <xf numFmtId="0" fontId="4" fillId="22" borderId="5" xfId="0" applyFont="1" applyFill="1" applyBorder="1" applyAlignment="1">
      <alignment horizontal="center" vertical="center" wrapText="1"/>
    </xf>
    <xf numFmtId="0" fontId="0" fillId="22" borderId="3" xfId="0" applyFill="1" applyBorder="1" applyAlignment="1">
      <alignment horizontal="right" vertical="center"/>
    </xf>
    <xf numFmtId="0" fontId="19" fillId="17" borderId="0" xfId="0" applyFont="1" applyFill="1" applyAlignment="1">
      <alignment horizontal="center"/>
    </xf>
    <xf numFmtId="0" fontId="4" fillId="15" borderId="3" xfId="0" applyFont="1" applyFill="1" applyBorder="1" applyAlignment="1">
      <alignment horizontal="center" vertical="center" wrapText="1"/>
    </xf>
    <xf numFmtId="0" fontId="4" fillId="15" borderId="5" xfId="0" applyFont="1" applyFill="1" applyBorder="1" applyAlignment="1">
      <alignment horizontal="center" vertical="center" wrapText="1"/>
    </xf>
    <xf numFmtId="0" fontId="0" fillId="15" borderId="3" xfId="0" applyFill="1" applyBorder="1" applyAlignment="1">
      <alignment horizontal="right" vertical="center"/>
    </xf>
    <xf numFmtId="0" fontId="0" fillId="15" borderId="5" xfId="0" applyFill="1" applyBorder="1" applyAlignment="1">
      <alignment horizontal="right" vertical="center"/>
    </xf>
    <xf numFmtId="166" fontId="0" fillId="15" borderId="1" xfId="1" applyNumberFormat="1" applyFont="1" applyFill="1" applyBorder="1" applyAlignment="1">
      <alignment horizontal="left" vertical="center"/>
    </xf>
    <xf numFmtId="0" fontId="0" fillId="15" borderId="3" xfId="0" applyFill="1" applyBorder="1" applyAlignment="1">
      <alignment horizontal="left" vertical="center" wrapText="1"/>
    </xf>
    <xf numFmtId="0" fontId="0" fillId="15" borderId="5" xfId="0" applyFill="1" applyBorder="1" applyAlignment="1">
      <alignment horizontal="left" vertical="center" wrapText="1"/>
    </xf>
    <xf numFmtId="17" fontId="0" fillId="15" borderId="3" xfId="0" applyNumberFormat="1" applyFill="1" applyBorder="1" applyAlignment="1">
      <alignment horizontal="right" vertical="center"/>
    </xf>
    <xf numFmtId="0" fontId="19" fillId="15" borderId="0" xfId="0" applyFont="1" applyFill="1" applyAlignment="1">
      <alignment horizontal="center" wrapText="1"/>
    </xf>
    <xf numFmtId="0" fontId="4" fillId="19" borderId="3" xfId="0" applyFont="1" applyFill="1" applyBorder="1" applyAlignment="1">
      <alignment horizontal="center" vertical="center" wrapText="1"/>
    </xf>
    <xf numFmtId="0" fontId="4" fillId="19" borderId="5" xfId="0" applyFont="1" applyFill="1" applyBorder="1" applyAlignment="1">
      <alignment horizontal="center" vertical="center" wrapText="1"/>
    </xf>
    <xf numFmtId="0" fontId="0" fillId="19" borderId="3" xfId="0" applyFill="1" applyBorder="1" applyAlignment="1">
      <alignment horizontal="right" vertical="center"/>
    </xf>
    <xf numFmtId="0" fontId="0" fillId="19" borderId="5" xfId="0" applyFill="1" applyBorder="1" applyAlignment="1">
      <alignment horizontal="right" vertical="center"/>
    </xf>
    <xf numFmtId="166" fontId="0" fillId="19" borderId="1" xfId="1" applyNumberFormat="1" applyFont="1" applyFill="1" applyBorder="1" applyAlignment="1">
      <alignment horizontal="left" vertical="center"/>
    </xf>
    <xf numFmtId="0" fontId="0" fillId="19" borderId="3" xfId="0" applyFill="1" applyBorder="1" applyAlignment="1">
      <alignment horizontal="left" vertical="center" wrapText="1"/>
    </xf>
    <xf numFmtId="0" fontId="0" fillId="19" borderId="5" xfId="0" applyFill="1" applyBorder="1" applyAlignment="1">
      <alignment horizontal="left" vertical="center" wrapText="1"/>
    </xf>
    <xf numFmtId="17" fontId="0" fillId="19" borderId="3" xfId="0" applyNumberFormat="1" applyFill="1" applyBorder="1" applyAlignment="1">
      <alignment horizontal="right" vertical="center"/>
    </xf>
    <xf numFmtId="0" fontId="19" fillId="19" borderId="0" xfId="0" applyFont="1" applyFill="1" applyAlignment="1">
      <alignment horizontal="center" wrapText="1"/>
    </xf>
    <xf numFmtId="0" fontId="4" fillId="16" borderId="3" xfId="0" applyFont="1" applyFill="1" applyBorder="1" applyAlignment="1">
      <alignment horizontal="center" vertical="center" wrapText="1"/>
    </xf>
    <xf numFmtId="0" fontId="4" fillId="16" borderId="5" xfId="0" applyFont="1" applyFill="1" applyBorder="1" applyAlignment="1">
      <alignment horizontal="center" vertical="center" wrapText="1"/>
    </xf>
    <xf numFmtId="0" fontId="0" fillId="16" borderId="3" xfId="0" applyFill="1" applyBorder="1" applyAlignment="1">
      <alignment horizontal="right" vertical="center"/>
    </xf>
    <xf numFmtId="0" fontId="0" fillId="16" borderId="5" xfId="0" applyFill="1" applyBorder="1" applyAlignment="1">
      <alignment horizontal="right" vertical="center"/>
    </xf>
    <xf numFmtId="166" fontId="0" fillId="16" borderId="1" xfId="1" applyNumberFormat="1" applyFont="1" applyFill="1" applyBorder="1" applyAlignment="1">
      <alignment horizontal="left" vertical="center"/>
    </xf>
    <xf numFmtId="0" fontId="0" fillId="16" borderId="3" xfId="0" applyFill="1" applyBorder="1" applyAlignment="1">
      <alignment horizontal="left" vertical="center" wrapText="1"/>
    </xf>
    <xf numFmtId="0" fontId="0" fillId="16" borderId="5" xfId="0" applyFill="1" applyBorder="1" applyAlignment="1">
      <alignment horizontal="left" vertical="center" wrapText="1"/>
    </xf>
    <xf numFmtId="17" fontId="0" fillId="16" borderId="3" xfId="0" applyNumberFormat="1" applyFill="1" applyBorder="1" applyAlignment="1">
      <alignment horizontal="right" vertical="center"/>
    </xf>
    <xf numFmtId="0" fontId="19" fillId="16" borderId="0" xfId="0" applyFont="1" applyFill="1" applyAlignment="1">
      <alignment horizontal="center" wrapText="1"/>
    </xf>
    <xf numFmtId="166" fontId="0" fillId="17" borderId="1" xfId="1" applyNumberFormat="1" applyFont="1" applyFill="1" applyBorder="1" applyAlignment="1">
      <alignment horizontal="left" vertical="center"/>
    </xf>
    <xf numFmtId="0" fontId="4" fillId="17" borderId="3" xfId="0" applyFont="1" applyFill="1" applyBorder="1" applyAlignment="1">
      <alignment horizontal="center" vertical="center" wrapText="1"/>
    </xf>
    <xf numFmtId="0" fontId="4" fillId="17" borderId="5" xfId="0" applyFont="1" applyFill="1" applyBorder="1" applyAlignment="1">
      <alignment horizontal="center" vertical="center" wrapText="1"/>
    </xf>
    <xf numFmtId="0" fontId="0" fillId="17" borderId="3" xfId="0" applyFill="1" applyBorder="1" applyAlignment="1">
      <alignment horizontal="right" vertical="center"/>
    </xf>
    <xf numFmtId="0" fontId="0" fillId="17" borderId="5" xfId="0" applyFill="1" applyBorder="1" applyAlignment="1">
      <alignment horizontal="right" vertical="center"/>
    </xf>
    <xf numFmtId="0" fontId="0" fillId="17" borderId="3" xfId="0" applyFill="1" applyBorder="1" applyAlignment="1">
      <alignment horizontal="left" vertical="center" wrapText="1"/>
    </xf>
    <xf numFmtId="0" fontId="0" fillId="17" borderId="5" xfId="0" applyFill="1" applyBorder="1" applyAlignment="1">
      <alignment horizontal="left" vertical="center" wrapText="1"/>
    </xf>
    <xf numFmtId="17" fontId="0" fillId="17" borderId="3" xfId="0" applyNumberFormat="1" applyFill="1" applyBorder="1" applyAlignment="1">
      <alignment horizontal="right" vertical="center"/>
    </xf>
    <xf numFmtId="0" fontId="19" fillId="19" borderId="0" xfId="0" applyFont="1" applyFill="1" applyAlignment="1">
      <alignment horizontal="center" vertical="center"/>
    </xf>
    <xf numFmtId="0" fontId="19" fillId="15" borderId="0" xfId="0" applyFont="1" applyFill="1" applyAlignment="1">
      <alignment horizontal="center"/>
    </xf>
    <xf numFmtId="0" fontId="14" fillId="24" borderId="44" xfId="0" applyFont="1" applyFill="1" applyBorder="1" applyAlignment="1">
      <alignment horizontal="center" vertical="center" textRotation="90"/>
    </xf>
    <xf numFmtId="0" fontId="14" fillId="24" borderId="45" xfId="0" applyFont="1" applyFill="1" applyBorder="1" applyAlignment="1">
      <alignment horizontal="center" vertical="center" textRotation="90"/>
    </xf>
    <xf numFmtId="0" fontId="14" fillId="24" borderId="46" xfId="0" applyFont="1" applyFill="1" applyBorder="1" applyAlignment="1">
      <alignment horizontal="center" vertical="center" textRotation="90"/>
    </xf>
    <xf numFmtId="0" fontId="14" fillId="24" borderId="44" xfId="0" applyFont="1" applyFill="1" applyBorder="1" applyAlignment="1">
      <alignment horizontal="center" vertical="center" textRotation="90" wrapText="1"/>
    </xf>
    <xf numFmtId="0" fontId="14" fillId="24" borderId="45" xfId="0" applyFont="1" applyFill="1" applyBorder="1" applyAlignment="1">
      <alignment horizontal="center" vertical="center" textRotation="90" wrapText="1"/>
    </xf>
    <xf numFmtId="0" fontId="14" fillId="24" borderId="46" xfId="0" applyFont="1" applyFill="1" applyBorder="1" applyAlignment="1">
      <alignment horizontal="center" vertical="center" textRotation="90" wrapText="1"/>
    </xf>
    <xf numFmtId="0" fontId="14" fillId="4" borderId="30" xfId="0" applyFont="1" applyFill="1" applyBorder="1" applyAlignment="1">
      <alignment horizontal="center" vertical="center" textRotation="90" wrapText="1"/>
    </xf>
    <xf numFmtId="0" fontId="14" fillId="4" borderId="38" xfId="0" applyFont="1" applyFill="1" applyBorder="1" applyAlignment="1">
      <alignment horizontal="center" vertical="center" textRotation="90" wrapText="1"/>
    </xf>
    <xf numFmtId="0" fontId="14" fillId="4" borderId="27" xfId="0" applyFont="1" applyFill="1" applyBorder="1" applyAlignment="1">
      <alignment horizontal="left" vertical="center"/>
    </xf>
    <xf numFmtId="0" fontId="14" fillId="4" borderId="37" xfId="0" applyFont="1" applyFill="1" applyBorder="1" applyAlignment="1">
      <alignment horizontal="left" vertical="center"/>
    </xf>
    <xf numFmtId="0" fontId="14" fillId="4" borderId="28" xfId="0" applyFont="1" applyFill="1" applyBorder="1" applyAlignment="1">
      <alignment horizontal="left" vertical="center"/>
    </xf>
    <xf numFmtId="167" fontId="14" fillId="4" borderId="17" xfId="1" applyNumberFormat="1" applyFont="1" applyFill="1" applyBorder="1" applyAlignment="1">
      <alignment horizontal="center" wrapText="1"/>
    </xf>
    <xf numFmtId="167" fontId="14" fillId="4" borderId="6" xfId="1" applyNumberFormat="1" applyFont="1" applyFill="1" applyBorder="1" applyAlignment="1">
      <alignment horizontal="center" wrapText="1"/>
    </xf>
    <xf numFmtId="0" fontId="14" fillId="4" borderId="17" xfId="0" applyFont="1" applyFill="1" applyBorder="1" applyAlignment="1" applyProtection="1">
      <alignment horizontal="center"/>
    </xf>
    <xf numFmtId="0" fontId="14" fillId="4" borderId="18" xfId="0" applyFont="1" applyFill="1" applyBorder="1" applyAlignment="1" applyProtection="1">
      <alignment horizontal="center"/>
    </xf>
    <xf numFmtId="0" fontId="14" fillId="4" borderId="16" xfId="0" applyFont="1" applyFill="1" applyBorder="1" applyAlignment="1">
      <alignment horizontal="center" vertical="center" textRotation="90"/>
    </xf>
    <xf numFmtId="0" fontId="14" fillId="4" borderId="22" xfId="0" applyFont="1" applyFill="1" applyBorder="1" applyAlignment="1">
      <alignment horizontal="center" vertical="center" textRotation="90"/>
    </xf>
    <xf numFmtId="0" fontId="14" fillId="4" borderId="19" xfId="0" applyFont="1" applyFill="1" applyBorder="1" applyAlignment="1">
      <alignment horizontal="center" vertical="center" textRotation="90"/>
    </xf>
    <xf numFmtId="0" fontId="14" fillId="4" borderId="16" xfId="0" applyFont="1" applyFill="1" applyBorder="1" applyAlignment="1">
      <alignment horizontal="center" vertical="center" textRotation="90" wrapText="1"/>
    </xf>
    <xf numFmtId="0" fontId="14" fillId="4" borderId="22" xfId="0" applyFont="1" applyFill="1" applyBorder="1" applyAlignment="1">
      <alignment horizontal="center" vertical="center" textRotation="90" wrapText="1"/>
    </xf>
    <xf numFmtId="0" fontId="14" fillId="4" borderId="23" xfId="0" applyFont="1" applyFill="1" applyBorder="1" applyAlignment="1">
      <alignment horizontal="center" vertical="center" textRotation="90" wrapText="1"/>
    </xf>
    <xf numFmtId="0" fontId="14" fillId="4" borderId="58" xfId="0" applyFont="1" applyFill="1" applyBorder="1" applyAlignment="1">
      <alignment horizontal="center" vertical="center" textRotation="90" wrapText="1"/>
    </xf>
    <xf numFmtId="0" fontId="33" fillId="0" borderId="15" xfId="0" applyFont="1" applyFill="1" applyBorder="1" applyAlignment="1">
      <alignment horizontal="center" vertical="center"/>
    </xf>
    <xf numFmtId="0" fontId="33" fillId="0" borderId="0" xfId="0" applyFont="1" applyFill="1" applyBorder="1" applyAlignment="1">
      <alignment horizontal="center" vertical="center"/>
    </xf>
    <xf numFmtId="0" fontId="35" fillId="0" borderId="37" xfId="0" applyFont="1" applyFill="1" applyBorder="1" applyAlignment="1">
      <alignment horizontal="center" vertical="center"/>
    </xf>
    <xf numFmtId="167" fontId="35" fillId="0" borderId="37" xfId="1" applyNumberFormat="1" applyFont="1" applyFill="1" applyBorder="1" applyAlignment="1">
      <alignment horizontal="center" vertical="center"/>
    </xf>
    <xf numFmtId="0" fontId="14" fillId="4" borderId="3" xfId="0" applyFont="1" applyFill="1" applyBorder="1" applyAlignment="1">
      <alignment horizontal="center"/>
    </xf>
    <xf numFmtId="0" fontId="14" fillId="4" borderId="11" xfId="0" applyFont="1" applyFill="1" applyBorder="1" applyAlignment="1">
      <alignment horizontal="center"/>
    </xf>
    <xf numFmtId="0" fontId="14" fillId="4" borderId="16" xfId="0" applyFont="1" applyFill="1" applyBorder="1" applyAlignment="1">
      <alignment horizontal="center" vertical="center"/>
    </xf>
    <xf numFmtId="0" fontId="14" fillId="4" borderId="19" xfId="0" applyFont="1" applyFill="1" applyBorder="1" applyAlignment="1">
      <alignment horizontal="center" vertical="center"/>
    </xf>
    <xf numFmtId="0" fontId="14" fillId="4" borderId="17"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17"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xf>
    <xf numFmtId="0" fontId="43" fillId="11" borderId="30" xfId="0" applyFont="1" applyFill="1" applyBorder="1" applyAlignment="1" applyProtection="1">
      <alignment horizontal="center" vertical="center"/>
    </xf>
    <xf numFmtId="0" fontId="43" fillId="11" borderId="31" xfId="0" applyFont="1" applyFill="1" applyBorder="1" applyAlignment="1" applyProtection="1">
      <alignment horizontal="center" vertical="center"/>
    </xf>
    <xf numFmtId="0" fontId="43" fillId="11" borderId="32" xfId="0" applyFont="1" applyFill="1" applyBorder="1" applyAlignment="1" applyProtection="1">
      <alignment horizontal="center" vertical="center"/>
    </xf>
    <xf numFmtId="0" fontId="41" fillId="11" borderId="22" xfId="0" applyFont="1" applyFill="1" applyBorder="1" applyAlignment="1" applyProtection="1">
      <alignment horizontal="center" vertical="top"/>
      <protection locked="0"/>
    </xf>
    <xf numFmtId="0" fontId="41" fillId="11" borderId="1" xfId="0" applyFont="1" applyFill="1" applyBorder="1" applyAlignment="1" applyProtection="1">
      <alignment horizontal="center" vertical="top"/>
      <protection locked="0"/>
    </xf>
    <xf numFmtId="0" fontId="41" fillId="11" borderId="23" xfId="0" applyFont="1" applyFill="1" applyBorder="1" applyAlignment="1" applyProtection="1">
      <alignment horizontal="center" vertical="top"/>
      <protection locked="0"/>
    </xf>
    <xf numFmtId="0" fontId="41" fillId="11" borderId="25" xfId="0" applyFont="1" applyFill="1" applyBorder="1" applyAlignment="1" applyProtection="1">
      <alignment horizontal="center" vertical="top"/>
      <protection locked="0"/>
    </xf>
    <xf numFmtId="0" fontId="41" fillId="11" borderId="20" xfId="0" applyFont="1" applyFill="1" applyBorder="1" applyAlignment="1" applyProtection="1">
      <alignment horizontal="center" vertical="top"/>
      <protection locked="0"/>
    </xf>
    <xf numFmtId="0" fontId="41" fillId="11" borderId="26" xfId="0" applyFont="1" applyFill="1" applyBorder="1" applyAlignment="1" applyProtection="1">
      <alignment horizontal="center" vertical="top"/>
      <protection locked="0"/>
    </xf>
    <xf numFmtId="0" fontId="41" fillId="11" borderId="35" xfId="0" applyFont="1" applyFill="1" applyBorder="1" applyAlignment="1" applyProtection="1">
      <alignment horizontal="center" vertical="top"/>
      <protection locked="0"/>
    </xf>
    <xf numFmtId="0" fontId="41" fillId="11" borderId="0" xfId="0" applyFont="1" applyFill="1" applyBorder="1" applyAlignment="1" applyProtection="1">
      <alignment horizontal="center" vertical="top"/>
      <protection locked="0"/>
    </xf>
    <xf numFmtId="0" fontId="41" fillId="11" borderId="13" xfId="0" applyFont="1" applyFill="1" applyBorder="1" applyAlignment="1" applyProtection="1">
      <alignment horizontal="center" vertical="top"/>
      <protection locked="0"/>
    </xf>
    <xf numFmtId="0" fontId="41" fillId="11" borderId="27" xfId="0" applyFont="1" applyFill="1" applyBorder="1" applyAlignment="1" applyProtection="1">
      <alignment horizontal="center" vertical="top"/>
      <protection locked="0"/>
    </xf>
    <xf numFmtId="0" fontId="41" fillId="11" borderId="37" xfId="0" applyFont="1" applyFill="1" applyBorder="1" applyAlignment="1" applyProtection="1">
      <alignment horizontal="center" vertical="top"/>
      <protection locked="0"/>
    </xf>
    <xf numFmtId="0" fontId="41" fillId="11" borderId="59" xfId="0" applyFont="1" applyFill="1" applyBorder="1" applyAlignment="1" applyProtection="1">
      <alignment horizontal="center" vertical="top"/>
      <protection locked="0"/>
    </xf>
    <xf numFmtId="0" fontId="41" fillId="11" borderId="7" xfId="0" applyFont="1" applyFill="1" applyBorder="1" applyAlignment="1" applyProtection="1">
      <alignment horizontal="center" vertical="top"/>
      <protection locked="0"/>
    </xf>
    <xf numFmtId="0" fontId="41" fillId="11" borderId="52" xfId="0" applyFont="1" applyFill="1" applyBorder="1" applyAlignment="1" applyProtection="1">
      <alignment horizontal="center" vertical="top"/>
      <protection locked="0"/>
    </xf>
    <xf numFmtId="0" fontId="41" fillId="0" borderId="0" xfId="0" applyFont="1" applyBorder="1" applyAlignment="1" applyProtection="1">
      <alignment horizontal="left" vertical="center"/>
    </xf>
    <xf numFmtId="0" fontId="53" fillId="0" borderId="1" xfId="0" applyFont="1" applyFill="1" applyBorder="1" applyAlignment="1">
      <alignment horizontal="left"/>
    </xf>
    <xf numFmtId="0" fontId="13" fillId="11" borderId="22" xfId="0" applyFont="1" applyFill="1" applyBorder="1" applyAlignment="1" applyProtection="1">
      <alignment horizontal="left"/>
    </xf>
    <xf numFmtId="0" fontId="13" fillId="11" borderId="1" xfId="0" applyFont="1" applyFill="1" applyBorder="1" applyAlignment="1" applyProtection="1">
      <alignment horizontal="left"/>
    </xf>
    <xf numFmtId="0" fontId="13" fillId="11" borderId="20" xfId="0" applyFont="1" applyFill="1" applyBorder="1" applyAlignment="1" applyProtection="1">
      <alignment horizontal="left"/>
    </xf>
    <xf numFmtId="9" fontId="41" fillId="11" borderId="22" xfId="2" applyFont="1" applyFill="1" applyBorder="1" applyAlignment="1" applyProtection="1">
      <alignment horizontal="right" vertical="center"/>
    </xf>
    <xf numFmtId="9" fontId="41" fillId="11" borderId="20" xfId="2" applyFont="1" applyFill="1" applyBorder="1" applyAlignment="1" applyProtection="1">
      <alignment horizontal="right" vertical="center"/>
    </xf>
    <xf numFmtId="0" fontId="53" fillId="0" borderId="25" xfId="0" applyFont="1" applyFill="1" applyBorder="1" applyAlignment="1">
      <alignment horizontal="left"/>
    </xf>
    <xf numFmtId="0" fontId="13" fillId="11" borderId="23" xfId="0" applyFont="1" applyFill="1" applyBorder="1" applyAlignment="1" applyProtection="1">
      <alignment horizontal="left"/>
    </xf>
    <xf numFmtId="0" fontId="13" fillId="11" borderId="25" xfId="0" applyFont="1" applyFill="1" applyBorder="1" applyAlignment="1" applyProtection="1">
      <alignment horizontal="left"/>
    </xf>
    <xf numFmtId="0" fontId="13" fillId="11" borderId="26" xfId="0" applyFont="1" applyFill="1" applyBorder="1" applyAlignment="1" applyProtection="1">
      <alignment horizontal="left"/>
    </xf>
    <xf numFmtId="166" fontId="41" fillId="11" borderId="23" xfId="1" applyNumberFormat="1" applyFont="1" applyFill="1" applyBorder="1" applyAlignment="1" applyProtection="1">
      <alignment horizontal="right" vertical="center"/>
    </xf>
    <xf numFmtId="166" fontId="41" fillId="11" borderId="26" xfId="1" applyNumberFormat="1" applyFont="1" applyFill="1" applyBorder="1" applyAlignment="1" applyProtection="1">
      <alignment horizontal="right" vertical="center"/>
    </xf>
    <xf numFmtId="0" fontId="13" fillId="0" borderId="0" xfId="0" applyFont="1" applyBorder="1" applyAlignment="1" applyProtection="1">
      <alignment horizontal="center" vertical="center" textRotation="90" wrapText="1"/>
    </xf>
    <xf numFmtId="0" fontId="57" fillId="0" borderId="40" xfId="0" applyFont="1" applyBorder="1" applyAlignment="1" applyProtection="1">
      <alignment horizontal="center" vertical="center"/>
    </xf>
    <xf numFmtId="0" fontId="57" fillId="0" borderId="41" xfId="0" applyFont="1" applyBorder="1" applyAlignment="1" applyProtection="1">
      <alignment horizontal="center" vertical="center"/>
    </xf>
    <xf numFmtId="0" fontId="57" fillId="0" borderId="42" xfId="0" applyFont="1" applyBorder="1" applyAlignment="1" applyProtection="1">
      <alignment horizontal="center" vertical="center"/>
    </xf>
    <xf numFmtId="0" fontId="13" fillId="0" borderId="62" xfId="0" applyFont="1" applyBorder="1" applyAlignment="1" applyProtection="1">
      <alignment horizontal="center" vertical="center" wrapText="1"/>
    </xf>
    <xf numFmtId="0" fontId="13" fillId="0" borderId="63" xfId="0" applyFont="1" applyBorder="1" applyAlignment="1" applyProtection="1">
      <alignment horizontal="center" vertical="center" wrapText="1"/>
    </xf>
    <xf numFmtId="0" fontId="13" fillId="0" borderId="64" xfId="0" applyFont="1" applyBorder="1" applyAlignment="1" applyProtection="1">
      <alignment horizontal="center" vertical="center" wrapText="1"/>
    </xf>
    <xf numFmtId="0" fontId="13" fillId="0" borderId="62" xfId="0" applyFont="1" applyBorder="1" applyAlignment="1" applyProtection="1">
      <alignment horizontal="left" vertical="top"/>
      <protection locked="0"/>
    </xf>
    <xf numFmtId="0" fontId="13" fillId="0" borderId="63" xfId="0" applyFont="1" applyBorder="1" applyAlignment="1" applyProtection="1">
      <alignment horizontal="left" vertical="top"/>
      <protection locked="0"/>
    </xf>
    <xf numFmtId="0" fontId="13" fillId="0" borderId="64" xfId="0" applyFont="1" applyBorder="1" applyAlignment="1" applyProtection="1">
      <alignment horizontal="left" vertical="top"/>
      <protection locked="0"/>
    </xf>
    <xf numFmtId="0" fontId="13" fillId="0" borderId="35" xfId="0" applyFont="1" applyBorder="1" applyAlignment="1" applyProtection="1">
      <alignment horizontal="left" vertical="top"/>
      <protection locked="0"/>
    </xf>
    <xf numFmtId="0" fontId="13" fillId="0" borderId="0" xfId="0" applyFont="1" applyBorder="1" applyAlignment="1" applyProtection="1">
      <alignment horizontal="left" vertical="top"/>
      <protection locked="0"/>
    </xf>
    <xf numFmtId="0" fontId="13" fillId="0" borderId="36" xfId="0" applyFont="1" applyBorder="1" applyAlignment="1" applyProtection="1">
      <alignment horizontal="left" vertical="top"/>
      <protection locked="0"/>
    </xf>
    <xf numFmtId="0" fontId="13" fillId="11" borderId="16" xfId="0" applyFont="1" applyFill="1" applyBorder="1" applyAlignment="1" applyProtection="1">
      <alignment horizontal="left"/>
    </xf>
    <xf numFmtId="0" fontId="13" fillId="11" borderId="17" xfId="0" applyFont="1" applyFill="1" applyBorder="1" applyAlignment="1" applyProtection="1">
      <alignment horizontal="left"/>
    </xf>
    <xf numFmtId="0" fontId="13" fillId="11" borderId="18" xfId="0" applyFont="1" applyFill="1" applyBorder="1" applyAlignment="1" applyProtection="1">
      <alignment horizontal="left"/>
    </xf>
    <xf numFmtId="166" fontId="41" fillId="11" borderId="16" xfId="1" applyNumberFormat="1" applyFont="1" applyFill="1" applyBorder="1" applyAlignment="1" applyProtection="1">
      <alignment horizontal="right" vertical="center"/>
    </xf>
    <xf numFmtId="166" fontId="41" fillId="11" borderId="18" xfId="1" applyNumberFormat="1" applyFont="1" applyFill="1" applyBorder="1" applyAlignment="1" applyProtection="1">
      <alignment horizontal="right" vertical="center"/>
    </xf>
    <xf numFmtId="0" fontId="43" fillId="0" borderId="21" xfId="0" applyFont="1" applyBorder="1" applyAlignment="1" applyProtection="1">
      <alignment horizontal="center" vertical="center"/>
    </xf>
    <xf numFmtId="0" fontId="43" fillId="0" borderId="9" xfId="0" applyFont="1" applyBorder="1" applyAlignment="1" applyProtection="1">
      <alignment horizontal="center" vertical="center"/>
    </xf>
    <xf numFmtId="0" fontId="43" fillId="0" borderId="54" xfId="0" applyFont="1" applyBorder="1" applyAlignment="1" applyProtection="1">
      <alignment horizontal="center" vertical="center"/>
    </xf>
    <xf numFmtId="0" fontId="41" fillId="0" borderId="8" xfId="0" applyFont="1" applyBorder="1" applyAlignment="1" applyProtection="1">
      <alignment horizontal="left" vertical="center"/>
    </xf>
    <xf numFmtId="0" fontId="41" fillId="0" borderId="7" xfId="0" applyFont="1" applyBorder="1" applyAlignment="1" applyProtection="1">
      <alignment horizontal="left" vertical="center"/>
    </xf>
    <xf numFmtId="0" fontId="46" fillId="0" borderId="16" xfId="0" applyFont="1" applyBorder="1" applyAlignment="1" applyProtection="1">
      <alignment horizontal="center" vertical="center"/>
    </xf>
    <xf numFmtId="0" fontId="46" fillId="0" borderId="17" xfId="0" applyFont="1" applyBorder="1" applyAlignment="1" applyProtection="1">
      <alignment horizontal="center" vertical="center"/>
    </xf>
    <xf numFmtId="0" fontId="46" fillId="0" borderId="18" xfId="0" applyFont="1" applyBorder="1" applyAlignment="1" applyProtection="1">
      <alignment horizontal="center" vertical="center"/>
    </xf>
    <xf numFmtId="0" fontId="46" fillId="0" borderId="22" xfId="0" applyFont="1" applyBorder="1" applyAlignment="1" applyProtection="1">
      <alignment horizontal="center" vertical="center"/>
    </xf>
    <xf numFmtId="0" fontId="46" fillId="0" borderId="1" xfId="0" applyFont="1" applyBorder="1" applyAlignment="1" applyProtection="1">
      <alignment horizontal="center" vertical="center"/>
    </xf>
    <xf numFmtId="0" fontId="46" fillId="0" borderId="20" xfId="0" applyFont="1" applyBorder="1" applyAlignment="1" applyProtection="1">
      <alignment horizontal="center" vertical="center"/>
    </xf>
    <xf numFmtId="0" fontId="46" fillId="0" borderId="23" xfId="0" applyFont="1" applyBorder="1" applyAlignment="1" applyProtection="1">
      <alignment horizontal="center" vertical="center"/>
    </xf>
    <xf numFmtId="0" fontId="46" fillId="0" borderId="25" xfId="0" applyFont="1" applyBorder="1" applyAlignment="1" applyProtection="1">
      <alignment horizontal="center" vertical="center"/>
    </xf>
    <xf numFmtId="0" fontId="46" fillId="0" borderId="26" xfId="0" applyFont="1" applyBorder="1" applyAlignment="1" applyProtection="1">
      <alignment horizontal="center" vertical="center"/>
    </xf>
    <xf numFmtId="0" fontId="41" fillId="0" borderId="16" xfId="0" applyFont="1" applyFill="1" applyBorder="1" applyAlignment="1" applyProtection="1">
      <alignment horizontal="center" vertical="center" wrapText="1"/>
    </xf>
    <xf numFmtId="0" fontId="41" fillId="0" borderId="17" xfId="0" applyFont="1" applyFill="1" applyBorder="1" applyAlignment="1" applyProtection="1">
      <alignment horizontal="center" vertical="center" wrapText="1"/>
    </xf>
    <xf numFmtId="0" fontId="41" fillId="0" borderId="18" xfId="0" applyFont="1" applyFill="1" applyBorder="1" applyAlignment="1" applyProtection="1">
      <alignment horizontal="center" vertical="center" wrapText="1"/>
    </xf>
    <xf numFmtId="0" fontId="41" fillId="0" borderId="22" xfId="0" applyFont="1" applyFill="1" applyBorder="1" applyAlignment="1" applyProtection="1">
      <alignment horizontal="center" vertical="center" wrapText="1"/>
    </xf>
    <xf numFmtId="0" fontId="41" fillId="0" borderId="1" xfId="0" applyFont="1" applyFill="1" applyBorder="1" applyAlignment="1" applyProtection="1">
      <alignment horizontal="center" vertical="center" wrapText="1"/>
    </xf>
    <xf numFmtId="0" fontId="41" fillId="0" borderId="20" xfId="0" applyFont="1" applyFill="1" applyBorder="1" applyAlignment="1" applyProtection="1">
      <alignment horizontal="center" vertical="center" wrapText="1"/>
    </xf>
    <xf numFmtId="0" fontId="41" fillId="0" borderId="23" xfId="0" applyFont="1" applyFill="1" applyBorder="1" applyAlignment="1" applyProtection="1">
      <alignment horizontal="center" vertical="center" wrapText="1"/>
    </xf>
    <xf numFmtId="0" fontId="41" fillId="0" borderId="25" xfId="0" applyFont="1" applyFill="1" applyBorder="1" applyAlignment="1" applyProtection="1">
      <alignment horizontal="center" vertical="center" wrapText="1"/>
    </xf>
    <xf numFmtId="0" fontId="41" fillId="0" borderId="26" xfId="0" applyFont="1" applyFill="1" applyBorder="1" applyAlignment="1" applyProtection="1">
      <alignment horizontal="center" vertical="center" wrapText="1"/>
    </xf>
    <xf numFmtId="0" fontId="41" fillId="0" borderId="5" xfId="0" applyFont="1" applyBorder="1" applyAlignment="1" applyProtection="1">
      <alignment horizontal="left" vertical="center"/>
    </xf>
    <xf numFmtId="0" fontId="41" fillId="0" borderId="1" xfId="0" applyFont="1" applyBorder="1" applyAlignment="1" applyProtection="1">
      <alignment horizontal="left" vertical="center"/>
    </xf>
    <xf numFmtId="0" fontId="41" fillId="0" borderId="59" xfId="0" applyFont="1" applyBorder="1" applyAlignment="1" applyProtection="1">
      <alignment horizontal="left" vertical="center"/>
    </xf>
    <xf numFmtId="0" fontId="41" fillId="0" borderId="56" xfId="0" applyFont="1" applyBorder="1" applyAlignment="1" applyProtection="1">
      <alignment horizontal="left" vertical="center"/>
    </xf>
    <xf numFmtId="0" fontId="48" fillId="11" borderId="40" xfId="0" applyFont="1" applyFill="1" applyBorder="1" applyAlignment="1" applyProtection="1">
      <alignment horizontal="left" vertical="center"/>
    </xf>
    <xf numFmtId="0" fontId="48" fillId="11" borderId="41" xfId="0" applyFont="1" applyFill="1" applyBorder="1" applyAlignment="1" applyProtection="1">
      <alignment horizontal="left" vertical="center"/>
    </xf>
    <xf numFmtId="0" fontId="48" fillId="11" borderId="68" xfId="0" applyFont="1" applyFill="1" applyBorder="1" applyAlignment="1" applyProtection="1">
      <alignment horizontal="left" vertical="center"/>
    </xf>
    <xf numFmtId="0" fontId="41" fillId="26" borderId="40" xfId="0" applyFont="1" applyFill="1" applyBorder="1" applyAlignment="1" applyProtection="1">
      <alignment horizontal="left" vertical="center"/>
    </xf>
    <xf numFmtId="0" fontId="41" fillId="26" borderId="41" xfId="0" applyFont="1" applyFill="1" applyBorder="1" applyAlignment="1" applyProtection="1">
      <alignment horizontal="left" vertical="center"/>
    </xf>
    <xf numFmtId="0" fontId="41" fillId="26" borderId="68" xfId="0" applyFont="1" applyFill="1" applyBorder="1" applyAlignment="1" applyProtection="1">
      <alignment horizontal="left" vertical="center"/>
    </xf>
    <xf numFmtId="0" fontId="51" fillId="0" borderId="17" xfId="0" applyFont="1" applyBorder="1" applyAlignment="1" applyProtection="1">
      <alignment horizontal="center" vertical="center"/>
    </xf>
    <xf numFmtId="0" fontId="41" fillId="0" borderId="3" xfId="0" applyFont="1" applyBorder="1" applyAlignment="1" applyProtection="1">
      <alignment horizontal="left" vertical="center" wrapText="1"/>
    </xf>
    <xf numFmtId="0" fontId="41" fillId="0" borderId="4" xfId="0" applyFont="1" applyBorder="1" applyAlignment="1" applyProtection="1">
      <alignment horizontal="left" vertical="center" wrapText="1"/>
    </xf>
    <xf numFmtId="0" fontId="41" fillId="0" borderId="5" xfId="0" applyFont="1" applyBorder="1" applyAlignment="1" applyProtection="1">
      <alignment horizontal="left" vertical="center" wrapText="1"/>
    </xf>
    <xf numFmtId="0" fontId="13" fillId="0" borderId="35" xfId="0" applyFont="1" applyBorder="1" applyAlignment="1" applyProtection="1">
      <alignment horizontal="left"/>
    </xf>
    <xf numFmtId="0" fontId="13" fillId="0" borderId="0" xfId="0" applyFont="1" applyAlignment="1" applyProtection="1">
      <alignment horizontal="left"/>
    </xf>
    <xf numFmtId="0" fontId="13" fillId="0" borderId="0" xfId="0" applyFont="1" applyBorder="1" applyAlignment="1" applyProtection="1">
      <alignment horizontal="left"/>
    </xf>
    <xf numFmtId="0" fontId="41" fillId="0" borderId="25" xfId="0" applyFont="1" applyBorder="1" applyAlignment="1" applyProtection="1">
      <alignment horizontal="left" vertical="center"/>
    </xf>
    <xf numFmtId="0" fontId="41" fillId="0" borderId="3" xfId="0" applyFont="1" applyBorder="1" applyAlignment="1" applyProtection="1">
      <alignment horizontal="left" vertical="center"/>
    </xf>
    <xf numFmtId="0" fontId="41" fillId="0" borderId="4" xfId="0" applyFont="1" applyBorder="1" applyAlignment="1" applyProtection="1">
      <alignment horizontal="left" vertical="center"/>
    </xf>
    <xf numFmtId="0" fontId="43" fillId="11" borderId="62" xfId="0" applyFont="1" applyFill="1" applyBorder="1" applyAlignment="1" applyProtection="1">
      <alignment horizontal="center" vertical="center" textRotation="90"/>
    </xf>
    <xf numFmtId="0" fontId="43" fillId="11" borderId="35" xfId="0" applyFont="1" applyFill="1" applyBorder="1" applyAlignment="1" applyProtection="1">
      <alignment horizontal="center" vertical="center" textRotation="90"/>
    </xf>
    <xf numFmtId="0" fontId="43" fillId="11" borderId="27" xfId="0" applyFont="1" applyFill="1" applyBorder="1" applyAlignment="1" applyProtection="1">
      <alignment horizontal="center" vertical="center" textRotation="90"/>
    </xf>
    <xf numFmtId="0" fontId="41" fillId="11" borderId="63" xfId="0" applyFont="1" applyFill="1" applyBorder="1" applyAlignment="1" applyProtection="1">
      <alignment horizontal="left" textRotation="90"/>
    </xf>
    <xf numFmtId="0" fontId="41" fillId="11" borderId="0" xfId="0" applyFont="1" applyFill="1" applyBorder="1" applyAlignment="1" applyProtection="1">
      <alignment horizontal="left" textRotation="90"/>
    </xf>
    <xf numFmtId="0" fontId="41" fillId="11" borderId="37" xfId="0" applyFont="1" applyFill="1" applyBorder="1" applyAlignment="1" applyProtection="1">
      <alignment horizontal="left" textRotation="90"/>
    </xf>
    <xf numFmtId="0" fontId="41" fillId="11" borderId="64" xfId="0" applyFont="1" applyFill="1" applyBorder="1" applyAlignment="1" applyProtection="1">
      <alignment horizontal="left" textRotation="90"/>
    </xf>
    <xf numFmtId="0" fontId="41" fillId="11" borderId="36" xfId="0" applyFont="1" applyFill="1" applyBorder="1" applyAlignment="1" applyProtection="1">
      <alignment horizontal="left" textRotation="90"/>
    </xf>
    <xf numFmtId="0" fontId="41" fillId="11" borderId="28" xfId="0" applyFont="1" applyFill="1" applyBorder="1" applyAlignment="1" applyProtection="1">
      <alignment horizontal="left" textRotation="90"/>
    </xf>
    <xf numFmtId="0" fontId="41" fillId="27" borderId="30" xfId="0" applyFont="1" applyFill="1" applyBorder="1" applyAlignment="1" applyProtection="1">
      <alignment horizontal="left" vertical="center"/>
    </xf>
    <xf numFmtId="0" fontId="41" fillId="27" borderId="31" xfId="0" applyFont="1" applyFill="1" applyBorder="1" applyAlignment="1" applyProtection="1">
      <alignment horizontal="left" vertical="center"/>
    </xf>
    <xf numFmtId="0" fontId="41" fillId="27" borderId="43" xfId="0" applyFont="1" applyFill="1" applyBorder="1" applyAlignment="1" applyProtection="1">
      <alignment horizontal="left" vertical="center"/>
    </xf>
    <xf numFmtId="0" fontId="41" fillId="0" borderId="61" xfId="0" applyFont="1" applyBorder="1" applyAlignment="1" applyProtection="1">
      <alignment horizontal="left" vertical="center"/>
    </xf>
    <xf numFmtId="0" fontId="41" fillId="0" borderId="66" xfId="0" applyFont="1" applyBorder="1" applyAlignment="1" applyProtection="1">
      <alignment horizontal="left" vertical="center"/>
    </xf>
    <xf numFmtId="0" fontId="41" fillId="0" borderId="24" xfId="0" applyFont="1" applyBorder="1" applyAlignment="1" applyProtection="1">
      <alignment horizontal="left" vertical="center"/>
    </xf>
    <xf numFmtId="0" fontId="43" fillId="0" borderId="35" xfId="0" applyFont="1" applyBorder="1" applyAlignment="1" applyProtection="1">
      <alignment horizontal="center" vertical="center"/>
    </xf>
    <xf numFmtId="0" fontId="43" fillId="0" borderId="0" xfId="0" applyFont="1" applyBorder="1" applyAlignment="1" applyProtection="1">
      <alignment horizontal="center" vertical="center"/>
    </xf>
    <xf numFmtId="0" fontId="43" fillId="0" borderId="48" xfId="0" applyFont="1" applyBorder="1" applyAlignment="1" applyProtection="1">
      <alignment horizontal="left" vertical="center"/>
    </xf>
    <xf numFmtId="0" fontId="43" fillId="0" borderId="49" xfId="0" applyFont="1" applyBorder="1" applyAlignment="1" applyProtection="1">
      <alignment horizontal="left" vertical="center"/>
    </xf>
    <xf numFmtId="0" fontId="43" fillId="0" borderId="49" xfId="0" applyFont="1" applyBorder="1" applyAlignment="1" applyProtection="1">
      <alignment horizontal="left" vertical="center"/>
      <protection locked="0"/>
    </xf>
    <xf numFmtId="0" fontId="43" fillId="0" borderId="50" xfId="0" applyFont="1" applyBorder="1" applyAlignment="1" applyProtection="1">
      <alignment horizontal="left" vertical="center"/>
      <protection locked="0"/>
    </xf>
    <xf numFmtId="0" fontId="43" fillId="0" borderId="49" xfId="0" applyFont="1" applyBorder="1" applyAlignment="1" applyProtection="1">
      <alignment horizontal="center" vertical="center"/>
      <protection locked="0"/>
    </xf>
    <xf numFmtId="0" fontId="43" fillId="0" borderId="50" xfId="0" applyFont="1" applyBorder="1" applyAlignment="1" applyProtection="1">
      <alignment horizontal="center" vertical="center"/>
      <protection locked="0"/>
    </xf>
    <xf numFmtId="0" fontId="43" fillId="0" borderId="48" xfId="0" applyFont="1" applyBorder="1" applyAlignment="1" applyProtection="1">
      <alignment horizontal="center" vertical="center"/>
    </xf>
    <xf numFmtId="0" fontId="43" fillId="0" borderId="49" xfId="0" applyFont="1" applyBorder="1" applyAlignment="1" applyProtection="1">
      <alignment horizontal="center" vertical="center"/>
    </xf>
    <xf numFmtId="0" fontId="43" fillId="0" borderId="41" xfId="0" applyFont="1" applyBorder="1" applyAlignment="1" applyProtection="1">
      <alignment horizontal="center" vertical="center"/>
      <protection locked="0"/>
    </xf>
    <xf numFmtId="0" fontId="43" fillId="0" borderId="42" xfId="0" applyFont="1" applyBorder="1" applyAlignment="1" applyProtection="1">
      <alignment horizontal="center" vertical="center"/>
      <protection locked="0"/>
    </xf>
    <xf numFmtId="167" fontId="38" fillId="0" borderId="62" xfId="3" applyFont="1" applyBorder="1" applyAlignment="1" applyProtection="1">
      <alignment horizontal="center" wrapText="1"/>
    </xf>
    <xf numFmtId="167" fontId="38" fillId="0" borderId="27" xfId="3" applyFont="1" applyBorder="1" applyAlignment="1" applyProtection="1">
      <alignment horizontal="center" wrapText="1"/>
    </xf>
    <xf numFmtId="0" fontId="39" fillId="26" borderId="63" xfId="4" applyFont="1" applyFill="1" applyBorder="1" applyAlignment="1" applyProtection="1">
      <alignment horizontal="center" vertical="center"/>
    </xf>
    <xf numFmtId="0" fontId="39" fillId="26" borderId="64" xfId="4" applyFont="1" applyFill="1" applyBorder="1" applyAlignment="1" applyProtection="1">
      <alignment horizontal="center" vertical="center"/>
    </xf>
    <xf numFmtId="0" fontId="40" fillId="26" borderId="37" xfId="4" applyFont="1" applyFill="1" applyBorder="1" applyAlignment="1" applyProtection="1">
      <alignment horizontal="center" vertical="center"/>
    </xf>
    <xf numFmtId="0" fontId="40" fillId="26" borderId="28" xfId="4" applyFont="1" applyFill="1" applyBorder="1" applyAlignment="1" applyProtection="1">
      <alignment horizontal="center" vertical="center"/>
    </xf>
    <xf numFmtId="0" fontId="42" fillId="11" borderId="40" xfId="0" applyFont="1" applyFill="1" applyBorder="1" applyAlignment="1" applyProtection="1">
      <alignment horizontal="center" vertical="center"/>
    </xf>
    <xf numFmtId="0" fontId="42" fillId="11" borderId="41" xfId="0" applyFont="1" applyFill="1" applyBorder="1" applyAlignment="1" applyProtection="1">
      <alignment horizontal="center" vertical="center"/>
    </xf>
    <xf numFmtId="0" fontId="42" fillId="11" borderId="42" xfId="0" applyFont="1" applyFill="1" applyBorder="1" applyAlignment="1" applyProtection="1">
      <alignment horizontal="center" vertical="center"/>
    </xf>
    <xf numFmtId="0" fontId="41" fillId="0" borderId="65" xfId="0" applyFont="1" applyBorder="1" applyAlignment="1" applyProtection="1">
      <alignment horizontal="left" vertical="center"/>
      <protection locked="0"/>
    </xf>
    <xf numFmtId="0" fontId="41" fillId="0" borderId="41" xfId="0" applyFont="1" applyBorder="1" applyAlignment="1" applyProtection="1">
      <alignment horizontal="left" vertical="center"/>
      <protection locked="0"/>
    </xf>
    <xf numFmtId="0" fontId="41" fillId="0" borderId="42" xfId="0" applyFont="1" applyBorder="1" applyAlignment="1" applyProtection="1">
      <alignment horizontal="left" vertical="center"/>
      <protection locked="0"/>
    </xf>
    <xf numFmtId="0" fontId="43" fillId="0" borderId="3" xfId="0" applyFont="1" applyFill="1" applyBorder="1" applyAlignment="1" applyProtection="1">
      <alignment horizontal="left" vertical="center"/>
    </xf>
    <xf numFmtId="0" fontId="43" fillId="0" borderId="5" xfId="0" applyFont="1" applyFill="1" applyBorder="1" applyAlignment="1" applyProtection="1">
      <alignment horizontal="left" vertical="center"/>
    </xf>
    <xf numFmtId="0" fontId="14" fillId="11" borderId="6" xfId="0" applyFont="1" applyFill="1" applyBorder="1" applyAlignment="1">
      <alignment horizontal="left" vertical="center" wrapText="1"/>
    </xf>
    <xf numFmtId="0" fontId="14" fillId="11" borderId="9" xfId="0" applyFont="1" applyFill="1" applyBorder="1" applyAlignment="1">
      <alignment horizontal="left" vertical="center" wrapText="1"/>
    </xf>
    <xf numFmtId="0" fontId="14" fillId="11" borderId="7" xfId="0" applyFont="1" applyFill="1" applyBorder="1" applyAlignment="1">
      <alignment horizontal="left" vertical="center" wrapText="1"/>
    </xf>
    <xf numFmtId="0" fontId="57" fillId="0" borderId="1" xfId="0" applyFont="1" applyFill="1" applyBorder="1" applyAlignment="1" applyProtection="1">
      <alignment horizontal="center" vertical="center"/>
    </xf>
    <xf numFmtId="0" fontId="13" fillId="0" borderId="1" xfId="0" applyFont="1" applyFill="1" applyBorder="1" applyAlignment="1" applyProtection="1">
      <alignment horizontal="left" vertical="top"/>
      <protection locked="0"/>
    </xf>
    <xf numFmtId="0" fontId="7" fillId="11" borderId="1" xfId="0" applyFont="1" applyFill="1" applyBorder="1" applyAlignment="1">
      <alignment horizontal="left" vertical="center"/>
    </xf>
    <xf numFmtId="0" fontId="7" fillId="11" borderId="6" xfId="0" applyFont="1" applyFill="1" applyBorder="1" applyAlignment="1">
      <alignment horizontal="center" vertical="center"/>
    </xf>
    <xf numFmtId="0" fontId="7" fillId="11" borderId="9" xfId="0" applyFont="1" applyFill="1" applyBorder="1" applyAlignment="1">
      <alignment horizontal="center" vertical="center"/>
    </xf>
    <xf numFmtId="0" fontId="14" fillId="11" borderId="6" xfId="0" applyFont="1" applyFill="1" applyBorder="1" applyAlignment="1">
      <alignment horizontal="center" vertical="center" wrapText="1"/>
    </xf>
    <xf numFmtId="0" fontId="14" fillId="11" borderId="9" xfId="0" applyFont="1" applyFill="1" applyBorder="1" applyAlignment="1">
      <alignment horizontal="center" vertical="center" wrapText="1"/>
    </xf>
    <xf numFmtId="0" fontId="14" fillId="11" borderId="7" xfId="0" applyFont="1" applyFill="1" applyBorder="1" applyAlignment="1">
      <alignment horizontal="center" vertical="center" wrapText="1"/>
    </xf>
    <xf numFmtId="0" fontId="7" fillId="11" borderId="1" xfId="0" applyFont="1" applyFill="1" applyBorder="1" applyAlignment="1">
      <alignment horizontal="center" vertical="center"/>
    </xf>
    <xf numFmtId="0" fontId="7" fillId="11" borderId="7" xfId="0" applyFont="1" applyFill="1" applyBorder="1" applyAlignment="1">
      <alignment horizontal="center" vertical="center"/>
    </xf>
    <xf numFmtId="0" fontId="7" fillId="11" borderId="1" xfId="0" applyFont="1" applyFill="1" applyBorder="1" applyAlignment="1">
      <alignment horizontal="center" vertical="center" wrapText="1"/>
    </xf>
    <xf numFmtId="167" fontId="38" fillId="0" borderId="11" xfId="3" applyFont="1" applyBorder="1" applyAlignment="1" applyProtection="1">
      <alignment horizontal="center" wrapText="1"/>
    </xf>
    <xf numFmtId="167" fontId="38" fillId="0" borderId="14" xfId="3" applyFont="1" applyBorder="1" applyAlignment="1" applyProtection="1">
      <alignment horizontal="center" wrapText="1"/>
    </xf>
    <xf numFmtId="0" fontId="39" fillId="26" borderId="10" xfId="4" applyFont="1" applyFill="1" applyBorder="1" applyAlignment="1" applyProtection="1">
      <alignment horizontal="center" vertical="center"/>
    </xf>
    <xf numFmtId="0" fontId="39" fillId="26" borderId="12" xfId="4" applyFont="1" applyFill="1" applyBorder="1" applyAlignment="1" applyProtection="1">
      <alignment horizontal="center" vertical="center"/>
    </xf>
    <xf numFmtId="0" fontId="40" fillId="26" borderId="15" xfId="4" applyFont="1" applyFill="1" applyBorder="1" applyAlignment="1" applyProtection="1">
      <alignment horizontal="center" vertical="center"/>
    </xf>
    <xf numFmtId="0" fontId="40" fillId="26" borderId="8" xfId="4" applyFont="1" applyFill="1" applyBorder="1" applyAlignment="1" applyProtection="1">
      <alignment horizontal="center" vertical="center"/>
    </xf>
    <xf numFmtId="0" fontId="42" fillId="11" borderId="1" xfId="0" applyFont="1" applyFill="1" applyBorder="1" applyAlignment="1" applyProtection="1">
      <alignment horizontal="center" vertical="center"/>
    </xf>
    <xf numFmtId="0" fontId="43" fillId="11" borderId="1" xfId="0" applyFont="1" applyFill="1" applyBorder="1" applyAlignment="1" applyProtection="1">
      <alignment horizontal="left" vertical="center"/>
    </xf>
    <xf numFmtId="0" fontId="43" fillId="11" borderId="3" xfId="0" applyFont="1" applyFill="1" applyBorder="1" applyAlignment="1" applyProtection="1">
      <alignment horizontal="left" vertical="center"/>
    </xf>
    <xf numFmtId="0" fontId="41" fillId="0" borderId="3" xfId="0" applyFont="1" applyBorder="1" applyAlignment="1" applyProtection="1">
      <alignment horizontal="left" vertical="center"/>
      <protection locked="0"/>
    </xf>
    <xf numFmtId="0" fontId="41" fillId="0" borderId="4" xfId="0" applyFont="1" applyBorder="1" applyAlignment="1" applyProtection="1">
      <alignment horizontal="left" vertical="center"/>
      <protection locked="0"/>
    </xf>
    <xf numFmtId="0" fontId="41" fillId="0" borderId="5" xfId="0" applyFont="1" applyBorder="1" applyAlignment="1" applyProtection="1">
      <alignment horizontal="left" vertical="center"/>
      <protection locked="0"/>
    </xf>
    <xf numFmtId="0" fontId="43" fillId="0" borderId="3" xfId="0" applyFont="1" applyFill="1" applyBorder="1" applyAlignment="1" applyProtection="1">
      <alignment horizontal="center" vertical="center"/>
    </xf>
    <xf numFmtId="0" fontId="43" fillId="0" borderId="4" xfId="0" applyFont="1" applyFill="1" applyBorder="1" applyAlignment="1" applyProtection="1">
      <alignment horizontal="center" vertical="center"/>
    </xf>
    <xf numFmtId="0" fontId="43" fillId="0" borderId="5" xfId="0" applyFont="1" applyFill="1" applyBorder="1" applyAlignment="1" applyProtection="1">
      <alignment horizontal="center" vertical="center"/>
    </xf>
    <xf numFmtId="0" fontId="37" fillId="0" borderId="1" xfId="0" applyFont="1" applyBorder="1" applyAlignment="1" applyProtection="1">
      <alignment horizontal="left" vertical="center"/>
    </xf>
    <xf numFmtId="0" fontId="0" fillId="0" borderId="1" xfId="0" applyBorder="1" applyAlignment="1" applyProtection="1">
      <alignment horizontal="left" vertical="center"/>
    </xf>
    <xf numFmtId="0" fontId="37" fillId="0" borderId="3" xfId="0" applyFont="1" applyFill="1" applyBorder="1" applyAlignment="1">
      <alignment horizontal="center"/>
    </xf>
    <xf numFmtId="0" fontId="37" fillId="0" borderId="4" xfId="0" applyFont="1" applyFill="1" applyBorder="1" applyAlignment="1">
      <alignment horizontal="center"/>
    </xf>
    <xf numFmtId="0" fontId="37" fillId="0" borderId="5" xfId="0" applyFont="1" applyFill="1" applyBorder="1" applyAlignment="1">
      <alignment horizontal="center"/>
    </xf>
    <xf numFmtId="0" fontId="60" fillId="0" borderId="62" xfId="0" applyFont="1" applyBorder="1" applyAlignment="1" applyProtection="1">
      <alignment horizontal="center" vertical="top"/>
    </xf>
    <xf numFmtId="0" fontId="60" fillId="0" borderId="63" xfId="0" applyFont="1" applyBorder="1" applyAlignment="1" applyProtection="1">
      <alignment horizontal="center" vertical="top"/>
    </xf>
    <xf numFmtId="0" fontId="60" fillId="0" borderId="71" xfId="0" applyFont="1" applyBorder="1" applyAlignment="1" applyProtection="1">
      <alignment horizontal="center" vertical="top"/>
    </xf>
    <xf numFmtId="0" fontId="60" fillId="0" borderId="35" xfId="0" applyFont="1" applyBorder="1" applyAlignment="1" applyProtection="1">
      <alignment horizontal="center" vertical="top"/>
    </xf>
    <xf numFmtId="0" fontId="60" fillId="0" borderId="0" xfId="0" applyFont="1" applyBorder="1" applyAlignment="1" applyProtection="1">
      <alignment horizontal="center" vertical="top"/>
    </xf>
    <xf numFmtId="0" fontId="60" fillId="0" borderId="13" xfId="0" applyFont="1" applyBorder="1" applyAlignment="1" applyProtection="1">
      <alignment horizontal="center" vertical="top"/>
    </xf>
    <xf numFmtId="0" fontId="60" fillId="0" borderId="27" xfId="0" applyFont="1" applyBorder="1" applyAlignment="1" applyProtection="1">
      <alignment horizontal="center" vertical="top"/>
    </xf>
    <xf numFmtId="0" fontId="60" fillId="0" borderId="37" xfId="0" applyFont="1" applyBorder="1" applyAlignment="1" applyProtection="1">
      <alignment horizontal="center" vertical="top"/>
    </xf>
    <xf numFmtId="0" fontId="60" fillId="0" borderId="59" xfId="0" applyFont="1" applyBorder="1" applyAlignment="1" applyProtection="1">
      <alignment horizontal="center" vertical="top"/>
    </xf>
    <xf numFmtId="0" fontId="60" fillId="0" borderId="17" xfId="0" applyFont="1" applyBorder="1" applyAlignment="1" applyProtection="1">
      <alignment horizontal="center" vertical="top"/>
    </xf>
    <xf numFmtId="0" fontId="60" fillId="0" borderId="1" xfId="0" applyFont="1" applyBorder="1" applyAlignment="1" applyProtection="1">
      <alignment horizontal="center" vertical="top"/>
    </xf>
    <xf numFmtId="0" fontId="60" fillId="0" borderId="25" xfId="0" applyFont="1" applyBorder="1" applyAlignment="1" applyProtection="1">
      <alignment horizontal="center" vertical="top"/>
    </xf>
    <xf numFmtId="0" fontId="60" fillId="0" borderId="18" xfId="0" applyFont="1" applyBorder="1" applyAlignment="1" applyProtection="1">
      <alignment horizontal="center" vertical="top"/>
    </xf>
    <xf numFmtId="0" fontId="60" fillId="0" borderId="20" xfId="0" applyFont="1" applyBorder="1" applyAlignment="1" applyProtection="1">
      <alignment horizontal="center" vertical="top"/>
    </xf>
    <xf numFmtId="0" fontId="60" fillId="0" borderId="26" xfId="0" applyFont="1" applyBorder="1" applyAlignment="1" applyProtection="1">
      <alignment horizontal="center" vertical="top"/>
    </xf>
    <xf numFmtId="0" fontId="0" fillId="0" borderId="1" xfId="0" applyBorder="1" applyAlignment="1" applyProtection="1">
      <alignment horizontal="left" vertical="center"/>
      <protection locked="0"/>
    </xf>
    <xf numFmtId="0" fontId="61" fillId="28" borderId="22" xfId="0" applyFont="1" applyFill="1" applyBorder="1" applyAlignment="1" applyProtection="1">
      <alignment horizontal="left" vertical="center"/>
    </xf>
    <xf numFmtId="0" fontId="61" fillId="28" borderId="1" xfId="0" applyFont="1" applyFill="1" applyBorder="1" applyAlignment="1" applyProtection="1">
      <alignment horizontal="left" vertical="center"/>
    </xf>
    <xf numFmtId="0" fontId="61" fillId="28" borderId="23" xfId="0" applyFont="1" applyFill="1" applyBorder="1" applyAlignment="1" applyProtection="1">
      <alignment horizontal="left" vertical="center"/>
    </xf>
    <xf numFmtId="0" fontId="61" fillId="28" borderId="25" xfId="0" applyFont="1" applyFill="1" applyBorder="1" applyAlignment="1" applyProtection="1">
      <alignment horizontal="left" vertical="center"/>
    </xf>
    <xf numFmtId="0" fontId="37" fillId="0" borderId="1" xfId="0" applyFont="1" applyBorder="1" applyAlignment="1" applyProtection="1">
      <alignment horizontal="center" vertical="center"/>
    </xf>
    <xf numFmtId="0" fontId="37" fillId="0" borderId="3" xfId="0" applyFont="1" applyBorder="1" applyAlignment="1">
      <alignment horizontal="center"/>
    </xf>
    <xf numFmtId="0" fontId="37" fillId="0" borderId="4" xfId="0" applyFont="1" applyBorder="1" applyAlignment="1">
      <alignment horizontal="center"/>
    </xf>
    <xf numFmtId="0" fontId="37" fillId="0" borderId="5" xfId="0" applyFont="1" applyBorder="1" applyAlignment="1">
      <alignment horizontal="center"/>
    </xf>
    <xf numFmtId="0" fontId="37" fillId="2" borderId="1" xfId="0" applyFont="1" applyFill="1" applyBorder="1" applyAlignment="1" applyProtection="1">
      <alignment horizontal="left" vertical="center"/>
    </xf>
    <xf numFmtId="0" fontId="0" fillId="0" borderId="1" xfId="0" applyBorder="1" applyAlignment="1" applyProtection="1">
      <alignment horizontal="left"/>
      <protection locked="0"/>
    </xf>
    <xf numFmtId="0" fontId="37" fillId="2" borderId="11" xfId="0" applyFont="1" applyFill="1" applyBorder="1" applyAlignment="1" applyProtection="1">
      <alignment horizontal="center" vertical="center" wrapText="1"/>
    </xf>
    <xf numFmtId="0" fontId="37" fillId="2" borderId="10" xfId="0" applyFont="1" applyFill="1" applyBorder="1" applyAlignment="1" applyProtection="1">
      <alignment horizontal="center" vertical="center" wrapText="1"/>
    </xf>
    <xf numFmtId="0" fontId="37" fillId="2" borderId="12" xfId="0" applyFont="1" applyFill="1" applyBorder="1" applyAlignment="1" applyProtection="1">
      <alignment horizontal="center" vertical="center" wrapText="1"/>
    </xf>
    <xf numFmtId="0" fontId="37" fillId="2" borderId="2" xfId="0" applyFont="1" applyFill="1" applyBorder="1" applyAlignment="1" applyProtection="1">
      <alignment horizontal="center" vertical="center" wrapText="1"/>
    </xf>
    <xf numFmtId="0" fontId="37" fillId="2" borderId="0" xfId="0" applyFont="1" applyFill="1" applyBorder="1" applyAlignment="1" applyProtection="1">
      <alignment horizontal="center" vertical="center" wrapText="1"/>
    </xf>
    <xf numFmtId="0" fontId="37" fillId="2" borderId="13" xfId="0" applyFont="1" applyFill="1" applyBorder="1" applyAlignment="1" applyProtection="1">
      <alignment horizontal="center" vertical="center" wrapText="1"/>
    </xf>
    <xf numFmtId="0" fontId="0" fillId="0" borderId="11"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7" fillId="0" borderId="30" xfId="0" applyFont="1" applyBorder="1" applyAlignment="1">
      <alignment horizontal="center"/>
    </xf>
    <xf numFmtId="0" fontId="0" fillId="0" borderId="31" xfId="0" applyBorder="1" applyAlignment="1">
      <alignment horizontal="center"/>
    </xf>
    <xf numFmtId="0" fontId="0" fillId="0" borderId="43" xfId="0" applyBorder="1" applyAlignment="1">
      <alignment horizontal="center"/>
    </xf>
    <xf numFmtId="0" fontId="0" fillId="0" borderId="69" xfId="0" applyBorder="1" applyAlignment="1" applyProtection="1">
      <alignment horizontal="center"/>
    </xf>
    <xf numFmtId="0" fontId="0" fillId="0" borderId="70" xfId="0" applyBorder="1" applyAlignment="1" applyProtection="1">
      <alignment horizontal="center"/>
    </xf>
    <xf numFmtId="0" fontId="0" fillId="0" borderId="29" xfId="0" applyBorder="1" applyAlignment="1" applyProtection="1">
      <alignment horizontal="center"/>
    </xf>
    <xf numFmtId="0" fontId="58" fillId="0" borderId="62" xfId="0" applyFont="1" applyBorder="1" applyAlignment="1" applyProtection="1">
      <alignment horizontal="center" vertical="center"/>
    </xf>
    <xf numFmtId="0" fontId="58" fillId="0" borderId="63" xfId="0" applyFont="1" applyBorder="1" applyAlignment="1" applyProtection="1">
      <alignment horizontal="center" vertical="center"/>
    </xf>
    <xf numFmtId="0" fontId="58" fillId="0" borderId="64" xfId="0" applyFont="1" applyBorder="1" applyAlignment="1" applyProtection="1">
      <alignment horizontal="center" vertical="center"/>
    </xf>
    <xf numFmtId="0" fontId="59" fillId="0" borderId="35" xfId="0" applyFont="1" applyBorder="1" applyAlignment="1" applyProtection="1">
      <alignment horizontal="center" vertical="center"/>
    </xf>
    <xf numFmtId="0" fontId="59" fillId="0" borderId="0" xfId="0" applyFont="1" applyBorder="1" applyAlignment="1" applyProtection="1">
      <alignment horizontal="center" vertical="center"/>
    </xf>
    <xf numFmtId="0" fontId="59" fillId="0" borderId="36" xfId="0" applyFont="1" applyBorder="1" applyAlignment="1" applyProtection="1">
      <alignment horizontal="center" vertical="center"/>
    </xf>
    <xf numFmtId="0" fontId="60" fillId="0" borderId="27" xfId="0" applyFont="1" applyBorder="1" applyAlignment="1" applyProtection="1">
      <alignment horizontal="center" vertical="center"/>
    </xf>
    <xf numFmtId="0" fontId="60" fillId="0" borderId="37" xfId="0" applyFont="1" applyBorder="1" applyAlignment="1" applyProtection="1">
      <alignment horizontal="center" vertical="center"/>
    </xf>
    <xf numFmtId="0" fontId="60" fillId="0" borderId="28" xfId="0" applyFont="1" applyBorder="1" applyAlignment="1" applyProtection="1">
      <alignment horizontal="center" vertical="center"/>
    </xf>
  </cellXfs>
  <cellStyles count="5">
    <cellStyle name="Moeda" xfId="1" builtinId="4"/>
    <cellStyle name="Moeda 2" xfId="3"/>
    <cellStyle name="Normal" xfId="0" builtinId="0"/>
    <cellStyle name="Normal 2" xfId="4"/>
    <cellStyle name="Porcentagem" xfId="2" builtinId="5"/>
  </cellStyles>
  <dxfs count="1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b/>
        <i val="0"/>
        <color rgb="FF006100"/>
      </font>
      <fill>
        <patternFill>
          <bgColor rgb="FFC6EFCE"/>
        </patternFill>
      </fill>
    </dxf>
    <dxf>
      <font>
        <b/>
        <i val="0"/>
        <color theme="0"/>
      </font>
      <fill>
        <patternFill>
          <bgColor rgb="FFFF0000"/>
        </patternFill>
      </fill>
    </dxf>
    <dxf>
      <font>
        <b/>
        <i val="0"/>
        <color rgb="FF9C0006"/>
      </font>
      <fill>
        <patternFill>
          <bgColor rgb="FFFFC7CE"/>
        </patternFill>
      </fill>
    </dxf>
    <dxf>
      <font>
        <b/>
        <i val="0"/>
        <color theme="1"/>
      </font>
      <fill>
        <patternFill>
          <bgColor rgb="FFFF0000"/>
        </patternFill>
      </fill>
    </dxf>
    <dxf>
      <font>
        <b/>
        <i val="0"/>
        <color auto="1"/>
      </font>
      <fill>
        <patternFill>
          <bgColor rgb="FFFFFF00"/>
        </patternFill>
      </fill>
    </dxf>
    <dxf>
      <font>
        <b/>
        <i val="0"/>
        <color theme="1"/>
      </font>
      <fill>
        <patternFill>
          <bgColor rgb="FF00B050"/>
        </patternFill>
      </fill>
    </dxf>
    <dxf>
      <font>
        <b/>
        <i val="0"/>
        <color rgb="FF006100"/>
      </font>
      <fill>
        <patternFill>
          <bgColor rgb="FFC6EFCE"/>
        </patternFill>
      </fill>
    </dxf>
    <dxf>
      <font>
        <b/>
        <i val="0"/>
        <color theme="0"/>
      </font>
      <fill>
        <patternFill>
          <bgColor rgb="FFFF0000"/>
        </patternFill>
      </fill>
    </dxf>
    <dxf>
      <font>
        <b/>
        <i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85726</xdr:colOff>
      <xdr:row>0</xdr:row>
      <xdr:rowOff>0</xdr:rowOff>
    </xdr:from>
    <xdr:to>
      <xdr:col>1</xdr:col>
      <xdr:colOff>167641</xdr:colOff>
      <xdr:row>1</xdr:row>
      <xdr:rowOff>219076</xdr:rowOff>
    </xdr:to>
    <xdr:pic>
      <xdr:nvPicPr>
        <xdr:cNvPr id="2" name="Imagem 1"/>
        <xdr:cNvPicPr>
          <a:picLocks noChangeAspect="1"/>
        </xdr:cNvPicPr>
      </xdr:nvPicPr>
      <xdr:blipFill>
        <a:blip xmlns:r="http://schemas.openxmlformats.org/officeDocument/2006/relationships" r:embed="rId1" cstate="print"/>
        <a:srcRect/>
        <a:stretch>
          <a:fillRect/>
        </a:stretch>
      </xdr:blipFill>
      <xdr:spPr bwMode="auto">
        <a:xfrm>
          <a:off x="85726" y="0"/>
          <a:ext cx="462915" cy="41910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85726</xdr:colOff>
      <xdr:row>0</xdr:row>
      <xdr:rowOff>66675</xdr:rowOff>
    </xdr:from>
    <xdr:to>
      <xdr:col>0</xdr:col>
      <xdr:colOff>371476</xdr:colOff>
      <xdr:row>3</xdr:row>
      <xdr:rowOff>1716</xdr:rowOff>
    </xdr:to>
    <xdr:pic>
      <xdr:nvPicPr>
        <xdr:cNvPr id="2" name="Imagem 1"/>
        <xdr:cNvPicPr>
          <a:picLocks noChangeAspect="1"/>
        </xdr:cNvPicPr>
      </xdr:nvPicPr>
      <xdr:blipFill>
        <a:blip xmlns:r="http://schemas.openxmlformats.org/officeDocument/2006/relationships" r:embed="rId1" cstate="print"/>
        <a:srcRect/>
        <a:stretch>
          <a:fillRect/>
        </a:stretch>
      </xdr:blipFill>
      <xdr:spPr bwMode="auto">
        <a:xfrm>
          <a:off x="85726" y="66675"/>
          <a:ext cx="285750" cy="335091"/>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0</xdr:row>
      <xdr:rowOff>38100</xdr:rowOff>
    </xdr:from>
    <xdr:to>
      <xdr:col>0</xdr:col>
      <xdr:colOff>781050</xdr:colOff>
      <xdr:row>2</xdr:row>
      <xdr:rowOff>133350</xdr:rowOff>
    </xdr:to>
    <xdr:pic>
      <xdr:nvPicPr>
        <xdr:cNvPr id="2"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200025" y="38100"/>
          <a:ext cx="581025" cy="5238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workbookViewId="0">
      <selection activeCell="A15" sqref="A15:D15"/>
    </sheetView>
  </sheetViews>
  <sheetFormatPr defaultColWidth="9" defaultRowHeight="13.8"/>
  <cols>
    <col min="1" max="2" width="6.6328125" style="1" customWidth="1"/>
    <col min="3" max="3" width="5.90625" style="1" customWidth="1"/>
    <col min="4" max="4" width="38.6328125" style="1" customWidth="1"/>
    <col min="5" max="5" width="13.26953125" style="1" customWidth="1"/>
    <col min="6" max="6" width="12.453125" style="1" customWidth="1"/>
    <col min="7" max="8" width="20.453125" style="1" customWidth="1"/>
    <col min="9" max="10" width="9" style="1"/>
    <col min="11" max="11" width="8.7265625" style="1" bestFit="1" customWidth="1"/>
    <col min="12" max="16384" width="9" style="1"/>
  </cols>
  <sheetData>
    <row r="1" spans="1:11">
      <c r="A1" s="636" t="s">
        <v>0</v>
      </c>
      <c r="B1" s="636"/>
      <c r="C1" s="636"/>
      <c r="D1" s="636"/>
      <c r="E1" s="636"/>
      <c r="F1" s="637" t="s">
        <v>505</v>
      </c>
      <c r="G1" s="638"/>
      <c r="H1" s="639"/>
    </row>
    <row r="2" spans="1:11">
      <c r="A2" s="636" t="s">
        <v>1</v>
      </c>
      <c r="B2" s="636"/>
      <c r="C2" s="636"/>
      <c r="D2" s="636"/>
      <c r="E2" s="636"/>
      <c r="F2" s="640"/>
      <c r="G2" s="641"/>
      <c r="H2" s="642"/>
    </row>
    <row r="3" spans="1:11" ht="15" customHeight="1">
      <c r="A3" s="643" t="s">
        <v>2</v>
      </c>
      <c r="B3" s="643"/>
      <c r="C3" s="643"/>
      <c r="D3" s="643"/>
      <c r="E3" s="643"/>
      <c r="F3" s="643"/>
      <c r="G3" s="643"/>
      <c r="H3" s="643"/>
    </row>
    <row r="5" spans="1:11" ht="17.399999999999999">
      <c r="A5" s="646" t="s">
        <v>700</v>
      </c>
      <c r="B5" s="646"/>
      <c r="C5" s="646"/>
      <c r="D5" s="646"/>
      <c r="E5" s="646"/>
      <c r="F5" s="646"/>
      <c r="G5" s="646"/>
      <c r="H5" s="646"/>
    </row>
    <row r="6" spans="1:11">
      <c r="A6" s="647" t="s">
        <v>701</v>
      </c>
      <c r="B6" s="648"/>
      <c r="C6" s="648"/>
      <c r="D6" s="648"/>
      <c r="E6" s="648"/>
      <c r="F6" s="648"/>
      <c r="G6" s="649"/>
      <c r="H6" s="606"/>
    </row>
    <row r="7" spans="1:11" ht="27.75" customHeight="1">
      <c r="A7" s="650" t="s">
        <v>702</v>
      </c>
      <c r="B7" s="651"/>
      <c r="C7" s="651"/>
      <c r="D7" s="607"/>
      <c r="E7" s="652" t="s">
        <v>703</v>
      </c>
      <c r="F7" s="652"/>
      <c r="G7" s="653"/>
      <c r="H7" s="608"/>
    </row>
    <row r="8" spans="1:11">
      <c r="A8" s="647" t="s">
        <v>704</v>
      </c>
      <c r="B8" s="648"/>
      <c r="C8" s="648"/>
      <c r="D8" s="648"/>
      <c r="E8" s="648"/>
      <c r="F8" s="648"/>
      <c r="G8" s="649"/>
      <c r="H8" s="606"/>
    </row>
    <row r="9" spans="1:11">
      <c r="A9" s="647" t="s">
        <v>705</v>
      </c>
      <c r="B9" s="648"/>
      <c r="C9" s="648"/>
      <c r="D9" s="648"/>
      <c r="E9" s="648"/>
      <c r="F9" s="648"/>
      <c r="G9" s="649"/>
      <c r="H9" s="606"/>
    </row>
    <row r="10" spans="1:11">
      <c r="A10" s="650" t="s">
        <v>706</v>
      </c>
      <c r="B10" s="651"/>
      <c r="C10" s="651"/>
      <c r="D10" s="651"/>
      <c r="E10" s="651"/>
      <c r="F10" s="651"/>
      <c r="G10" s="654"/>
      <c r="H10" s="609"/>
    </row>
    <row r="12" spans="1:11" ht="23.25" customHeight="1">
      <c r="A12" s="668" t="s">
        <v>707</v>
      </c>
      <c r="B12" s="668"/>
      <c r="C12" s="668"/>
      <c r="D12" s="668"/>
      <c r="E12" s="668"/>
      <c r="F12" s="668"/>
      <c r="G12" s="668"/>
    </row>
    <row r="13" spans="1:11" ht="23.25" customHeight="1">
      <c r="A13" s="610" t="s">
        <v>635</v>
      </c>
      <c r="B13" s="669"/>
      <c r="C13" s="670"/>
      <c r="D13" s="611"/>
      <c r="E13" s="611"/>
      <c r="F13" s="611"/>
      <c r="G13" s="611"/>
    </row>
    <row r="14" spans="1:11">
      <c r="A14" s="644" t="s">
        <v>3</v>
      </c>
      <c r="B14" s="645"/>
      <c r="C14" s="645"/>
      <c r="D14" s="645"/>
      <c r="E14" s="645"/>
      <c r="F14" s="645"/>
      <c r="G14" s="645"/>
      <c r="H14" s="645"/>
    </row>
    <row r="15" spans="1:11" ht="27" customHeight="1">
      <c r="A15" s="632" t="s">
        <v>4</v>
      </c>
      <c r="B15" s="632"/>
      <c r="C15" s="632"/>
      <c r="D15" s="632"/>
      <c r="E15" s="633" t="s">
        <v>5</v>
      </c>
      <c r="F15" s="634"/>
      <c r="G15" s="634"/>
      <c r="H15" s="635"/>
      <c r="K15" s="2"/>
    </row>
    <row r="16" spans="1:11">
      <c r="A16" s="632" t="s">
        <v>6</v>
      </c>
      <c r="B16" s="632"/>
      <c r="C16" s="632"/>
      <c r="D16" s="632"/>
      <c r="E16" s="3" t="s">
        <v>7</v>
      </c>
      <c r="F16" s="655" t="s">
        <v>8</v>
      </c>
      <c r="G16" s="655"/>
      <c r="H16" s="655"/>
    </row>
    <row r="17" spans="1:8" ht="147.75" customHeight="1">
      <c r="A17" s="656" t="s">
        <v>9</v>
      </c>
      <c r="B17" s="656"/>
      <c r="C17" s="656"/>
      <c r="D17" s="656"/>
      <c r="E17" s="106" t="s">
        <v>10</v>
      </c>
      <c r="F17" s="657"/>
      <c r="G17" s="658"/>
      <c r="H17" s="659"/>
    </row>
    <row r="18" spans="1:8" ht="36" customHeight="1">
      <c r="A18" s="632" t="s">
        <v>11</v>
      </c>
      <c r="B18" s="632"/>
      <c r="C18" s="632"/>
      <c r="D18" s="632"/>
      <c r="E18" s="660" t="s">
        <v>12</v>
      </c>
      <c r="F18" s="660"/>
      <c r="G18" s="660"/>
      <c r="H18" s="108">
        <v>12</v>
      </c>
    </row>
    <row r="19" spans="1:8" ht="30" customHeight="1">
      <c r="A19" s="656" t="s">
        <v>13</v>
      </c>
      <c r="B19" s="656"/>
      <c r="C19" s="656"/>
      <c r="D19" s="656"/>
      <c r="E19" s="664" t="s">
        <v>268</v>
      </c>
      <c r="F19" s="664"/>
      <c r="G19" s="664"/>
      <c r="H19" s="612"/>
    </row>
    <row r="20" spans="1:8" ht="30" customHeight="1">
      <c r="A20" s="656"/>
      <c r="B20" s="656"/>
      <c r="C20" s="656"/>
      <c r="D20" s="656"/>
      <c r="E20" s="664" t="s">
        <v>484</v>
      </c>
      <c r="F20" s="664"/>
      <c r="G20" s="664"/>
      <c r="H20" s="612"/>
    </row>
    <row r="21" spans="1:8" ht="30" customHeight="1">
      <c r="A21" s="656"/>
      <c r="B21" s="656"/>
      <c r="C21" s="656"/>
      <c r="D21" s="656"/>
      <c r="E21" s="664" t="s">
        <v>269</v>
      </c>
      <c r="F21" s="664"/>
      <c r="G21" s="664"/>
      <c r="H21" s="613"/>
    </row>
    <row r="22" spans="1:8">
      <c r="A22" s="665" t="s">
        <v>14</v>
      </c>
      <c r="B22" s="665"/>
      <c r="C22" s="665"/>
      <c r="D22" s="665"/>
      <c r="E22" s="665"/>
      <c r="F22" s="666"/>
    </row>
    <row r="23" spans="1:8" ht="43.5" customHeight="1">
      <c r="A23" s="667" t="s">
        <v>15</v>
      </c>
      <c r="B23" s="667"/>
      <c r="C23" s="667"/>
      <c r="D23" s="667"/>
      <c r="E23" s="107" t="s">
        <v>16</v>
      </c>
      <c r="F23" s="389" t="s">
        <v>502</v>
      </c>
      <c r="G23" s="385" t="s">
        <v>503</v>
      </c>
      <c r="H23" s="385" t="s">
        <v>504</v>
      </c>
    </row>
    <row r="24" spans="1:8" ht="40.5" customHeight="1">
      <c r="A24" s="661" t="s">
        <v>699</v>
      </c>
      <c r="B24" s="662"/>
      <c r="C24" s="662"/>
      <c r="D24" s="663"/>
      <c r="E24" s="4" t="s">
        <v>19</v>
      </c>
      <c r="F24" s="386">
        <v>12</v>
      </c>
      <c r="G24" s="387">
        <f>+'Custo Limpeza'!W27</f>
        <v>0</v>
      </c>
      <c r="H24" s="387">
        <f>+'Custo Limpeza'!X27</f>
        <v>0</v>
      </c>
    </row>
    <row r="27" spans="1:8">
      <c r="A27" s="630" t="s">
        <v>17</v>
      </c>
      <c r="B27" s="630"/>
      <c r="C27" s="630"/>
      <c r="D27" s="630"/>
      <c r="E27" s="630"/>
      <c r="F27" s="630"/>
      <c r="G27" s="630"/>
      <c r="H27" s="630"/>
    </row>
    <row r="28" spans="1:8" ht="24">
      <c r="A28" s="604" t="s">
        <v>691</v>
      </c>
      <c r="B28" s="604" t="s">
        <v>673</v>
      </c>
      <c r="C28" s="604" t="s">
        <v>673</v>
      </c>
      <c r="D28" s="604" t="s">
        <v>18</v>
      </c>
      <c r="E28" s="604" t="s">
        <v>674</v>
      </c>
      <c r="F28" s="605" t="s">
        <v>692</v>
      </c>
      <c r="G28" s="604" t="s">
        <v>20</v>
      </c>
      <c r="H28" s="604" t="s">
        <v>675</v>
      </c>
    </row>
    <row r="30" spans="1:8" ht="48" customHeight="1">
      <c r="A30" s="631">
        <v>1</v>
      </c>
      <c r="B30" s="584">
        <v>1</v>
      </c>
      <c r="C30" s="584">
        <v>23604</v>
      </c>
      <c r="D30" s="585" t="s">
        <v>708</v>
      </c>
      <c r="E30" s="586">
        <f>+'Custo Limpeza'!K8</f>
        <v>25149</v>
      </c>
      <c r="F30" s="587">
        <f>+'Custo Limpeza'!K7</f>
        <v>0</v>
      </c>
      <c r="G30" s="588">
        <f t="shared" ref="G30:G41" si="0">+F30*E30</f>
        <v>0</v>
      </c>
      <c r="H30" s="589">
        <f t="shared" ref="H30:H41" si="1">+G30*$H$18</f>
        <v>0</v>
      </c>
    </row>
    <row r="31" spans="1:8" ht="40.799999999999997">
      <c r="A31" s="631"/>
      <c r="B31" s="590">
        <f t="shared" ref="B31:B41" si="2">+B30+1</f>
        <v>2</v>
      </c>
      <c r="C31" s="590">
        <v>23604</v>
      </c>
      <c r="D31" s="591" t="s">
        <v>709</v>
      </c>
      <c r="E31" s="592">
        <f>+'Custo Limpeza'!M8</f>
        <v>5871</v>
      </c>
      <c r="F31" s="593">
        <f>+'Custo Limpeza'!M7</f>
        <v>0</v>
      </c>
      <c r="G31" s="594">
        <f t="shared" si="0"/>
        <v>0</v>
      </c>
      <c r="H31" s="595">
        <f t="shared" si="1"/>
        <v>0</v>
      </c>
    </row>
    <row r="32" spans="1:8" ht="40.799999999999997">
      <c r="A32" s="631"/>
      <c r="B32" s="584">
        <f t="shared" si="2"/>
        <v>3</v>
      </c>
      <c r="C32" s="584">
        <v>23604</v>
      </c>
      <c r="D32" s="585" t="s">
        <v>710</v>
      </c>
      <c r="E32" s="586">
        <f>+'Custo Limpeza'!N8</f>
        <v>128</v>
      </c>
      <c r="F32" s="587">
        <f>+'Custo Limpeza'!N7</f>
        <v>0</v>
      </c>
      <c r="G32" s="588">
        <f t="shared" si="0"/>
        <v>0</v>
      </c>
      <c r="H32" s="589">
        <f t="shared" si="1"/>
        <v>0</v>
      </c>
    </row>
    <row r="33" spans="1:8" ht="40.799999999999997">
      <c r="A33" s="631"/>
      <c r="B33" s="590">
        <f t="shared" si="2"/>
        <v>4</v>
      </c>
      <c r="C33" s="590">
        <v>23655</v>
      </c>
      <c r="D33" s="591" t="s">
        <v>711</v>
      </c>
      <c r="E33" s="592">
        <f>+'Custo Limpeza'!K16</f>
        <v>22104</v>
      </c>
      <c r="F33" s="593">
        <f>+'Custo Limpeza'!K15</f>
        <v>0</v>
      </c>
      <c r="G33" s="594">
        <f t="shared" si="0"/>
        <v>0</v>
      </c>
      <c r="H33" s="595">
        <f t="shared" si="1"/>
        <v>0</v>
      </c>
    </row>
    <row r="34" spans="1:8" ht="40.799999999999997">
      <c r="A34" s="631"/>
      <c r="B34" s="584">
        <f t="shared" si="2"/>
        <v>5</v>
      </c>
      <c r="C34" s="584">
        <v>24074</v>
      </c>
      <c r="D34" s="585" t="s">
        <v>712</v>
      </c>
      <c r="E34" s="586">
        <f>+'Custo Limpeza'!K24</f>
        <v>288</v>
      </c>
      <c r="F34" s="587">
        <f>+'Custo Limpeza'!K23</f>
        <v>0</v>
      </c>
      <c r="G34" s="588">
        <f t="shared" si="0"/>
        <v>0</v>
      </c>
      <c r="H34" s="589">
        <f t="shared" si="1"/>
        <v>0</v>
      </c>
    </row>
    <row r="35" spans="1:8" ht="40.799999999999997">
      <c r="A35" s="631"/>
      <c r="B35" s="590">
        <f t="shared" si="2"/>
        <v>6</v>
      </c>
      <c r="C35" s="590">
        <v>24074</v>
      </c>
      <c r="D35" s="591" t="s">
        <v>713</v>
      </c>
      <c r="E35" s="592">
        <f>+'Custo Limpeza'!O24</f>
        <v>3041</v>
      </c>
      <c r="F35" s="593">
        <f>+'Custo Limpeza'!O23</f>
        <v>0</v>
      </c>
      <c r="G35" s="594">
        <f t="shared" si="0"/>
        <v>0</v>
      </c>
      <c r="H35" s="595">
        <f t="shared" si="1"/>
        <v>0</v>
      </c>
    </row>
    <row r="36" spans="1:8" ht="40.799999999999997">
      <c r="A36" s="631"/>
      <c r="B36" s="584">
        <f t="shared" si="2"/>
        <v>7</v>
      </c>
      <c r="C36" s="584">
        <v>24074</v>
      </c>
      <c r="D36" s="585" t="s">
        <v>714</v>
      </c>
      <c r="E36" s="586">
        <f>+'Custo Limpeza'!P24</f>
        <v>4649</v>
      </c>
      <c r="F36" s="587">
        <f>+'Custo Limpeza'!P23</f>
        <v>0</v>
      </c>
      <c r="G36" s="588">
        <f t="shared" si="0"/>
        <v>0</v>
      </c>
      <c r="H36" s="589">
        <f t="shared" si="1"/>
        <v>0</v>
      </c>
    </row>
    <row r="37" spans="1:8" ht="30.6">
      <c r="A37" s="631"/>
      <c r="B37" s="590">
        <f t="shared" si="2"/>
        <v>8</v>
      </c>
      <c r="C37" s="590">
        <v>24074</v>
      </c>
      <c r="D37" s="591" t="s">
        <v>715</v>
      </c>
      <c r="E37" s="592">
        <f>+'Custo Limpeza'!Q24</f>
        <v>20998</v>
      </c>
      <c r="F37" s="593">
        <f>+'Custo Limpeza'!Q23</f>
        <v>0</v>
      </c>
      <c r="G37" s="594">
        <f t="shared" si="0"/>
        <v>0</v>
      </c>
      <c r="H37" s="595">
        <f t="shared" si="1"/>
        <v>0</v>
      </c>
    </row>
    <row r="38" spans="1:8" ht="40.799999999999997">
      <c r="A38" s="631"/>
      <c r="B38" s="584">
        <f t="shared" si="2"/>
        <v>9</v>
      </c>
      <c r="C38" s="584">
        <v>24074</v>
      </c>
      <c r="D38" s="585" t="s">
        <v>716</v>
      </c>
      <c r="E38" s="586">
        <f>+'Custo Limpeza'!R24</f>
        <v>5944</v>
      </c>
      <c r="F38" s="587">
        <f>+'Custo Limpeza'!R23</f>
        <v>0</v>
      </c>
      <c r="G38" s="588">
        <f t="shared" si="0"/>
        <v>0</v>
      </c>
      <c r="H38" s="589">
        <f t="shared" si="1"/>
        <v>0</v>
      </c>
    </row>
    <row r="39" spans="1:8" ht="30.6">
      <c r="A39" s="631"/>
      <c r="B39" s="590">
        <f t="shared" si="2"/>
        <v>10</v>
      </c>
      <c r="C39" s="590">
        <v>24104</v>
      </c>
      <c r="D39" s="591" t="s">
        <v>717</v>
      </c>
      <c r="E39" s="592">
        <f>+'Custo Limpeza'!T24</f>
        <v>7895</v>
      </c>
      <c r="F39" s="593">
        <f>+'Custo Limpeza'!T23</f>
        <v>0</v>
      </c>
      <c r="G39" s="594">
        <f t="shared" si="0"/>
        <v>0</v>
      </c>
      <c r="H39" s="595">
        <f t="shared" si="1"/>
        <v>0</v>
      </c>
    </row>
    <row r="40" spans="1:8" ht="30.6">
      <c r="A40" s="631"/>
      <c r="B40" s="584">
        <f t="shared" si="2"/>
        <v>11</v>
      </c>
      <c r="C40" s="584">
        <v>24104</v>
      </c>
      <c r="D40" s="585" t="s">
        <v>718</v>
      </c>
      <c r="E40" s="586">
        <f>+'Custo Limpeza'!U24</f>
        <v>29208</v>
      </c>
      <c r="F40" s="587">
        <f>+'Custo Limpeza'!U23</f>
        <v>0</v>
      </c>
      <c r="G40" s="588">
        <f t="shared" si="0"/>
        <v>0</v>
      </c>
      <c r="H40" s="589">
        <f t="shared" si="1"/>
        <v>0</v>
      </c>
    </row>
    <row r="41" spans="1:8" ht="30.6">
      <c r="A41" s="631"/>
      <c r="B41" s="590">
        <f t="shared" si="2"/>
        <v>12</v>
      </c>
      <c r="C41" s="590">
        <v>24104</v>
      </c>
      <c r="D41" s="591" t="s">
        <v>719</v>
      </c>
      <c r="E41" s="592">
        <f>+'Custo Limpeza'!V24</f>
        <v>7571</v>
      </c>
      <c r="F41" s="593">
        <f>+'Custo Limpeza'!V23</f>
        <v>0</v>
      </c>
      <c r="G41" s="594">
        <f t="shared" si="0"/>
        <v>0</v>
      </c>
      <c r="H41" s="595">
        <f t="shared" si="1"/>
        <v>0</v>
      </c>
    </row>
    <row r="42" spans="1:8">
      <c r="G42" s="583">
        <f>SUM(G30:G41)</f>
        <v>0</v>
      </c>
      <c r="H42" s="583">
        <f>SUM(H30:H41)</f>
        <v>0</v>
      </c>
    </row>
  </sheetData>
  <mergeCells count="32">
    <mergeCell ref="C12:G12"/>
    <mergeCell ref="B13:C13"/>
    <mergeCell ref="A12:B12"/>
    <mergeCell ref="A24:D24"/>
    <mergeCell ref="A19:D21"/>
    <mergeCell ref="E19:G19"/>
    <mergeCell ref="E21:G21"/>
    <mergeCell ref="A22:F22"/>
    <mergeCell ref="A23:D23"/>
    <mergeCell ref="E20:G20"/>
    <mergeCell ref="A16:D16"/>
    <mergeCell ref="F16:H16"/>
    <mergeCell ref="A17:D17"/>
    <mergeCell ref="F17:H17"/>
    <mergeCell ref="A18:D18"/>
    <mergeCell ref="E18:G18"/>
    <mergeCell ref="A27:H27"/>
    <mergeCell ref="A30:A41"/>
    <mergeCell ref="A15:D15"/>
    <mergeCell ref="E15:H15"/>
    <mergeCell ref="A1:E1"/>
    <mergeCell ref="F1:H2"/>
    <mergeCell ref="A2:E2"/>
    <mergeCell ref="A3:H3"/>
    <mergeCell ref="A14:H14"/>
    <mergeCell ref="A5:H5"/>
    <mergeCell ref="A6:G6"/>
    <mergeCell ref="A7:C7"/>
    <mergeCell ref="E7:G7"/>
    <mergeCell ref="A8:G8"/>
    <mergeCell ref="A9:G9"/>
    <mergeCell ref="A10:G10"/>
  </mergeCells>
  <pageMargins left="0.51181102362204722" right="0.51181102362204722" top="0.78740157480314965" bottom="0.78740157480314965" header="0.31496062992125984" footer="0.31496062992125984"/>
  <pageSetup paperSize="9" scale="56" orientation="portrait" r:id="rId1"/>
  <headerFooter>
    <oddFoote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A1:C164"/>
  <sheetViews>
    <sheetView workbookViewId="0">
      <selection activeCell="A17" sqref="A17"/>
    </sheetView>
  </sheetViews>
  <sheetFormatPr defaultRowHeight="13.2"/>
  <cols>
    <col min="1" max="1" width="64.453125" customWidth="1"/>
    <col min="2" max="2" width="12.26953125" bestFit="1" customWidth="1"/>
    <col min="3" max="3" width="14.7265625" customWidth="1"/>
    <col min="4" max="4" width="9.36328125" bestFit="1" customWidth="1"/>
    <col min="5" max="5" width="69.08984375" customWidth="1"/>
  </cols>
  <sheetData>
    <row r="1" spans="1:3" ht="36.75" customHeight="1">
      <c r="A1" s="818" t="s">
        <v>275</v>
      </c>
      <c r="B1" s="818"/>
      <c r="C1" s="818"/>
    </row>
    <row r="3" spans="1:3">
      <c r="A3" s="29" t="s">
        <v>152</v>
      </c>
      <c r="B3" s="29">
        <v>220</v>
      </c>
    </row>
    <row r="4" spans="1:3">
      <c r="A4" s="29" t="s">
        <v>153</v>
      </c>
      <c r="B4" s="29">
        <v>365.25</v>
      </c>
    </row>
    <row r="5" spans="1:3">
      <c r="A5" s="29" t="s">
        <v>154</v>
      </c>
      <c r="B5" s="88">
        <f>(365.25/12)/(7/7)/2</f>
        <v>15.21875</v>
      </c>
    </row>
    <row r="6" spans="1:3">
      <c r="A6" s="49" t="s">
        <v>33</v>
      </c>
      <c r="B6" s="40">
        <f>+'Servente 12 36 20% Diurno'!D12</f>
        <v>0</v>
      </c>
    </row>
    <row r="7" spans="1:3">
      <c r="A7" s="49" t="s">
        <v>155</v>
      </c>
      <c r="B7" s="40">
        <f>+'Servente 12 36 20% Diurno'!D23</f>
        <v>0</v>
      </c>
    </row>
    <row r="9" spans="1:3">
      <c r="A9" s="765" t="s">
        <v>156</v>
      </c>
      <c r="B9" s="766"/>
      <c r="C9" s="767"/>
    </row>
    <row r="10" spans="1:3">
      <c r="A10" s="29" t="s">
        <v>157</v>
      </c>
      <c r="B10" s="29">
        <f>+$B$4</f>
        <v>365.25</v>
      </c>
      <c r="C10" s="65"/>
    </row>
    <row r="11" spans="1:3">
      <c r="A11" s="29" t="s">
        <v>158</v>
      </c>
      <c r="B11" s="49">
        <v>12</v>
      </c>
      <c r="C11" s="65"/>
    </row>
    <row r="12" spans="1:3">
      <c r="A12" s="29" t="s">
        <v>159</v>
      </c>
      <c r="B12" s="39">
        <v>1</v>
      </c>
      <c r="C12" s="65"/>
    </row>
    <row r="13" spans="1:3">
      <c r="A13" s="49" t="s">
        <v>160</v>
      </c>
      <c r="B13" s="89">
        <f>+B5</f>
        <v>15.21875</v>
      </c>
      <c r="C13" s="65"/>
    </row>
    <row r="14" spans="1:3">
      <c r="A14" s="90" t="s">
        <v>161</v>
      </c>
      <c r="B14" s="91"/>
      <c r="C14" s="65"/>
    </row>
    <row r="15" spans="1:3">
      <c r="A15" s="29" t="s">
        <v>162</v>
      </c>
      <c r="B15" s="39">
        <v>0.06</v>
      </c>
      <c r="C15" s="65"/>
    </row>
    <row r="16" spans="1:3">
      <c r="A16" s="769" t="s">
        <v>163</v>
      </c>
      <c r="B16" s="770"/>
      <c r="C16" s="85">
        <f>ROUND((B13*(B14*2)-($B$6*B15)),2)</f>
        <v>0</v>
      </c>
    </row>
    <row r="18" spans="1:3">
      <c r="A18" s="765" t="s">
        <v>164</v>
      </c>
      <c r="B18" s="766"/>
      <c r="C18" s="767"/>
    </row>
    <row r="19" spans="1:3">
      <c r="A19" s="29" t="s">
        <v>157</v>
      </c>
      <c r="B19" s="29">
        <f>+$B$4</f>
        <v>365.25</v>
      </c>
      <c r="C19" s="65"/>
    </row>
    <row r="20" spans="1:3">
      <c r="A20" s="29" t="s">
        <v>158</v>
      </c>
      <c r="B20" s="49">
        <v>12</v>
      </c>
      <c r="C20" s="65"/>
    </row>
    <row r="21" spans="1:3">
      <c r="A21" s="29" t="s">
        <v>159</v>
      </c>
      <c r="B21" s="39">
        <v>1</v>
      </c>
      <c r="C21" s="65"/>
    </row>
    <row r="22" spans="1:3">
      <c r="A22" s="49" t="s">
        <v>160</v>
      </c>
      <c r="B22" s="89">
        <f>+B5</f>
        <v>15.21875</v>
      </c>
      <c r="C22" s="65"/>
    </row>
    <row r="23" spans="1:3">
      <c r="A23" s="90" t="s">
        <v>165</v>
      </c>
      <c r="B23" s="91"/>
      <c r="C23" s="65"/>
    </row>
    <row r="24" spans="1:3">
      <c r="A24" s="29" t="s">
        <v>166</v>
      </c>
      <c r="B24" s="39">
        <v>0.1</v>
      </c>
      <c r="C24" s="65"/>
    </row>
    <row r="25" spans="1:3">
      <c r="A25" s="769" t="s">
        <v>165</v>
      </c>
      <c r="B25" s="770"/>
      <c r="C25" s="85">
        <f>ROUND((B22*(B23)-((B22*B23)*B24)),2)</f>
        <v>0</v>
      </c>
    </row>
    <row r="27" spans="1:3">
      <c r="A27" s="765" t="s">
        <v>167</v>
      </c>
      <c r="B27" s="766"/>
      <c r="C27" s="767"/>
    </row>
    <row r="28" spans="1:3">
      <c r="A28" s="29" t="s">
        <v>168</v>
      </c>
      <c r="B28" s="40">
        <f>+B7</f>
        <v>0</v>
      </c>
      <c r="C28" s="65"/>
    </row>
    <row r="29" spans="1:3">
      <c r="A29" s="29" t="s">
        <v>169</v>
      </c>
      <c r="B29" s="29">
        <v>12</v>
      </c>
      <c r="C29" s="65"/>
    </row>
    <row r="30" spans="1:3">
      <c r="A30" s="92" t="s">
        <v>170</v>
      </c>
      <c r="B30" s="93"/>
      <c r="C30" s="65"/>
    </row>
    <row r="31" spans="1:3">
      <c r="A31" s="769" t="s">
        <v>171</v>
      </c>
      <c r="B31" s="770"/>
      <c r="C31" s="85">
        <f>ROUND(+(B28/B29)*B30,2)</f>
        <v>0</v>
      </c>
    </row>
    <row r="33" spans="1:3">
      <c r="A33" s="771" t="s">
        <v>172</v>
      </c>
      <c r="B33" s="772"/>
      <c r="C33" s="773"/>
    </row>
    <row r="34" spans="1:3" s="51" customFormat="1">
      <c r="A34" s="94" t="s">
        <v>173</v>
      </c>
      <c r="B34" s="93">
        <f>+B30</f>
        <v>0</v>
      </c>
      <c r="C34" s="65"/>
    </row>
    <row r="35" spans="1:3">
      <c r="A35" s="29" t="s">
        <v>174</v>
      </c>
      <c r="B35" s="40">
        <f>+'Servente 12 36 20% Diurno'!$D$23</f>
        <v>0</v>
      </c>
      <c r="C35" s="65"/>
    </row>
    <row r="36" spans="1:3">
      <c r="A36" s="29" t="s">
        <v>55</v>
      </c>
      <c r="B36" s="40">
        <f>+'Servente 12 36 20% Diurno'!$D$29</f>
        <v>0</v>
      </c>
      <c r="C36" s="65"/>
    </row>
    <row r="37" spans="1:3">
      <c r="A37" s="95" t="s">
        <v>58</v>
      </c>
      <c r="B37" s="40">
        <f>+'Servente 12 36 20% Diurno'!$D$31</f>
        <v>0</v>
      </c>
      <c r="C37" s="65"/>
    </row>
    <row r="38" spans="1:3">
      <c r="A38" s="95" t="s">
        <v>60</v>
      </c>
      <c r="B38" s="40">
        <f>+'Servente 12 36 20% Diurno'!$D$32</f>
        <v>0</v>
      </c>
      <c r="C38" s="65"/>
    </row>
    <row r="39" spans="1:3">
      <c r="A39" s="96" t="s">
        <v>175</v>
      </c>
      <c r="B39" s="97">
        <f>SUM(B35:B38)</f>
        <v>0</v>
      </c>
      <c r="C39" s="65"/>
    </row>
    <row r="40" spans="1:3">
      <c r="A40" s="60" t="s">
        <v>176</v>
      </c>
      <c r="B40" s="39">
        <v>0.4</v>
      </c>
      <c r="C40" s="65"/>
    </row>
    <row r="41" spans="1:3">
      <c r="A41" s="60" t="s">
        <v>177</v>
      </c>
      <c r="B41" s="39">
        <f>+'Servente 12 36 20% Diurno'!$C$44</f>
        <v>0.08</v>
      </c>
      <c r="C41" s="65"/>
    </row>
    <row r="42" spans="1:3">
      <c r="A42" s="752" t="s">
        <v>178</v>
      </c>
      <c r="B42" s="753"/>
      <c r="C42" s="75">
        <f>ROUND(+B39*B40*B41*B34,2)</f>
        <v>0</v>
      </c>
    </row>
    <row r="43" spans="1:3">
      <c r="A43" s="60" t="s">
        <v>179</v>
      </c>
      <c r="B43" s="39"/>
      <c r="C43" s="65"/>
    </row>
    <row r="44" spans="1:3">
      <c r="A44" s="752" t="s">
        <v>180</v>
      </c>
      <c r="B44" s="753"/>
      <c r="C44" s="98">
        <f>ROUND(B43*B41*B39*B34,2)</f>
        <v>0</v>
      </c>
    </row>
    <row r="45" spans="1:3">
      <c r="A45" s="769" t="s">
        <v>181</v>
      </c>
      <c r="B45" s="770"/>
      <c r="C45" s="77">
        <f>+C44+C42</f>
        <v>0</v>
      </c>
    </row>
    <row r="47" spans="1:3">
      <c r="A47" s="765" t="s">
        <v>182</v>
      </c>
      <c r="B47" s="766"/>
      <c r="C47" s="767"/>
    </row>
    <row r="48" spans="1:3">
      <c r="A48" s="29" t="s">
        <v>168</v>
      </c>
      <c r="B48" s="40">
        <f>+B7</f>
        <v>0</v>
      </c>
      <c r="C48" s="65"/>
    </row>
    <row r="49" spans="1:3">
      <c r="A49" s="29" t="s">
        <v>183</v>
      </c>
      <c r="B49" s="99">
        <v>30</v>
      </c>
      <c r="C49" s="65"/>
    </row>
    <row r="50" spans="1:3">
      <c r="A50" s="29" t="s">
        <v>169</v>
      </c>
      <c r="B50" s="29">
        <v>12</v>
      </c>
      <c r="C50" s="65"/>
    </row>
    <row r="51" spans="1:3">
      <c r="A51" s="29" t="s">
        <v>184</v>
      </c>
      <c r="B51" s="29">
        <v>7</v>
      </c>
      <c r="C51" s="65"/>
    </row>
    <row r="52" spans="1:3">
      <c r="A52" s="92" t="s">
        <v>185</v>
      </c>
      <c r="B52" s="93"/>
      <c r="C52" s="65"/>
    </row>
    <row r="53" spans="1:3">
      <c r="A53" s="769" t="s">
        <v>186</v>
      </c>
      <c r="B53" s="770"/>
      <c r="C53" s="85">
        <f>+ROUND(((B48/B49/B50)*B51)*B52,2)</f>
        <v>0</v>
      </c>
    </row>
    <row r="55" spans="1:3">
      <c r="A55" s="771" t="s">
        <v>187</v>
      </c>
      <c r="B55" s="772"/>
      <c r="C55" s="773"/>
    </row>
    <row r="56" spans="1:3">
      <c r="A56" s="100" t="s">
        <v>188</v>
      </c>
      <c r="B56" s="93">
        <f>+B52</f>
        <v>0</v>
      </c>
      <c r="C56" s="65"/>
    </row>
    <row r="57" spans="1:3">
      <c r="A57" s="29" t="s">
        <v>174</v>
      </c>
      <c r="B57" s="40">
        <f>+'Servente 12 36 20% Diurno'!$D$23</f>
        <v>0</v>
      </c>
      <c r="C57" s="65"/>
    </row>
    <row r="58" spans="1:3">
      <c r="A58" s="29" t="s">
        <v>55</v>
      </c>
      <c r="B58" s="40">
        <f>+'Servente 12 36 20% Diurno'!$D$29</f>
        <v>0</v>
      </c>
      <c r="C58" s="65"/>
    </row>
    <row r="59" spans="1:3">
      <c r="A59" s="95" t="s">
        <v>58</v>
      </c>
      <c r="B59" s="40">
        <f>+'Servente 12 36 20% Diurno'!$D$31</f>
        <v>0</v>
      </c>
      <c r="C59" s="65"/>
    </row>
    <row r="60" spans="1:3">
      <c r="A60" s="95" t="s">
        <v>60</v>
      </c>
      <c r="B60" s="40">
        <f>+'Servente 12 36 20% Diurno'!$D$32</f>
        <v>0</v>
      </c>
      <c r="C60" s="65"/>
    </row>
    <row r="61" spans="1:3">
      <c r="A61" s="96" t="s">
        <v>175</v>
      </c>
      <c r="B61" s="97">
        <f>SUM(B57:B60)</f>
        <v>0</v>
      </c>
      <c r="C61" s="65"/>
    </row>
    <row r="62" spans="1:3">
      <c r="A62" s="60" t="s">
        <v>176</v>
      </c>
      <c r="B62" s="39">
        <v>0.4</v>
      </c>
      <c r="C62" s="65"/>
    </row>
    <row r="63" spans="1:3">
      <c r="A63" s="60" t="s">
        <v>177</v>
      </c>
      <c r="B63" s="39">
        <f>+'Servente 12 36 20% Diurno'!$C$44</f>
        <v>0.08</v>
      </c>
      <c r="C63" s="65"/>
    </row>
    <row r="64" spans="1:3">
      <c r="A64" s="752" t="s">
        <v>178</v>
      </c>
      <c r="B64" s="753"/>
      <c r="C64" s="75">
        <f>ROUND(+B61*B62*B63*B56,2)</f>
        <v>0</v>
      </c>
    </row>
    <row r="65" spans="1:3">
      <c r="A65" s="60" t="s">
        <v>179</v>
      </c>
      <c r="B65" s="39"/>
      <c r="C65" s="65"/>
    </row>
    <row r="66" spans="1:3">
      <c r="A66" s="752" t="s">
        <v>180</v>
      </c>
      <c r="B66" s="753"/>
      <c r="C66" s="98">
        <f>ROUND(B65*B63*B61*B56,2)</f>
        <v>0</v>
      </c>
    </row>
    <row r="67" spans="1:3">
      <c r="A67" s="769" t="s">
        <v>189</v>
      </c>
      <c r="B67" s="770"/>
      <c r="C67" s="77">
        <f>+C66+C64</f>
        <v>0</v>
      </c>
    </row>
    <row r="69" spans="1:3">
      <c r="A69" s="771" t="s">
        <v>190</v>
      </c>
      <c r="B69" s="772"/>
      <c r="C69" s="773"/>
    </row>
    <row r="70" spans="1:3">
      <c r="A70" s="774" t="s">
        <v>191</v>
      </c>
      <c r="B70" s="775"/>
      <c r="C70" s="776"/>
    </row>
    <row r="71" spans="1:3">
      <c r="A71" s="777"/>
      <c r="B71" s="778"/>
      <c r="C71" s="779"/>
    </row>
    <row r="72" spans="1:3">
      <c r="A72" s="777"/>
      <c r="B72" s="778"/>
      <c r="C72" s="779"/>
    </row>
    <row r="73" spans="1:3">
      <c r="A73" s="780"/>
      <c r="B73" s="781"/>
      <c r="C73" s="782"/>
    </row>
    <row r="74" spans="1:3">
      <c r="A74" s="101"/>
      <c r="B74" s="101"/>
      <c r="C74" s="101"/>
    </row>
    <row r="75" spans="1:3">
      <c r="A75" s="771" t="s">
        <v>192</v>
      </c>
      <c r="B75" s="772"/>
      <c r="C75" s="773"/>
    </row>
    <row r="76" spans="1:3">
      <c r="A76" s="29" t="s">
        <v>193</v>
      </c>
      <c r="B76" s="40">
        <f>+$B$7</f>
        <v>0</v>
      </c>
      <c r="C76" s="65"/>
    </row>
    <row r="77" spans="1:3">
      <c r="A77" s="29" t="s">
        <v>158</v>
      </c>
      <c r="B77" s="29">
        <v>30</v>
      </c>
      <c r="C77" s="65"/>
    </row>
    <row r="78" spans="1:3">
      <c r="A78" s="29" t="s">
        <v>194</v>
      </c>
      <c r="B78" s="29">
        <v>12</v>
      </c>
      <c r="C78" s="65"/>
    </row>
    <row r="79" spans="1:3">
      <c r="A79" s="92" t="s">
        <v>195</v>
      </c>
      <c r="B79" s="92"/>
      <c r="C79" s="65"/>
    </row>
    <row r="80" spans="1:3">
      <c r="A80" s="769" t="s">
        <v>196</v>
      </c>
      <c r="B80" s="770"/>
      <c r="C80" s="58">
        <f>+ROUND((B76/B77/B78)*B79,2)</f>
        <v>0</v>
      </c>
    </row>
    <row r="82" spans="1:3">
      <c r="A82" s="771" t="s">
        <v>197</v>
      </c>
      <c r="B82" s="772"/>
      <c r="C82" s="773"/>
    </row>
    <row r="83" spans="1:3">
      <c r="A83" s="29" t="s">
        <v>193</v>
      </c>
      <c r="B83" s="40">
        <f>+$B$7</f>
        <v>0</v>
      </c>
      <c r="C83" s="65"/>
    </row>
    <row r="84" spans="1:3">
      <c r="A84" s="29" t="s">
        <v>158</v>
      </c>
      <c r="B84" s="29">
        <v>30</v>
      </c>
      <c r="C84" s="65"/>
    </row>
    <row r="85" spans="1:3">
      <c r="A85" s="29" t="s">
        <v>194</v>
      </c>
      <c r="B85" s="29">
        <v>12</v>
      </c>
      <c r="C85" s="65"/>
    </row>
    <row r="86" spans="1:3">
      <c r="A86" s="49" t="s">
        <v>198</v>
      </c>
      <c r="B86" s="29">
        <v>5</v>
      </c>
      <c r="C86" s="65"/>
    </row>
    <row r="87" spans="1:3">
      <c r="A87" s="92" t="s">
        <v>199</v>
      </c>
      <c r="B87" s="93"/>
      <c r="C87" s="65"/>
    </row>
    <row r="88" spans="1:3">
      <c r="A88" s="92" t="s">
        <v>200</v>
      </c>
      <c r="B88" s="93"/>
      <c r="C88" s="65"/>
    </row>
    <row r="89" spans="1:3">
      <c r="A89" s="769" t="s">
        <v>201</v>
      </c>
      <c r="B89" s="770"/>
      <c r="C89" s="85">
        <f>ROUND(+B83/B84/B85*B86*B87*B88,2)</f>
        <v>0</v>
      </c>
    </row>
    <row r="91" spans="1:3">
      <c r="A91" s="771" t="s">
        <v>202</v>
      </c>
      <c r="B91" s="772"/>
      <c r="C91" s="773"/>
    </row>
    <row r="92" spans="1:3">
      <c r="A92" s="29" t="s">
        <v>193</v>
      </c>
      <c r="B92" s="40">
        <f>+$B$7</f>
        <v>0</v>
      </c>
      <c r="C92" s="65"/>
    </row>
    <row r="93" spans="1:3">
      <c r="A93" s="29" t="s">
        <v>158</v>
      </c>
      <c r="B93" s="29">
        <v>30</v>
      </c>
      <c r="C93" s="65"/>
    </row>
    <row r="94" spans="1:3">
      <c r="A94" s="29" t="s">
        <v>194</v>
      </c>
      <c r="B94" s="29">
        <v>12</v>
      </c>
      <c r="C94" s="65"/>
    </row>
    <row r="95" spans="1:3">
      <c r="A95" s="49" t="s">
        <v>203</v>
      </c>
      <c r="B95" s="29">
        <v>15</v>
      </c>
      <c r="C95" s="65"/>
    </row>
    <row r="96" spans="1:3">
      <c r="A96" s="92" t="s">
        <v>204</v>
      </c>
      <c r="B96" s="93"/>
      <c r="C96" s="65"/>
    </row>
    <row r="97" spans="1:3">
      <c r="A97" s="769" t="s">
        <v>205</v>
      </c>
      <c r="B97" s="770"/>
      <c r="C97" s="85">
        <f>ROUND(+B92/B93/B94*B95*B96,2)</f>
        <v>0</v>
      </c>
    </row>
    <row r="99" spans="1:3">
      <c r="A99" s="771" t="s">
        <v>206</v>
      </c>
      <c r="B99" s="772"/>
      <c r="C99" s="773"/>
    </row>
    <row r="100" spans="1:3">
      <c r="A100" s="29" t="s">
        <v>193</v>
      </c>
      <c r="B100" s="40">
        <f>+$B$7</f>
        <v>0</v>
      </c>
      <c r="C100" s="65"/>
    </row>
    <row r="101" spans="1:3">
      <c r="A101" s="29" t="s">
        <v>158</v>
      </c>
      <c r="B101" s="29">
        <v>30</v>
      </c>
      <c r="C101" s="65"/>
    </row>
    <row r="102" spans="1:3">
      <c r="A102" s="29" t="s">
        <v>194</v>
      </c>
      <c r="B102" s="29">
        <v>12</v>
      </c>
      <c r="C102" s="65"/>
    </row>
    <row r="103" spans="1:3">
      <c r="A103" s="49" t="s">
        <v>203</v>
      </c>
      <c r="B103" s="29">
        <v>5</v>
      </c>
      <c r="C103" s="65"/>
    </row>
    <row r="104" spans="1:3">
      <c r="A104" s="92" t="s">
        <v>207</v>
      </c>
      <c r="B104" s="93"/>
      <c r="C104" s="65"/>
    </row>
    <row r="105" spans="1:3">
      <c r="A105" s="769" t="s">
        <v>208</v>
      </c>
      <c r="B105" s="770"/>
      <c r="C105" s="85">
        <f>ROUND(+B100/B101/B102*B103*B104,2)</f>
        <v>0</v>
      </c>
    </row>
    <row r="107" spans="1:3">
      <c r="A107" s="771" t="s">
        <v>209</v>
      </c>
      <c r="B107" s="772"/>
      <c r="C107" s="773"/>
    </row>
    <row r="108" spans="1:3">
      <c r="A108" s="783" t="s">
        <v>210</v>
      </c>
      <c r="B108" s="784"/>
      <c r="C108" s="785"/>
    </row>
    <row r="109" spans="1:3">
      <c r="A109" s="29" t="s">
        <v>193</v>
      </c>
      <c r="B109" s="40">
        <f>+$B$7</f>
        <v>0</v>
      </c>
      <c r="C109" s="65"/>
    </row>
    <row r="110" spans="1:3">
      <c r="A110" s="29" t="s">
        <v>211</v>
      </c>
      <c r="B110" s="40">
        <f>+B109*(1/3)</f>
        <v>0</v>
      </c>
      <c r="C110" s="65"/>
    </row>
    <row r="111" spans="1:3">
      <c r="A111" s="96" t="s">
        <v>175</v>
      </c>
      <c r="B111" s="97">
        <f>SUM(B109:B110)</f>
        <v>0</v>
      </c>
      <c r="C111" s="65"/>
    </row>
    <row r="112" spans="1:3">
      <c r="A112" s="29" t="s">
        <v>212</v>
      </c>
      <c r="B112" s="29">
        <v>4</v>
      </c>
      <c r="C112" s="65"/>
    </row>
    <row r="113" spans="1:3">
      <c r="A113" s="29" t="s">
        <v>194</v>
      </c>
      <c r="B113" s="29">
        <v>12</v>
      </c>
      <c r="C113" s="65"/>
    </row>
    <row r="114" spans="1:3">
      <c r="A114" s="92" t="s">
        <v>213</v>
      </c>
      <c r="B114" s="93"/>
      <c r="C114" s="65"/>
    </row>
    <row r="115" spans="1:3">
      <c r="A115" s="92" t="s">
        <v>214</v>
      </c>
      <c r="B115" s="93"/>
      <c r="C115" s="65"/>
    </row>
    <row r="116" spans="1:3">
      <c r="A116" s="769" t="s">
        <v>215</v>
      </c>
      <c r="B116" s="770"/>
      <c r="C116" s="85">
        <f>ROUND((((+B111*(B112/B113)/B113)*B114)*B115),2)</f>
        <v>0</v>
      </c>
    </row>
    <row r="117" spans="1:3">
      <c r="A117" s="769" t="s">
        <v>216</v>
      </c>
      <c r="B117" s="786"/>
      <c r="C117" s="770"/>
    </row>
    <row r="118" spans="1:3">
      <c r="A118" s="29" t="s">
        <v>193</v>
      </c>
      <c r="B118" s="40">
        <f>+'Servente 12 36 20% Diurno'!D23</f>
        <v>0</v>
      </c>
      <c r="C118" s="65"/>
    </row>
    <row r="119" spans="1:3">
      <c r="A119" s="29" t="s">
        <v>55</v>
      </c>
      <c r="B119" s="40">
        <f>+'Servente 12 36 20% Diurno'!D29</f>
        <v>0</v>
      </c>
      <c r="C119" s="65"/>
    </row>
    <row r="120" spans="1:3">
      <c r="A120" s="96" t="s">
        <v>175</v>
      </c>
      <c r="B120" s="97">
        <f>SUM(B118:B119)</f>
        <v>0</v>
      </c>
      <c r="C120" s="65"/>
    </row>
    <row r="121" spans="1:3">
      <c r="A121" s="29" t="s">
        <v>212</v>
      </c>
      <c r="B121" s="29">
        <v>4</v>
      </c>
      <c r="C121" s="65"/>
    </row>
    <row r="122" spans="1:3">
      <c r="A122" s="29" t="s">
        <v>194</v>
      </c>
      <c r="B122" s="29">
        <v>12</v>
      </c>
      <c r="C122" s="65"/>
    </row>
    <row r="123" spans="1:3">
      <c r="A123" s="92" t="s">
        <v>213</v>
      </c>
      <c r="B123" s="93">
        <f>+B114</f>
        <v>0</v>
      </c>
      <c r="C123" s="65"/>
    </row>
    <row r="124" spans="1:3">
      <c r="A124" s="92" t="s">
        <v>214</v>
      </c>
      <c r="B124" s="93">
        <f>+B115</f>
        <v>0</v>
      </c>
      <c r="C124" s="65"/>
    </row>
    <row r="125" spans="1:3">
      <c r="A125" s="49" t="s">
        <v>217</v>
      </c>
      <c r="B125" s="39">
        <f>+'Servente 12 36 20% Diurno'!C45</f>
        <v>0.36800000000000005</v>
      </c>
      <c r="C125" s="65"/>
    </row>
    <row r="126" spans="1:3">
      <c r="A126" s="769" t="s">
        <v>218</v>
      </c>
      <c r="B126" s="770"/>
      <c r="C126" s="77">
        <f>ROUND((((B120*(B121/B122)*B123)*B124)*B125),2)</f>
        <v>0</v>
      </c>
    </row>
    <row r="128" spans="1:3" ht="30.75" customHeight="1">
      <c r="A128" s="787" t="s">
        <v>219</v>
      </c>
      <c r="B128" s="787"/>
      <c r="C128" s="787"/>
    </row>
    <row r="130" spans="1:3">
      <c r="A130" s="788" t="s">
        <v>220</v>
      </c>
      <c r="B130" s="788"/>
      <c r="C130" s="788"/>
    </row>
    <row r="131" spans="1:3">
      <c r="A131" s="29" t="s">
        <v>157</v>
      </c>
      <c r="B131" s="29">
        <v>365.25</v>
      </c>
      <c r="C131" s="65"/>
    </row>
    <row r="132" spans="1:3">
      <c r="A132" s="29" t="s">
        <v>158</v>
      </c>
      <c r="B132" s="49">
        <v>12</v>
      </c>
      <c r="C132" s="65"/>
    </row>
    <row r="133" spans="1:3">
      <c r="A133" s="29" t="s">
        <v>159</v>
      </c>
      <c r="B133" s="39">
        <v>0.5</v>
      </c>
      <c r="C133" s="65"/>
    </row>
    <row r="134" spans="1:3">
      <c r="A134" s="102" t="s">
        <v>221</v>
      </c>
      <c r="B134" s="49">
        <v>7</v>
      </c>
      <c r="C134" s="65"/>
    </row>
    <row r="135" spans="1:3">
      <c r="A135" s="49" t="s">
        <v>222</v>
      </c>
      <c r="B135" s="65"/>
      <c r="C135" s="40">
        <f>+'Servente 12 36 20% Diurno'!$D$12</f>
        <v>0</v>
      </c>
    </row>
    <row r="136" spans="1:3">
      <c r="A136" s="49" t="s">
        <v>34</v>
      </c>
      <c r="B136" s="65"/>
      <c r="C136" s="40">
        <f>+'Servente 12 36 20% Diurno'!$D$13</f>
        <v>0</v>
      </c>
    </row>
    <row r="137" spans="1:3">
      <c r="A137" s="49" t="s">
        <v>35</v>
      </c>
      <c r="B137" s="65"/>
      <c r="C137" s="40">
        <f>+'Servente 12 36 20% Diurno'!$D$14</f>
        <v>0</v>
      </c>
    </row>
    <row r="138" spans="1:3">
      <c r="A138" s="96" t="s">
        <v>223</v>
      </c>
      <c r="B138" s="65"/>
      <c r="C138" s="97">
        <f>SUM(C135:C137)</f>
        <v>0</v>
      </c>
    </row>
    <row r="139" spans="1:3">
      <c r="A139" s="29" t="s">
        <v>152</v>
      </c>
      <c r="B139" s="103">
        <f>+B3</f>
        <v>220</v>
      </c>
      <c r="C139" s="65"/>
    </row>
    <row r="140" spans="1:3">
      <c r="A140" s="49" t="s">
        <v>224</v>
      </c>
      <c r="B140" s="39">
        <v>0.2</v>
      </c>
      <c r="C140" s="65"/>
    </row>
    <row r="141" spans="1:3">
      <c r="A141" s="49" t="s">
        <v>225</v>
      </c>
      <c r="B141" s="65"/>
      <c r="C141" s="104">
        <f>ROUND((C138/B139)*B140,2)</f>
        <v>0</v>
      </c>
    </row>
    <row r="142" spans="1:3">
      <c r="A142" s="49" t="s">
        <v>226</v>
      </c>
      <c r="B142" s="29">
        <f>ROUND(+B131/B132*B133*B134,0)</f>
        <v>107</v>
      </c>
      <c r="C142" s="105"/>
    </row>
    <row r="143" spans="1:3">
      <c r="A143" s="789" t="s">
        <v>227</v>
      </c>
      <c r="B143" s="789"/>
      <c r="C143" s="68">
        <f>ROUND(+B142*C141,2)</f>
        <v>0</v>
      </c>
    </row>
    <row r="145" spans="1:3">
      <c r="A145" s="788" t="s">
        <v>228</v>
      </c>
      <c r="B145" s="788"/>
      <c r="C145" s="788"/>
    </row>
    <row r="146" spans="1:3">
      <c r="A146" s="29" t="s">
        <v>157</v>
      </c>
      <c r="B146" s="29">
        <f>+$B$4</f>
        <v>365.25</v>
      </c>
      <c r="C146" s="65"/>
    </row>
    <row r="147" spans="1:3">
      <c r="A147" s="29" t="s">
        <v>158</v>
      </c>
      <c r="B147" s="49">
        <v>12</v>
      </c>
      <c r="C147" s="65"/>
    </row>
    <row r="148" spans="1:3">
      <c r="A148" s="29" t="s">
        <v>159</v>
      </c>
      <c r="B148" s="39">
        <v>0.5</v>
      </c>
      <c r="C148" s="65"/>
    </row>
    <row r="149" spans="1:3">
      <c r="A149" s="102" t="s">
        <v>221</v>
      </c>
      <c r="B149" s="49">
        <v>7</v>
      </c>
      <c r="C149" s="65"/>
    </row>
    <row r="150" spans="1:3">
      <c r="A150" s="49" t="s">
        <v>229</v>
      </c>
      <c r="B150" s="88">
        <f>(365.25/12/2)/(7/7)</f>
        <v>15.21875</v>
      </c>
      <c r="C150" s="29"/>
    </row>
    <row r="151" spans="1:3">
      <c r="A151" s="49" t="s">
        <v>230</v>
      </c>
      <c r="B151" s="29">
        <f>ROUND(+B150*B149,2)</f>
        <v>106.53</v>
      </c>
      <c r="C151" s="29"/>
    </row>
    <row r="152" spans="1:3">
      <c r="A152" s="49" t="s">
        <v>222</v>
      </c>
      <c r="B152" s="65"/>
      <c r="C152" s="40">
        <f>+'Servente 12 36 20% Diurno'!$D$12</f>
        <v>0</v>
      </c>
    </row>
    <row r="153" spans="1:3">
      <c r="A153" s="49" t="s">
        <v>34</v>
      </c>
      <c r="B153" s="65"/>
      <c r="C153" s="40">
        <f>+'Servente 12 36 20% Diurno'!$D$13</f>
        <v>0</v>
      </c>
    </row>
    <row r="154" spans="1:3">
      <c r="A154" s="49" t="s">
        <v>35</v>
      </c>
      <c r="B154" s="65"/>
      <c r="C154" s="40">
        <f>+'Servente 12 36 20% Diurno'!$D$14</f>
        <v>0</v>
      </c>
    </row>
    <row r="155" spans="1:3">
      <c r="A155" s="96" t="s">
        <v>223</v>
      </c>
      <c r="B155" s="65"/>
      <c r="C155" s="97">
        <f>SUM(C152:C154)</f>
        <v>0</v>
      </c>
    </row>
    <row r="156" spans="1:3">
      <c r="A156" s="29" t="s">
        <v>152</v>
      </c>
      <c r="B156" s="103">
        <f>+B3</f>
        <v>220</v>
      </c>
      <c r="C156" s="65"/>
    </row>
    <row r="157" spans="1:3">
      <c r="A157" s="49" t="s">
        <v>224</v>
      </c>
      <c r="B157" s="39">
        <v>0.2</v>
      </c>
      <c r="C157" s="65"/>
    </row>
    <row r="158" spans="1:3">
      <c r="A158" s="49" t="s">
        <v>225</v>
      </c>
      <c r="B158" s="65"/>
      <c r="C158" s="104">
        <f>ROUND((C155/B156)*B157,2)</f>
        <v>0</v>
      </c>
    </row>
    <row r="159" spans="1:3">
      <c r="A159" s="49" t="s">
        <v>231</v>
      </c>
      <c r="B159" s="29">
        <v>60</v>
      </c>
      <c r="C159" s="65"/>
    </row>
    <row r="160" spans="1:3">
      <c r="A160" s="49" t="s">
        <v>232</v>
      </c>
      <c r="B160" s="29">
        <v>52.5</v>
      </c>
      <c r="C160" s="65"/>
    </row>
    <row r="161" spans="1:3">
      <c r="A161" s="49" t="s">
        <v>233</v>
      </c>
      <c r="B161" s="29">
        <f>+B159/B160</f>
        <v>1.1428571428571428</v>
      </c>
      <c r="C161" s="65"/>
    </row>
    <row r="162" spans="1:3">
      <c r="A162" s="49" t="s">
        <v>234</v>
      </c>
      <c r="B162" s="29">
        <f>ROUND(+B161*B151,2)</f>
        <v>121.75</v>
      </c>
      <c r="C162" s="65"/>
    </row>
    <row r="163" spans="1:3">
      <c r="A163" s="49" t="s">
        <v>235</v>
      </c>
      <c r="B163" s="29">
        <f>ROUND(B162-B151,2)</f>
        <v>15.22</v>
      </c>
      <c r="C163" s="105"/>
    </row>
    <row r="164" spans="1:3">
      <c r="A164" s="754" t="s">
        <v>236</v>
      </c>
      <c r="B164" s="754"/>
      <c r="C164" s="77">
        <f>+B163*C158</f>
        <v>0</v>
      </c>
    </row>
  </sheetData>
  <mergeCells count="37">
    <mergeCell ref="A27:C27"/>
    <mergeCell ref="A1:C1"/>
    <mergeCell ref="A9:C9"/>
    <mergeCell ref="A16:B16"/>
    <mergeCell ref="A18:C18"/>
    <mergeCell ref="A25:B25"/>
    <mergeCell ref="A69:C69"/>
    <mergeCell ref="A31:B31"/>
    <mergeCell ref="A33:C33"/>
    <mergeCell ref="A42:B42"/>
    <mergeCell ref="A44:B44"/>
    <mergeCell ref="A45:B45"/>
    <mergeCell ref="A47:C47"/>
    <mergeCell ref="A53:B53"/>
    <mergeCell ref="A55:C55"/>
    <mergeCell ref="A64:B64"/>
    <mergeCell ref="A66:B66"/>
    <mergeCell ref="A67:B67"/>
    <mergeCell ref="A116:B116"/>
    <mergeCell ref="A70:C73"/>
    <mergeCell ref="A75:C75"/>
    <mergeCell ref="A80:B80"/>
    <mergeCell ref="A82:C82"/>
    <mergeCell ref="A89:B89"/>
    <mergeCell ref="A91:C91"/>
    <mergeCell ref="A97:B97"/>
    <mergeCell ref="A99:C99"/>
    <mergeCell ref="A105:B105"/>
    <mergeCell ref="A107:C107"/>
    <mergeCell ref="A108:C108"/>
    <mergeCell ref="A164:B164"/>
    <mergeCell ref="A117:C117"/>
    <mergeCell ref="A126:B126"/>
    <mergeCell ref="A128:C128"/>
    <mergeCell ref="A130:C130"/>
    <mergeCell ref="A143:B143"/>
    <mergeCell ref="A145:C145"/>
  </mergeCells>
  <pageMargins left="1.1399999999999999" right="0.16" top="0.37" bottom="0.53" header="0.31496062992125984" footer="0.31496062992125984"/>
  <pageSetup paperSize="9" scale="85" orientation="portrait" r:id="rId1"/>
  <headerFooter>
    <oddFoote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G168"/>
  <sheetViews>
    <sheetView topLeftCell="A149" workbookViewId="0">
      <selection activeCell="B176" sqref="B176"/>
    </sheetView>
  </sheetViews>
  <sheetFormatPr defaultRowHeight="13.2"/>
  <cols>
    <col min="1" max="1" width="5.6328125" customWidth="1"/>
    <col min="2" max="2" width="50.453125" customWidth="1"/>
    <col min="3" max="3" width="9.36328125" bestFit="1" customWidth="1"/>
    <col min="4" max="4" width="15.6328125" customWidth="1"/>
    <col min="5" max="5" width="11.7265625" bestFit="1" customWidth="1"/>
  </cols>
  <sheetData>
    <row r="1" spans="1:6">
      <c r="A1" s="718" t="s">
        <v>22</v>
      </c>
      <c r="B1" s="719"/>
      <c r="C1" s="719"/>
      <c r="D1" s="720"/>
      <c r="E1" s="6"/>
      <c r="F1" s="6"/>
    </row>
    <row r="3" spans="1:6">
      <c r="A3" s="721" t="s">
        <v>23</v>
      </c>
      <c r="B3" s="722"/>
      <c r="C3" s="722"/>
      <c r="D3" s="723"/>
    </row>
    <row r="4" spans="1:6" s="9" customFormat="1">
      <c r="A4" s="153">
        <v>1</v>
      </c>
      <c r="B4" s="154" t="s">
        <v>24</v>
      </c>
      <c r="C4" s="819" t="s">
        <v>273</v>
      </c>
      <c r="D4" s="820"/>
    </row>
    <row r="5" spans="1:6" s="9" customFormat="1">
      <c r="A5" s="153">
        <v>2</v>
      </c>
      <c r="B5" s="154" t="s">
        <v>25</v>
      </c>
      <c r="C5" s="821" t="s">
        <v>270</v>
      </c>
      <c r="D5" s="822"/>
    </row>
    <row r="6" spans="1:6" s="9" customFormat="1">
      <c r="A6" s="153">
        <v>3</v>
      </c>
      <c r="B6" s="154" t="s">
        <v>26</v>
      </c>
      <c r="C6" s="823">
        <f>+Resumo!H19</f>
        <v>0</v>
      </c>
      <c r="D6" s="823"/>
    </row>
    <row r="7" spans="1:6" s="9" customFormat="1">
      <c r="A7" s="153">
        <v>4</v>
      </c>
      <c r="B7" s="154" t="s">
        <v>27</v>
      </c>
      <c r="C7" s="824" t="s">
        <v>256</v>
      </c>
      <c r="D7" s="825"/>
    </row>
    <row r="8" spans="1:6" s="9" customFormat="1">
      <c r="A8" s="153">
        <v>5</v>
      </c>
      <c r="B8" s="154" t="s">
        <v>28</v>
      </c>
      <c r="C8" s="826">
        <v>43524</v>
      </c>
      <c r="D8" s="822"/>
    </row>
    <row r="9" spans="1:6">
      <c r="D9" s="10"/>
    </row>
    <row r="10" spans="1:6">
      <c r="A10" s="732" t="s">
        <v>29</v>
      </c>
      <c r="B10" s="733"/>
      <c r="C10" s="733"/>
      <c r="D10" s="733"/>
    </row>
    <row r="11" spans="1:6">
      <c r="A11" s="11">
        <v>1</v>
      </c>
      <c r="B11" s="12" t="s">
        <v>30</v>
      </c>
      <c r="C11" s="13" t="s">
        <v>31</v>
      </c>
      <c r="D11" s="14" t="s">
        <v>32</v>
      </c>
    </row>
    <row r="12" spans="1:6">
      <c r="A12" s="110" t="s">
        <v>4</v>
      </c>
      <c r="B12" s="734" t="s">
        <v>33</v>
      </c>
      <c r="C12" s="734"/>
      <c r="D12" s="17">
        <f>+C6</f>
        <v>0</v>
      </c>
    </row>
    <row r="13" spans="1:6">
      <c r="A13" s="110" t="s">
        <v>6</v>
      </c>
      <c r="B13" s="18" t="s">
        <v>34</v>
      </c>
      <c r="C13" s="19"/>
      <c r="D13" s="17"/>
      <c r="E13" s="20"/>
    </row>
    <row r="14" spans="1:6">
      <c r="A14" s="153" t="s">
        <v>9</v>
      </c>
      <c r="B14" s="155" t="s">
        <v>35</v>
      </c>
      <c r="C14" s="156">
        <v>0.4</v>
      </c>
      <c r="D14" s="157">
        <f>+C14*D12</f>
        <v>0</v>
      </c>
    </row>
    <row r="15" spans="1:6">
      <c r="A15" s="110" t="s">
        <v>11</v>
      </c>
      <c r="B15" s="734" t="s">
        <v>36</v>
      </c>
      <c r="C15" s="734"/>
      <c r="D15" s="17"/>
    </row>
    <row r="16" spans="1:6">
      <c r="A16" s="110" t="s">
        <v>37</v>
      </c>
      <c r="B16" s="734" t="s">
        <v>38</v>
      </c>
      <c r="C16" s="734"/>
      <c r="D16" s="17"/>
    </row>
    <row r="17" spans="1:6">
      <c r="A17" s="110" t="s">
        <v>39</v>
      </c>
      <c r="B17" s="716" t="s">
        <v>40</v>
      </c>
      <c r="C17" s="717"/>
      <c r="D17" s="17"/>
    </row>
    <row r="18" spans="1:6">
      <c r="A18" s="110" t="s">
        <v>41</v>
      </c>
      <c r="B18" s="734" t="s">
        <v>42</v>
      </c>
      <c r="C18" s="734"/>
      <c r="D18" s="17"/>
    </row>
    <row r="19" spans="1:6">
      <c r="A19" s="110" t="s">
        <v>43</v>
      </c>
      <c r="B19" s="716" t="s">
        <v>44</v>
      </c>
      <c r="C19" s="717"/>
      <c r="D19" s="21"/>
    </row>
    <row r="20" spans="1:6">
      <c r="A20" s="110" t="s">
        <v>45</v>
      </c>
      <c r="B20" s="18" t="s">
        <v>46</v>
      </c>
      <c r="C20" s="19"/>
      <c r="D20" s="17"/>
    </row>
    <row r="21" spans="1:6">
      <c r="A21" s="110" t="s">
        <v>47</v>
      </c>
      <c r="B21" s="735" t="s">
        <v>48</v>
      </c>
      <c r="C21" s="653"/>
      <c r="D21" s="22"/>
      <c r="F21" s="23"/>
    </row>
    <row r="22" spans="1:6">
      <c r="A22" s="110" t="s">
        <v>49</v>
      </c>
      <c r="B22" s="734" t="s">
        <v>50</v>
      </c>
      <c r="C22" s="734"/>
      <c r="D22" s="22"/>
    </row>
    <row r="23" spans="1:6">
      <c r="A23" s="736" t="s">
        <v>21</v>
      </c>
      <c r="B23" s="736"/>
      <c r="C23" s="736"/>
      <c r="D23" s="24">
        <f>SUM(D12:D22)</f>
        <v>0</v>
      </c>
    </row>
    <row r="25" spans="1:6">
      <c r="A25" s="732" t="s">
        <v>51</v>
      </c>
      <c r="B25" s="733"/>
      <c r="C25" s="733"/>
      <c r="D25" s="733"/>
    </row>
    <row r="27" spans="1:6">
      <c r="A27" s="732" t="s">
        <v>52</v>
      </c>
      <c r="B27" s="733"/>
      <c r="C27" s="733"/>
      <c r="D27" s="733"/>
    </row>
    <row r="28" spans="1:6">
      <c r="A28" s="25" t="s">
        <v>53</v>
      </c>
      <c r="B28" s="26" t="s">
        <v>54</v>
      </c>
      <c r="C28" s="27" t="s">
        <v>31</v>
      </c>
      <c r="D28" s="28" t="s">
        <v>32</v>
      </c>
    </row>
    <row r="29" spans="1:6">
      <c r="A29" s="110" t="s">
        <v>4</v>
      </c>
      <c r="B29" s="29" t="s">
        <v>55</v>
      </c>
      <c r="C29" s="30" t="e">
        <f>ROUND(+D29/$D$23,4)</f>
        <v>#DIV/0!</v>
      </c>
      <c r="D29" s="22">
        <f>ROUND(+D23/12,2)</f>
        <v>0</v>
      </c>
    </row>
    <row r="30" spans="1:6">
      <c r="A30" s="31" t="s">
        <v>6</v>
      </c>
      <c r="B30" s="32" t="s">
        <v>56</v>
      </c>
      <c r="C30" s="33" t="e">
        <f>ROUND(+D30/$D$23,4)</f>
        <v>#DIV/0!</v>
      </c>
      <c r="D30" s="34">
        <f>+D31+D32</f>
        <v>0</v>
      </c>
    </row>
    <row r="31" spans="1:6">
      <c r="A31" s="110" t="s">
        <v>57</v>
      </c>
      <c r="B31" s="35" t="s">
        <v>58</v>
      </c>
      <c r="C31" s="36" t="e">
        <f>ROUND(+D31/$D$23,4)</f>
        <v>#DIV/0!</v>
      </c>
      <c r="D31" s="37">
        <f>ROUND(+D23/12,2)</f>
        <v>0</v>
      </c>
    </row>
    <row r="32" spans="1:6">
      <c r="A32" s="110" t="s">
        <v>59</v>
      </c>
      <c r="B32" s="35" t="s">
        <v>60</v>
      </c>
      <c r="C32" s="36" t="e">
        <f>ROUND(+D32/$D$23,4)</f>
        <v>#DIV/0!</v>
      </c>
      <c r="D32" s="37">
        <f>ROUND(+(D23*1/3)/12,2)</f>
        <v>0</v>
      </c>
    </row>
    <row r="33" spans="1:4">
      <c r="A33" s="736" t="s">
        <v>21</v>
      </c>
      <c r="B33" s="736"/>
      <c r="C33" s="736"/>
      <c r="D33" s="24">
        <f>+D30+D29</f>
        <v>0</v>
      </c>
    </row>
    <row r="35" spans="1:4">
      <c r="A35" s="737" t="s">
        <v>61</v>
      </c>
      <c r="B35" s="738"/>
      <c r="C35" s="738"/>
      <c r="D35" s="738"/>
    </row>
    <row r="36" spans="1:4">
      <c r="A36" s="25" t="s">
        <v>62</v>
      </c>
      <c r="B36" s="38" t="s">
        <v>63</v>
      </c>
      <c r="C36" s="27" t="s">
        <v>31</v>
      </c>
      <c r="D36" s="28" t="s">
        <v>32</v>
      </c>
    </row>
    <row r="37" spans="1:4">
      <c r="A37" s="110" t="s">
        <v>4</v>
      </c>
      <c r="B37" s="29" t="s">
        <v>64</v>
      </c>
      <c r="C37" s="39">
        <v>0.2</v>
      </c>
      <c r="D37" s="40">
        <f>ROUND(C37*($D$23+$D$33),2)</f>
        <v>0</v>
      </c>
    </row>
    <row r="38" spans="1:4">
      <c r="A38" s="110" t="s">
        <v>6</v>
      </c>
      <c r="B38" s="29" t="s">
        <v>65</v>
      </c>
      <c r="C38" s="39">
        <v>2.5000000000000001E-2</v>
      </c>
      <c r="D38" s="40">
        <f>ROUND(C38*($D$23+$D$33),2)</f>
        <v>0</v>
      </c>
    </row>
    <row r="39" spans="1:4">
      <c r="A39" s="110" t="s">
        <v>9</v>
      </c>
      <c r="B39" s="29" t="s">
        <v>66</v>
      </c>
      <c r="C39" s="39">
        <f>3%</f>
        <v>0.03</v>
      </c>
      <c r="D39" s="40">
        <f t="shared" ref="D39:D43" si="0">ROUND(C39*($D$23+$D$33),2)</f>
        <v>0</v>
      </c>
    </row>
    <row r="40" spans="1:4">
      <c r="A40" s="110" t="s">
        <v>11</v>
      </c>
      <c r="B40" s="29" t="s">
        <v>67</v>
      </c>
      <c r="C40" s="39">
        <v>1.4999999999999999E-2</v>
      </c>
      <c r="D40" s="40">
        <f t="shared" si="0"/>
        <v>0</v>
      </c>
    </row>
    <row r="41" spans="1:4">
      <c r="A41" s="110" t="s">
        <v>37</v>
      </c>
      <c r="B41" s="29" t="s">
        <v>68</v>
      </c>
      <c r="C41" s="39">
        <v>0.01</v>
      </c>
      <c r="D41" s="40">
        <f t="shared" si="0"/>
        <v>0</v>
      </c>
    </row>
    <row r="42" spans="1:4">
      <c r="A42" s="110" t="s">
        <v>39</v>
      </c>
      <c r="B42" s="29" t="s">
        <v>69</v>
      </c>
      <c r="C42" s="39">
        <v>6.0000000000000001E-3</v>
      </c>
      <c r="D42" s="40">
        <f t="shared" si="0"/>
        <v>0</v>
      </c>
    </row>
    <row r="43" spans="1:4">
      <c r="A43" s="110" t="s">
        <v>41</v>
      </c>
      <c r="B43" s="29" t="s">
        <v>70</v>
      </c>
      <c r="C43" s="39">
        <v>2E-3</v>
      </c>
      <c r="D43" s="40">
        <f t="shared" si="0"/>
        <v>0</v>
      </c>
    </row>
    <row r="44" spans="1:4">
      <c r="A44" s="110" t="s">
        <v>43</v>
      </c>
      <c r="B44" s="29" t="s">
        <v>71</v>
      </c>
      <c r="C44" s="39">
        <v>0.08</v>
      </c>
      <c r="D44" s="40">
        <f>ROUND(C44*($D$23+$D$33),2)</f>
        <v>0</v>
      </c>
    </row>
    <row r="45" spans="1:4">
      <c r="A45" s="109" t="s">
        <v>21</v>
      </c>
      <c r="B45" s="112"/>
      <c r="C45" s="43">
        <f>SUM(C37:C44)</f>
        <v>0.36800000000000005</v>
      </c>
      <c r="D45" s="44">
        <f>SUM(D37:D44)</f>
        <v>0</v>
      </c>
    </row>
    <row r="46" spans="1:4">
      <c r="A46" s="45"/>
      <c r="B46" s="45"/>
      <c r="C46" s="45"/>
      <c r="D46" s="45"/>
    </row>
    <row r="47" spans="1:4">
      <c r="A47" s="737" t="s">
        <v>72</v>
      </c>
      <c r="B47" s="738"/>
      <c r="C47" s="738"/>
      <c r="D47" s="738"/>
    </row>
    <row r="48" spans="1:4">
      <c r="A48" s="25" t="s">
        <v>73</v>
      </c>
      <c r="B48" s="38" t="s">
        <v>74</v>
      </c>
      <c r="C48" s="27"/>
      <c r="D48" s="28" t="s">
        <v>32</v>
      </c>
    </row>
    <row r="49" spans="1:6">
      <c r="A49" s="46" t="s">
        <v>4</v>
      </c>
      <c r="B49" s="29" t="s">
        <v>75</v>
      </c>
      <c r="C49" s="47"/>
      <c r="D49" s="40">
        <f>+'MenCal Servente 12 36 40%Diurno'!C16</f>
        <v>0</v>
      </c>
    </row>
    <row r="50" spans="1:6" s="51" customFormat="1">
      <c r="A50" s="48" t="s">
        <v>76</v>
      </c>
      <c r="B50" s="49" t="s">
        <v>77</v>
      </c>
      <c r="C50" s="30">
        <f>+$C$135+$C$136</f>
        <v>9.2499999999999999E-2</v>
      </c>
      <c r="D50" s="50">
        <f>+(C50*D49)*-1</f>
        <v>0</v>
      </c>
      <c r="F50" s="52"/>
    </row>
    <row r="51" spans="1:6">
      <c r="A51" s="46" t="s">
        <v>6</v>
      </c>
      <c r="B51" s="29" t="s">
        <v>78</v>
      </c>
      <c r="C51" s="47"/>
      <c r="D51" s="40">
        <f>+'MenCal Servente 12 36 40%Diurno'!C25</f>
        <v>0</v>
      </c>
      <c r="F51" s="53"/>
    </row>
    <row r="52" spans="1:6" s="51" customFormat="1">
      <c r="A52" s="48" t="s">
        <v>57</v>
      </c>
      <c r="B52" s="49" t="s">
        <v>77</v>
      </c>
      <c r="C52" s="30">
        <f>+$C$135+$C$136</f>
        <v>9.2499999999999999E-2</v>
      </c>
      <c r="D52" s="50">
        <f>+(C52*D51)*-1</f>
        <v>0</v>
      </c>
      <c r="F52" s="54"/>
    </row>
    <row r="53" spans="1:6">
      <c r="A53" s="92" t="s">
        <v>9</v>
      </c>
      <c r="B53" s="92" t="s">
        <v>79</v>
      </c>
      <c r="C53" s="47"/>
      <c r="D53" s="230"/>
      <c r="F53" s="53"/>
    </row>
    <row r="54" spans="1:6">
      <c r="A54" s="48" t="s">
        <v>80</v>
      </c>
      <c r="B54" s="49" t="s">
        <v>77</v>
      </c>
      <c r="C54" s="30">
        <f>+$C$135+$C$136</f>
        <v>9.2499999999999999E-2</v>
      </c>
      <c r="D54" s="50">
        <f>+(C54*D53)*-1</f>
        <v>0</v>
      </c>
      <c r="F54" s="53"/>
    </row>
    <row r="55" spans="1:6">
      <c r="A55" s="92" t="s">
        <v>11</v>
      </c>
      <c r="B55" s="90" t="s">
        <v>676</v>
      </c>
      <c r="C55" s="47"/>
      <c r="D55" s="230"/>
      <c r="F55" s="53"/>
    </row>
    <row r="56" spans="1:6">
      <c r="A56" s="48" t="s">
        <v>81</v>
      </c>
      <c r="B56" s="49" t="s">
        <v>77</v>
      </c>
      <c r="C56" s="30">
        <f>+$C$135+$C$136</f>
        <v>9.2499999999999999E-2</v>
      </c>
      <c r="D56" s="50">
        <f>+(C56*D55)*-1</f>
        <v>0</v>
      </c>
      <c r="F56" s="53"/>
    </row>
    <row r="57" spans="1:6" ht="26.4">
      <c r="A57" s="92" t="s">
        <v>37</v>
      </c>
      <c r="B57" s="558" t="s">
        <v>677</v>
      </c>
      <c r="C57" s="47"/>
      <c r="D57" s="231"/>
      <c r="F57" s="55"/>
    </row>
    <row r="58" spans="1:6">
      <c r="A58" s="48" t="s">
        <v>82</v>
      </c>
      <c r="B58" s="49" t="s">
        <v>77</v>
      </c>
      <c r="C58" s="30">
        <f>+$C$135+$C$136</f>
        <v>9.2499999999999999E-2</v>
      </c>
      <c r="D58" s="50">
        <f>+(C58*D57)*-1</f>
        <v>0</v>
      </c>
    </row>
    <row r="59" spans="1:6">
      <c r="A59" s="92" t="s">
        <v>39</v>
      </c>
      <c r="B59" s="739" t="s">
        <v>83</v>
      </c>
      <c r="C59" s="739"/>
      <c r="D59" s="230"/>
    </row>
    <row r="60" spans="1:6">
      <c r="A60" s="48" t="s">
        <v>84</v>
      </c>
      <c r="B60" s="49" t="s">
        <v>77</v>
      </c>
      <c r="C60" s="30">
        <f>+$C$135+$C$136</f>
        <v>9.2499999999999999E-2</v>
      </c>
      <c r="D60" s="50">
        <f>+(C60*D59)*-1</f>
        <v>0</v>
      </c>
    </row>
    <row r="61" spans="1:6">
      <c r="A61" s="721" t="s">
        <v>21</v>
      </c>
      <c r="B61" s="723"/>
      <c r="C61" s="56"/>
      <c r="D61" s="57">
        <f>SUM(D49:D60)</f>
        <v>0</v>
      </c>
    </row>
    <row r="63" spans="1:6">
      <c r="A63" s="732" t="s">
        <v>85</v>
      </c>
      <c r="B63" s="733"/>
      <c r="C63" s="733"/>
      <c r="D63" s="733"/>
    </row>
    <row r="64" spans="1:6">
      <c r="A64" s="58">
        <v>2</v>
      </c>
      <c r="B64" s="742" t="s">
        <v>86</v>
      </c>
      <c r="C64" s="742"/>
      <c r="D64" s="59" t="s">
        <v>32</v>
      </c>
    </row>
    <row r="65" spans="1:4">
      <c r="A65" s="60" t="s">
        <v>53</v>
      </c>
      <c r="B65" s="743" t="s">
        <v>54</v>
      </c>
      <c r="C65" s="743"/>
      <c r="D65" s="40">
        <f>+D33</f>
        <v>0</v>
      </c>
    </row>
    <row r="66" spans="1:4">
      <c r="A66" s="60" t="s">
        <v>62</v>
      </c>
      <c r="B66" s="743" t="s">
        <v>63</v>
      </c>
      <c r="C66" s="743"/>
      <c r="D66" s="40">
        <f>+D45</f>
        <v>0</v>
      </c>
    </row>
    <row r="67" spans="1:4">
      <c r="A67" s="60" t="s">
        <v>73</v>
      </c>
      <c r="B67" s="743" t="s">
        <v>74</v>
      </c>
      <c r="C67" s="743"/>
      <c r="D67" s="61">
        <f>+D61</f>
        <v>0</v>
      </c>
    </row>
    <row r="68" spans="1:4">
      <c r="A68" s="742" t="s">
        <v>21</v>
      </c>
      <c r="B68" s="742"/>
      <c r="C68" s="742"/>
      <c r="D68" s="62">
        <f>SUM(D65:D67)</f>
        <v>0</v>
      </c>
    </row>
    <row r="70" spans="1:4">
      <c r="A70" s="732" t="s">
        <v>87</v>
      </c>
      <c r="B70" s="733"/>
      <c r="C70" s="733"/>
      <c r="D70" s="733"/>
    </row>
    <row r="72" spans="1:4">
      <c r="A72" s="63">
        <v>3</v>
      </c>
      <c r="B72" s="26" t="s">
        <v>88</v>
      </c>
      <c r="C72" s="13" t="s">
        <v>31</v>
      </c>
      <c r="D72" s="13" t="s">
        <v>32</v>
      </c>
    </row>
    <row r="73" spans="1:4">
      <c r="A73" s="110" t="s">
        <v>4</v>
      </c>
      <c r="B73" s="49" t="s">
        <v>89</v>
      </c>
      <c r="C73" s="30" t="e">
        <f>+D73/$D$23</f>
        <v>#DIV/0!</v>
      </c>
      <c r="D73" s="64">
        <f>+'MenCal Servente 12 36 40%Diurno'!C31</f>
        <v>0</v>
      </c>
    </row>
    <row r="74" spans="1:4">
      <c r="A74" s="110" t="s">
        <v>6</v>
      </c>
      <c r="B74" s="29" t="s">
        <v>90</v>
      </c>
      <c r="C74" s="65"/>
      <c r="D74" s="22">
        <f>ROUND(+D73*$C$44,2)</f>
        <v>0</v>
      </c>
    </row>
    <row r="75" spans="1:4" ht="26.4">
      <c r="A75" s="110" t="s">
        <v>9</v>
      </c>
      <c r="B75" s="5" t="s">
        <v>91</v>
      </c>
      <c r="C75" s="39" t="e">
        <f>+D75/$D$23</f>
        <v>#DIV/0!</v>
      </c>
      <c r="D75" s="22">
        <f>+'MenCal Servente 12 36 40%Diurno'!C45</f>
        <v>0</v>
      </c>
    </row>
    <row r="76" spans="1:4">
      <c r="A76" s="66" t="s">
        <v>11</v>
      </c>
      <c r="B76" s="29" t="s">
        <v>92</v>
      </c>
      <c r="C76" s="39" t="e">
        <f>+D76/$D$23</f>
        <v>#DIV/0!</v>
      </c>
      <c r="D76" s="22">
        <f>+'MenCal Servente 12 36 40%Diurno'!C53</f>
        <v>0</v>
      </c>
    </row>
    <row r="77" spans="1:4" ht="26.4">
      <c r="A77" s="66" t="s">
        <v>37</v>
      </c>
      <c r="B77" s="5" t="s">
        <v>93</v>
      </c>
      <c r="C77" s="65"/>
      <c r="D77" s="67"/>
    </row>
    <row r="78" spans="1:4" ht="26.4">
      <c r="A78" s="66" t="s">
        <v>39</v>
      </c>
      <c r="B78" s="5" t="s">
        <v>94</v>
      </c>
      <c r="C78" s="39" t="e">
        <f>+D78/$D$23</f>
        <v>#DIV/0!</v>
      </c>
      <c r="D78" s="40">
        <f>+'MenCal Servente 12 36 40%Diurno'!C67</f>
        <v>0</v>
      </c>
    </row>
    <row r="79" spans="1:4">
      <c r="A79" s="721" t="s">
        <v>21</v>
      </c>
      <c r="B79" s="722"/>
      <c r="C79" s="723"/>
      <c r="D79" s="68">
        <f>SUM(D73:D78)</f>
        <v>0</v>
      </c>
    </row>
    <row r="81" spans="1:4">
      <c r="A81" s="732" t="s">
        <v>95</v>
      </c>
      <c r="B81" s="733"/>
      <c r="C81" s="733"/>
      <c r="D81" s="733"/>
    </row>
    <row r="83" spans="1:4">
      <c r="A83" s="744" t="s">
        <v>96</v>
      </c>
      <c r="B83" s="744"/>
      <c r="C83" s="744"/>
      <c r="D83" s="744"/>
    </row>
    <row r="84" spans="1:4">
      <c r="A84" s="63" t="s">
        <v>97</v>
      </c>
      <c r="B84" s="721" t="s">
        <v>98</v>
      </c>
      <c r="C84" s="723"/>
      <c r="D84" s="13" t="s">
        <v>32</v>
      </c>
    </row>
    <row r="85" spans="1:4">
      <c r="A85" s="29" t="s">
        <v>4</v>
      </c>
      <c r="B85" s="740" t="s">
        <v>99</v>
      </c>
      <c r="C85" s="741"/>
      <c r="D85" s="22"/>
    </row>
    <row r="86" spans="1:4">
      <c r="A86" s="49" t="s">
        <v>6</v>
      </c>
      <c r="B86" s="747" t="s">
        <v>98</v>
      </c>
      <c r="C86" s="748"/>
      <c r="D86" s="69">
        <f>+'MenCal Servente 12 36 40%Diurno'!C80</f>
        <v>0</v>
      </c>
    </row>
    <row r="87" spans="1:4" s="51" customFormat="1">
      <c r="A87" s="49" t="s">
        <v>9</v>
      </c>
      <c r="B87" s="747" t="s">
        <v>100</v>
      </c>
      <c r="C87" s="748"/>
      <c r="D87" s="69">
        <f>+'MenCal Servente 12 36 40%Diurno'!C89</f>
        <v>0</v>
      </c>
    </row>
    <row r="88" spans="1:4" s="51" customFormat="1">
      <c r="A88" s="49" t="s">
        <v>11</v>
      </c>
      <c r="B88" s="747" t="s">
        <v>101</v>
      </c>
      <c r="C88" s="748"/>
      <c r="D88" s="69">
        <f>+'MenCal Servente 12 36 40%Diurno'!C97</f>
        <v>0</v>
      </c>
    </row>
    <row r="89" spans="1:4" s="51" customFormat="1">
      <c r="A89" s="49" t="s">
        <v>37</v>
      </c>
      <c r="B89" s="747" t="s">
        <v>102</v>
      </c>
      <c r="C89" s="748"/>
      <c r="D89" s="69"/>
    </row>
    <row r="90" spans="1:4" s="51" customFormat="1">
      <c r="A90" s="49" t="s">
        <v>39</v>
      </c>
      <c r="B90" s="747" t="s">
        <v>103</v>
      </c>
      <c r="C90" s="748"/>
      <c r="D90" s="69">
        <f>+'MenCal Servente 12 36 40%Diurno'!C105</f>
        <v>0</v>
      </c>
    </row>
    <row r="91" spans="1:4">
      <c r="A91" s="29" t="s">
        <v>41</v>
      </c>
      <c r="B91" s="740" t="s">
        <v>50</v>
      </c>
      <c r="C91" s="741"/>
      <c r="D91" s="22"/>
    </row>
    <row r="92" spans="1:4">
      <c r="A92" s="29" t="s">
        <v>43</v>
      </c>
      <c r="B92" s="740" t="s">
        <v>104</v>
      </c>
      <c r="C92" s="741"/>
      <c r="D92" s="67"/>
    </row>
    <row r="93" spans="1:4">
      <c r="A93" s="736" t="s">
        <v>21</v>
      </c>
      <c r="B93" s="736"/>
      <c r="C93" s="736"/>
      <c r="D93" s="24">
        <f>SUM(D85:D92)</f>
        <v>0</v>
      </c>
    </row>
    <row r="94" spans="1:4">
      <c r="D94" s="70"/>
    </row>
    <row r="95" spans="1:4">
      <c r="A95" s="63" t="s">
        <v>105</v>
      </c>
      <c r="B95" s="721" t="s">
        <v>106</v>
      </c>
      <c r="C95" s="723"/>
      <c r="D95" s="13" t="s">
        <v>32</v>
      </c>
    </row>
    <row r="96" spans="1:4" s="51" customFormat="1">
      <c r="A96" s="49" t="s">
        <v>4</v>
      </c>
      <c r="B96" s="749" t="s">
        <v>107</v>
      </c>
      <c r="C96" s="750"/>
      <c r="D96" s="69">
        <f>+'MenCal Servente 12 36 40%Diurno'!C116</f>
        <v>0</v>
      </c>
    </row>
    <row r="97" spans="1:4" s="51" customFormat="1">
      <c r="A97" s="49" t="s">
        <v>6</v>
      </c>
      <c r="B97" s="745" t="s">
        <v>108</v>
      </c>
      <c r="C97" s="746"/>
      <c r="D97" s="67"/>
    </row>
    <row r="98" spans="1:4" s="51" customFormat="1">
      <c r="A98" s="49" t="s">
        <v>9</v>
      </c>
      <c r="B98" s="745" t="s">
        <v>109</v>
      </c>
      <c r="C98" s="746"/>
      <c r="D98" s="67"/>
    </row>
    <row r="99" spans="1:4">
      <c r="A99" s="29" t="s">
        <v>11</v>
      </c>
      <c r="B99" s="740" t="s">
        <v>50</v>
      </c>
      <c r="C99" s="741"/>
      <c r="D99" s="22"/>
    </row>
    <row r="100" spans="1:4">
      <c r="A100" s="736" t="s">
        <v>21</v>
      </c>
      <c r="B100" s="736"/>
      <c r="C100" s="736"/>
      <c r="D100" s="24">
        <f>SUM(D96:D99)</f>
        <v>0</v>
      </c>
    </row>
    <row r="101" spans="1:4">
      <c r="D101" s="70"/>
    </row>
    <row r="102" spans="1:4">
      <c r="A102" s="63" t="s">
        <v>110</v>
      </c>
      <c r="B102" s="736" t="s">
        <v>111</v>
      </c>
      <c r="C102" s="736"/>
      <c r="D102" s="13" t="s">
        <v>32</v>
      </c>
    </row>
    <row r="103" spans="1:4" s="72" customFormat="1">
      <c r="A103" s="66" t="s">
        <v>4</v>
      </c>
      <c r="B103" s="751" t="s">
        <v>112</v>
      </c>
      <c r="C103" s="751"/>
      <c r="D103" s="71"/>
    </row>
    <row r="104" spans="1:4">
      <c r="A104" s="736" t="s">
        <v>21</v>
      </c>
      <c r="B104" s="736"/>
      <c r="C104" s="736"/>
      <c r="D104" s="24">
        <f>SUM(D103:D103)</f>
        <v>0</v>
      </c>
    </row>
    <row r="106" spans="1:4">
      <c r="A106" s="111" t="s">
        <v>113</v>
      </c>
      <c r="B106" s="111"/>
      <c r="C106" s="111"/>
      <c r="D106" s="111"/>
    </row>
    <row r="107" spans="1:4">
      <c r="A107" s="29" t="s">
        <v>97</v>
      </c>
      <c r="B107" s="740" t="s">
        <v>98</v>
      </c>
      <c r="C107" s="741"/>
      <c r="D107" s="40">
        <f>+D93</f>
        <v>0</v>
      </c>
    </row>
    <row r="108" spans="1:4">
      <c r="A108" s="29" t="s">
        <v>105</v>
      </c>
      <c r="B108" s="740" t="s">
        <v>106</v>
      </c>
      <c r="C108" s="741"/>
      <c r="D108" s="40">
        <f>+D100</f>
        <v>0</v>
      </c>
    </row>
    <row r="109" spans="1:4">
      <c r="A109" s="74"/>
      <c r="B109" s="752" t="s">
        <v>114</v>
      </c>
      <c r="C109" s="753"/>
      <c r="D109" s="75">
        <f>+D108+D107</f>
        <v>0</v>
      </c>
    </row>
    <row r="110" spans="1:4">
      <c r="A110" s="29" t="s">
        <v>110</v>
      </c>
      <c r="B110" s="740" t="s">
        <v>111</v>
      </c>
      <c r="C110" s="741"/>
      <c r="D110" s="40">
        <f>+D104</f>
        <v>0</v>
      </c>
    </row>
    <row r="111" spans="1:4">
      <c r="A111" s="754" t="s">
        <v>21</v>
      </c>
      <c r="B111" s="754"/>
      <c r="C111" s="754"/>
      <c r="D111" s="77">
        <f>+D110+D109</f>
        <v>0</v>
      </c>
    </row>
    <row r="113" spans="1:4">
      <c r="A113" s="732" t="s">
        <v>115</v>
      </c>
      <c r="B113" s="733"/>
      <c r="C113" s="733"/>
      <c r="D113" s="733"/>
    </row>
    <row r="115" spans="1:4">
      <c r="A115" s="63">
        <v>5</v>
      </c>
      <c r="B115" s="721" t="s">
        <v>116</v>
      </c>
      <c r="C115" s="723"/>
      <c r="D115" s="13" t="s">
        <v>32</v>
      </c>
    </row>
    <row r="116" spans="1:4">
      <c r="A116" s="29" t="s">
        <v>4</v>
      </c>
      <c r="B116" s="734" t="s">
        <v>117</v>
      </c>
      <c r="C116" s="734"/>
      <c r="D116" s="22">
        <f>+Uniforme!F8</f>
        <v>0</v>
      </c>
    </row>
    <row r="117" spans="1:4">
      <c r="A117" s="29" t="s">
        <v>76</v>
      </c>
      <c r="B117" s="49" t="s">
        <v>77</v>
      </c>
      <c r="C117" s="30">
        <f>+$C$135+$C$136</f>
        <v>9.2499999999999999E-2</v>
      </c>
      <c r="D117" s="50">
        <f>+(C117*D116)*-1</f>
        <v>0</v>
      </c>
    </row>
    <row r="118" spans="1:4">
      <c r="A118" s="29" t="s">
        <v>6</v>
      </c>
      <c r="B118" s="734" t="s">
        <v>118</v>
      </c>
      <c r="C118" s="734"/>
      <c r="D118" s="22"/>
    </row>
    <row r="119" spans="1:4">
      <c r="A119" s="29" t="s">
        <v>57</v>
      </c>
      <c r="B119" s="49" t="s">
        <v>77</v>
      </c>
      <c r="C119" s="30">
        <f>+$C$135+$C$136</f>
        <v>9.2499999999999999E-2</v>
      </c>
      <c r="D119" s="50">
        <f>+(C119*D118)*-1</f>
        <v>0</v>
      </c>
    </row>
    <row r="120" spans="1:4">
      <c r="A120" s="29" t="s">
        <v>9</v>
      </c>
      <c r="B120" s="734" t="s">
        <v>119</v>
      </c>
      <c r="C120" s="734"/>
      <c r="D120" s="22"/>
    </row>
    <row r="121" spans="1:4">
      <c r="A121" s="29" t="s">
        <v>80</v>
      </c>
      <c r="B121" s="49" t="s">
        <v>77</v>
      </c>
      <c r="C121" s="30">
        <f>+$C$135+$C$136</f>
        <v>9.2499999999999999E-2</v>
      </c>
      <c r="D121" s="50">
        <f>+(C121*D120)*-1</f>
        <v>0</v>
      </c>
    </row>
    <row r="122" spans="1:4">
      <c r="A122" s="29" t="s">
        <v>11</v>
      </c>
      <c r="B122" s="734" t="s">
        <v>50</v>
      </c>
      <c r="C122" s="734"/>
      <c r="D122" s="22"/>
    </row>
    <row r="123" spans="1:4">
      <c r="A123" s="29" t="s">
        <v>81</v>
      </c>
      <c r="B123" s="49" t="s">
        <v>77</v>
      </c>
      <c r="C123" s="30">
        <f>+$C$135+$C$136</f>
        <v>9.2499999999999999E-2</v>
      </c>
      <c r="D123" s="50">
        <f>+(C123*D122)*-1</f>
        <v>0</v>
      </c>
    </row>
    <row r="124" spans="1:4">
      <c r="A124" s="736" t="s">
        <v>21</v>
      </c>
      <c r="B124" s="736"/>
      <c r="C124" s="736"/>
      <c r="D124" s="24">
        <f>SUM(D116:D122)</f>
        <v>0</v>
      </c>
    </row>
    <row r="126" spans="1:4">
      <c r="A126" s="732" t="s">
        <v>120</v>
      </c>
      <c r="B126" s="733"/>
      <c r="C126" s="733"/>
      <c r="D126" s="733"/>
    </row>
    <row r="128" spans="1:4">
      <c r="A128" s="63">
        <v>6</v>
      </c>
      <c r="B128" s="26" t="s">
        <v>121</v>
      </c>
      <c r="C128" s="113" t="s">
        <v>31</v>
      </c>
      <c r="D128" s="13" t="s">
        <v>32</v>
      </c>
    </row>
    <row r="129" spans="1:7">
      <c r="A129" s="322" t="s">
        <v>4</v>
      </c>
      <c r="B129" s="322" t="s">
        <v>122</v>
      </c>
      <c r="C129" s="323">
        <v>0.03</v>
      </c>
      <c r="D129" s="324">
        <f>($D$124+$D$111+$D$79+$D$68+$D$23)*C129</f>
        <v>0</v>
      </c>
    </row>
    <row r="130" spans="1:7">
      <c r="A130" s="322" t="s">
        <v>6</v>
      </c>
      <c r="B130" s="322" t="s">
        <v>123</v>
      </c>
      <c r="C130" s="323">
        <v>0.03</v>
      </c>
      <c r="D130" s="324">
        <f>($D$124+$D$111+$D$79+$D$68+$D$23+D129)*C130</f>
        <v>0</v>
      </c>
    </row>
    <row r="131" spans="1:7" s="80" customFormat="1">
      <c r="A131" s="756" t="s">
        <v>124</v>
      </c>
      <c r="B131" s="757"/>
      <c r="C131" s="758"/>
      <c r="D131" s="79">
        <f>++D130+D129+D124+D111+D79+D68+D23</f>
        <v>0</v>
      </c>
    </row>
    <row r="132" spans="1:7" s="80" customFormat="1" ht="33" customHeight="1">
      <c r="A132" s="759" t="s">
        <v>125</v>
      </c>
      <c r="B132" s="760"/>
      <c r="C132" s="761"/>
      <c r="D132" s="79">
        <f>ROUND(D131/(1-(C135+C136+C138+C140+C141)),2)</f>
        <v>0</v>
      </c>
    </row>
    <row r="133" spans="1:7">
      <c r="A133" s="29" t="s">
        <v>9</v>
      </c>
      <c r="B133" s="29" t="s">
        <v>126</v>
      </c>
      <c r="C133" s="39"/>
      <c r="D133" s="29"/>
    </row>
    <row r="134" spans="1:7">
      <c r="A134" s="29" t="s">
        <v>80</v>
      </c>
      <c r="B134" s="29" t="s">
        <v>127</v>
      </c>
      <c r="C134" s="39"/>
      <c r="D134" s="29"/>
    </row>
    <row r="135" spans="1:7">
      <c r="A135" s="322" t="s">
        <v>128</v>
      </c>
      <c r="B135" s="322" t="s">
        <v>129</v>
      </c>
      <c r="C135" s="323">
        <v>1.6500000000000001E-2</v>
      </c>
      <c r="D135" s="324">
        <f>ROUND(C135*$D$132,2)</f>
        <v>0</v>
      </c>
      <c r="G135" s="81"/>
    </row>
    <row r="136" spans="1:7">
      <c r="A136" s="322" t="s">
        <v>130</v>
      </c>
      <c r="B136" s="322" t="s">
        <v>131</v>
      </c>
      <c r="C136" s="323">
        <v>7.5999999999999998E-2</v>
      </c>
      <c r="D136" s="324">
        <f>ROUND(C136*$D$132,2)</f>
        <v>0</v>
      </c>
      <c r="G136" s="81"/>
    </row>
    <row r="137" spans="1:7">
      <c r="A137" s="29" t="s">
        <v>132</v>
      </c>
      <c r="B137" s="29" t="s">
        <v>133</v>
      </c>
      <c r="C137" s="39"/>
      <c r="D137" s="40"/>
      <c r="G137" s="81"/>
    </row>
    <row r="138" spans="1:7">
      <c r="A138" s="29" t="s">
        <v>134</v>
      </c>
      <c r="B138" s="29" t="s">
        <v>135</v>
      </c>
      <c r="C138" s="39"/>
      <c r="D138" s="29"/>
      <c r="G138" s="81"/>
    </row>
    <row r="139" spans="1:7">
      <c r="A139" s="29" t="s">
        <v>136</v>
      </c>
      <c r="B139" s="29" t="s">
        <v>137</v>
      </c>
      <c r="C139" s="39"/>
      <c r="D139" s="29"/>
    </row>
    <row r="140" spans="1:7">
      <c r="A140" s="322" t="s">
        <v>138</v>
      </c>
      <c r="B140" s="322" t="s">
        <v>139</v>
      </c>
      <c r="C140" s="323">
        <v>0.05</v>
      </c>
      <c r="D140" s="324">
        <f>ROUND(C140*$D$132,2)</f>
        <v>0</v>
      </c>
    </row>
    <row r="141" spans="1:7">
      <c r="A141" s="29" t="s">
        <v>140</v>
      </c>
      <c r="B141" s="29" t="s">
        <v>141</v>
      </c>
      <c r="C141" s="39"/>
      <c r="D141" s="29"/>
    </row>
    <row r="142" spans="1:7">
      <c r="A142" s="721" t="s">
        <v>21</v>
      </c>
      <c r="B142" s="722"/>
      <c r="C142" s="82">
        <f>+C141+C140+C138+C136+C135+C130+C129</f>
        <v>0.20250000000000001</v>
      </c>
      <c r="D142" s="24">
        <f>+D140+D138+D136+D135+D130+D129</f>
        <v>0</v>
      </c>
    </row>
    <row r="144" spans="1:7">
      <c r="A144" s="762" t="s">
        <v>142</v>
      </c>
      <c r="B144" s="762"/>
      <c r="C144" s="762"/>
      <c r="D144" s="762"/>
    </row>
    <row r="145" spans="1:5">
      <c r="A145" s="29" t="s">
        <v>4</v>
      </c>
      <c r="B145" s="755" t="s">
        <v>143</v>
      </c>
      <c r="C145" s="755"/>
      <c r="D145" s="22">
        <f>+D23</f>
        <v>0</v>
      </c>
    </row>
    <row r="146" spans="1:5">
      <c r="A146" s="29" t="s">
        <v>144</v>
      </c>
      <c r="B146" s="755" t="s">
        <v>145</v>
      </c>
      <c r="C146" s="755"/>
      <c r="D146" s="22">
        <f>+D68</f>
        <v>0</v>
      </c>
    </row>
    <row r="147" spans="1:5">
      <c r="A147" s="29" t="s">
        <v>9</v>
      </c>
      <c r="B147" s="755" t="s">
        <v>146</v>
      </c>
      <c r="C147" s="755"/>
      <c r="D147" s="22">
        <f>+D79</f>
        <v>0</v>
      </c>
    </row>
    <row r="148" spans="1:5">
      <c r="A148" s="29" t="s">
        <v>11</v>
      </c>
      <c r="B148" s="755" t="s">
        <v>147</v>
      </c>
      <c r="C148" s="755"/>
      <c r="D148" s="22">
        <f>+D111</f>
        <v>0</v>
      </c>
    </row>
    <row r="149" spans="1:5">
      <c r="A149" s="29" t="s">
        <v>37</v>
      </c>
      <c r="B149" s="755" t="s">
        <v>148</v>
      </c>
      <c r="C149" s="755"/>
      <c r="D149" s="22">
        <f>+D124</f>
        <v>0</v>
      </c>
    </row>
    <row r="150" spans="1:5">
      <c r="B150" s="763" t="s">
        <v>149</v>
      </c>
      <c r="C150" s="763"/>
      <c r="D150" s="83">
        <f>SUM(D145:D149)</f>
        <v>0</v>
      </c>
    </row>
    <row r="151" spans="1:5">
      <c r="A151" s="29" t="s">
        <v>39</v>
      </c>
      <c r="B151" s="755" t="s">
        <v>150</v>
      </c>
      <c r="C151" s="755"/>
      <c r="D151" s="22">
        <f>+D142</f>
        <v>0</v>
      </c>
    </row>
    <row r="153" spans="1:5">
      <c r="A153" s="764" t="s">
        <v>151</v>
      </c>
      <c r="B153" s="764"/>
      <c r="C153" s="764"/>
      <c r="D153" s="84">
        <f>ROUND(+D151+D150,2)</f>
        <v>0</v>
      </c>
    </row>
    <row r="155" spans="1:5">
      <c r="B155" s="86"/>
      <c r="C155" s="86"/>
      <c r="D155" s="86"/>
    </row>
    <row r="156" spans="1:5">
      <c r="A156" s="87"/>
      <c r="B156" s="87"/>
      <c r="C156" s="87"/>
      <c r="D156" s="87"/>
      <c r="E156" s="87"/>
    </row>
    <row r="157" spans="1:5">
      <c r="A157" s="87"/>
      <c r="B157" s="87"/>
      <c r="C157" s="87"/>
      <c r="D157" s="87"/>
      <c r="E157" s="87"/>
    </row>
    <row r="158" spans="1:5">
      <c r="A158" s="87"/>
      <c r="B158" s="87"/>
      <c r="C158" s="87"/>
      <c r="D158" s="87"/>
      <c r="E158" s="87"/>
    </row>
    <row r="159" spans="1:5">
      <c r="A159" s="87"/>
      <c r="B159" s="87"/>
      <c r="C159" s="87"/>
      <c r="D159" s="87"/>
      <c r="E159" s="87"/>
    </row>
    <row r="160" spans="1:5">
      <c r="A160" s="87"/>
      <c r="B160" s="87"/>
      <c r="C160" s="87"/>
      <c r="D160" s="87"/>
      <c r="E160" s="87"/>
    </row>
    <row r="161" spans="1:5">
      <c r="A161" s="87"/>
      <c r="B161" s="87"/>
      <c r="C161" s="87"/>
      <c r="D161" s="87"/>
      <c r="E161" s="87"/>
    </row>
    <row r="162" spans="1:5">
      <c r="A162" s="87"/>
      <c r="B162" s="87"/>
      <c r="C162" s="87"/>
      <c r="D162" s="87"/>
      <c r="E162" s="87"/>
    </row>
    <row r="163" spans="1:5">
      <c r="A163" s="87"/>
      <c r="B163" s="87"/>
      <c r="C163" s="87"/>
      <c r="D163" s="87"/>
      <c r="E163" s="87"/>
    </row>
    <row r="164" spans="1:5">
      <c r="A164" s="87"/>
      <c r="B164" s="87"/>
      <c r="C164" s="87"/>
      <c r="D164" s="87"/>
      <c r="E164" s="87"/>
    </row>
    <row r="165" spans="1:5">
      <c r="A165" s="87"/>
      <c r="B165" s="87"/>
      <c r="C165" s="87"/>
      <c r="D165" s="87"/>
      <c r="E165" s="87"/>
    </row>
    <row r="166" spans="1:5">
      <c r="A166" s="87"/>
      <c r="B166" s="87"/>
      <c r="C166" s="87"/>
      <c r="D166" s="87"/>
      <c r="E166" s="87"/>
    </row>
    <row r="167" spans="1:5">
      <c r="A167" s="87"/>
      <c r="B167" s="87"/>
      <c r="C167" s="87"/>
      <c r="D167" s="87"/>
      <c r="E167" s="87"/>
    </row>
    <row r="168" spans="1:5">
      <c r="A168" s="87"/>
      <c r="B168" s="87"/>
      <c r="C168" s="87"/>
      <c r="D168" s="87"/>
      <c r="E168" s="87"/>
    </row>
  </sheetData>
  <mergeCells count="78">
    <mergeCell ref="A153:C153"/>
    <mergeCell ref="B147:C147"/>
    <mergeCell ref="B148:C148"/>
    <mergeCell ref="B149:C149"/>
    <mergeCell ref="B150:C150"/>
    <mergeCell ref="B151:C151"/>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15:C115"/>
    <mergeCell ref="B99:C99"/>
    <mergeCell ref="A100:C100"/>
    <mergeCell ref="B102:C102"/>
    <mergeCell ref="B103:C103"/>
    <mergeCell ref="A104:C104"/>
    <mergeCell ref="B107:C107"/>
    <mergeCell ref="B108:C108"/>
    <mergeCell ref="B109:C109"/>
    <mergeCell ref="B110:C110"/>
    <mergeCell ref="A111:C111"/>
    <mergeCell ref="A113:D113"/>
    <mergeCell ref="B98:C98"/>
    <mergeCell ref="B86:C86"/>
    <mergeCell ref="B87:C87"/>
    <mergeCell ref="B88:C88"/>
    <mergeCell ref="B89:C89"/>
    <mergeCell ref="B90:C90"/>
    <mergeCell ref="B91:C91"/>
    <mergeCell ref="B92:C92"/>
    <mergeCell ref="A93:C93"/>
    <mergeCell ref="B95:C95"/>
    <mergeCell ref="B96:C96"/>
    <mergeCell ref="B97:C97"/>
    <mergeCell ref="B85:C85"/>
    <mergeCell ref="A63:D63"/>
    <mergeCell ref="B64:C64"/>
    <mergeCell ref="B65:C65"/>
    <mergeCell ref="B66:C66"/>
    <mergeCell ref="B67:C67"/>
    <mergeCell ref="A68:C68"/>
    <mergeCell ref="A70:D70"/>
    <mergeCell ref="A79:C79"/>
    <mergeCell ref="A81:D81"/>
    <mergeCell ref="A83:D83"/>
    <mergeCell ref="B84:C84"/>
    <mergeCell ref="A61:B61"/>
    <mergeCell ref="B18:C18"/>
    <mergeCell ref="B19:C19"/>
    <mergeCell ref="B21:C21"/>
    <mergeCell ref="B22:C22"/>
    <mergeCell ref="A23:C23"/>
    <mergeCell ref="A25:D25"/>
    <mergeCell ref="A27:D27"/>
    <mergeCell ref="A33:C33"/>
    <mergeCell ref="A35:D35"/>
    <mergeCell ref="A47:D47"/>
    <mergeCell ref="B59:C59"/>
    <mergeCell ref="B17:C17"/>
    <mergeCell ref="A1:D1"/>
    <mergeCell ref="A3:D3"/>
    <mergeCell ref="C4:D4"/>
    <mergeCell ref="C5:D5"/>
    <mergeCell ref="C6:D6"/>
    <mergeCell ref="C7:D7"/>
    <mergeCell ref="C8:D8"/>
    <mergeCell ref="A10:D10"/>
    <mergeCell ref="B12:C12"/>
    <mergeCell ref="B15:C15"/>
    <mergeCell ref="B16:C16"/>
  </mergeCells>
  <pageMargins left="1.27" right="0.51181102362204722" top="0.34" bottom="0.64" header="0.31496062992125984" footer="0.31496062992125984"/>
  <pageSetup paperSize="9" scale="85" orientation="portrait" r:id="rId1"/>
  <headerFooter>
    <oddFoote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C164"/>
  <sheetViews>
    <sheetView workbookViewId="0">
      <selection activeCell="A12" sqref="A12"/>
    </sheetView>
  </sheetViews>
  <sheetFormatPr defaultRowHeight="13.2"/>
  <cols>
    <col min="1" max="1" width="64.453125" customWidth="1"/>
    <col min="2" max="2" width="12.26953125" bestFit="1" customWidth="1"/>
    <col min="3" max="3" width="14.7265625" customWidth="1"/>
    <col min="4" max="4" width="9.36328125" bestFit="1" customWidth="1"/>
    <col min="5" max="5" width="69.08984375" customWidth="1"/>
  </cols>
  <sheetData>
    <row r="1" spans="1:3" ht="36.75" customHeight="1">
      <c r="A1" s="827" t="s">
        <v>278</v>
      </c>
      <c r="B1" s="827"/>
      <c r="C1" s="827"/>
    </row>
    <row r="3" spans="1:3">
      <c r="A3" s="29" t="s">
        <v>152</v>
      </c>
      <c r="B3" s="29">
        <v>220</v>
      </c>
    </row>
    <row r="4" spans="1:3">
      <c r="A4" s="29" t="s">
        <v>153</v>
      </c>
      <c r="B4" s="29">
        <v>365.25</v>
      </c>
    </row>
    <row r="5" spans="1:3">
      <c r="A5" s="29" t="s">
        <v>154</v>
      </c>
      <c r="B5" s="88">
        <f>(365.25/12)/(7/7)/2</f>
        <v>15.21875</v>
      </c>
    </row>
    <row r="6" spans="1:3">
      <c r="A6" s="49" t="s">
        <v>33</v>
      </c>
      <c r="B6" s="40">
        <f>+'Servente 12 36 40% Diurno'!D12</f>
        <v>0</v>
      </c>
    </row>
    <row r="7" spans="1:3">
      <c r="A7" s="49" t="s">
        <v>155</v>
      </c>
      <c r="B7" s="40">
        <f>+'Servente 12 36 40% Diurno'!D23</f>
        <v>0</v>
      </c>
    </row>
    <row r="9" spans="1:3">
      <c r="A9" s="765" t="s">
        <v>156</v>
      </c>
      <c r="B9" s="766"/>
      <c r="C9" s="767"/>
    </row>
    <row r="10" spans="1:3">
      <c r="A10" s="29" t="s">
        <v>157</v>
      </c>
      <c r="B10" s="29">
        <f>+$B$4</f>
        <v>365.25</v>
      </c>
      <c r="C10" s="65"/>
    </row>
    <row r="11" spans="1:3">
      <c r="A11" s="29" t="s">
        <v>158</v>
      </c>
      <c r="B11" s="49">
        <v>12</v>
      </c>
      <c r="C11" s="65"/>
    </row>
    <row r="12" spans="1:3">
      <c r="A12" s="29" t="s">
        <v>159</v>
      </c>
      <c r="B12" s="39">
        <v>1</v>
      </c>
      <c r="C12" s="65"/>
    </row>
    <row r="13" spans="1:3">
      <c r="A13" s="49" t="s">
        <v>160</v>
      </c>
      <c r="B13" s="89">
        <f>+B5</f>
        <v>15.21875</v>
      </c>
      <c r="C13" s="65"/>
    </row>
    <row r="14" spans="1:3">
      <c r="A14" s="90" t="s">
        <v>161</v>
      </c>
      <c r="B14" s="91"/>
      <c r="C14" s="65"/>
    </row>
    <row r="15" spans="1:3">
      <c r="A15" s="29" t="s">
        <v>162</v>
      </c>
      <c r="B15" s="39">
        <v>0.06</v>
      </c>
      <c r="C15" s="65"/>
    </row>
    <row r="16" spans="1:3">
      <c r="A16" s="769" t="s">
        <v>163</v>
      </c>
      <c r="B16" s="770"/>
      <c r="C16" s="85">
        <f>ROUND((B13*(B14*2)-($B$6*B15)),2)</f>
        <v>0</v>
      </c>
    </row>
    <row r="18" spans="1:3">
      <c r="A18" s="765" t="s">
        <v>164</v>
      </c>
      <c r="B18" s="766"/>
      <c r="C18" s="767"/>
    </row>
    <row r="19" spans="1:3">
      <c r="A19" s="29" t="s">
        <v>157</v>
      </c>
      <c r="B19" s="29">
        <f>+$B$4</f>
        <v>365.25</v>
      </c>
      <c r="C19" s="65"/>
    </row>
    <row r="20" spans="1:3">
      <c r="A20" s="29" t="s">
        <v>158</v>
      </c>
      <c r="B20" s="49">
        <v>12</v>
      </c>
      <c r="C20" s="65"/>
    </row>
    <row r="21" spans="1:3">
      <c r="A21" s="29" t="s">
        <v>159</v>
      </c>
      <c r="B21" s="39">
        <v>1</v>
      </c>
      <c r="C21" s="65"/>
    </row>
    <row r="22" spans="1:3">
      <c r="A22" s="49" t="s">
        <v>160</v>
      </c>
      <c r="B22" s="89">
        <f>+B5</f>
        <v>15.21875</v>
      </c>
      <c r="C22" s="65"/>
    </row>
    <row r="23" spans="1:3">
      <c r="A23" s="90" t="s">
        <v>165</v>
      </c>
      <c r="B23" s="91"/>
      <c r="C23" s="65"/>
    </row>
    <row r="24" spans="1:3">
      <c r="A24" s="29" t="s">
        <v>166</v>
      </c>
      <c r="B24" s="39">
        <v>0.1</v>
      </c>
      <c r="C24" s="65"/>
    </row>
    <row r="25" spans="1:3">
      <c r="A25" s="769" t="s">
        <v>165</v>
      </c>
      <c r="B25" s="770"/>
      <c r="C25" s="85">
        <f>ROUND((B22*(B23)-((B22*B23)*B24)),2)</f>
        <v>0</v>
      </c>
    </row>
    <row r="27" spans="1:3">
      <c r="A27" s="765" t="s">
        <v>167</v>
      </c>
      <c r="B27" s="766"/>
      <c r="C27" s="767"/>
    </row>
    <row r="28" spans="1:3">
      <c r="A28" s="29" t="s">
        <v>168</v>
      </c>
      <c r="B28" s="40">
        <f>+B7</f>
        <v>0</v>
      </c>
      <c r="C28" s="65"/>
    </row>
    <row r="29" spans="1:3">
      <c r="A29" s="29" t="s">
        <v>169</v>
      </c>
      <c r="B29" s="29">
        <v>12</v>
      </c>
      <c r="C29" s="65"/>
    </row>
    <row r="30" spans="1:3">
      <c r="A30" s="92" t="s">
        <v>170</v>
      </c>
      <c r="B30" s="93"/>
      <c r="C30" s="65"/>
    </row>
    <row r="31" spans="1:3">
      <c r="A31" s="769" t="s">
        <v>171</v>
      </c>
      <c r="B31" s="770"/>
      <c r="C31" s="85">
        <f>ROUND(+(B28/B29)*B30,2)</f>
        <v>0</v>
      </c>
    </row>
    <row r="33" spans="1:3">
      <c r="A33" s="771" t="s">
        <v>172</v>
      </c>
      <c r="B33" s="772"/>
      <c r="C33" s="773"/>
    </row>
    <row r="34" spans="1:3" s="51" customFormat="1">
      <c r="A34" s="94" t="s">
        <v>173</v>
      </c>
      <c r="B34" s="93">
        <f>+B30</f>
        <v>0</v>
      </c>
      <c r="C34" s="65"/>
    </row>
    <row r="35" spans="1:3">
      <c r="A35" s="29" t="s">
        <v>174</v>
      </c>
      <c r="B35" s="40">
        <f>+'Servente 12 36 40% Diurno'!$D$23</f>
        <v>0</v>
      </c>
      <c r="C35" s="65"/>
    </row>
    <row r="36" spans="1:3">
      <c r="A36" s="29" t="s">
        <v>55</v>
      </c>
      <c r="B36" s="40">
        <f>+'Servente 12 36 40% Diurno'!$D$29</f>
        <v>0</v>
      </c>
      <c r="C36" s="65"/>
    </row>
    <row r="37" spans="1:3">
      <c r="A37" s="95" t="s">
        <v>58</v>
      </c>
      <c r="B37" s="40">
        <f>+'Servente 12 36 40% Diurno'!$D$31</f>
        <v>0</v>
      </c>
      <c r="C37" s="65"/>
    </row>
    <row r="38" spans="1:3">
      <c r="A38" s="95" t="s">
        <v>60</v>
      </c>
      <c r="B38" s="40">
        <f>+'Servente 12 36 40% Diurno'!$D$32</f>
        <v>0</v>
      </c>
      <c r="C38" s="65"/>
    </row>
    <row r="39" spans="1:3">
      <c r="A39" s="96" t="s">
        <v>175</v>
      </c>
      <c r="B39" s="97">
        <f>SUM(B35:B38)</f>
        <v>0</v>
      </c>
      <c r="C39" s="65"/>
    </row>
    <row r="40" spans="1:3">
      <c r="A40" s="60" t="s">
        <v>176</v>
      </c>
      <c r="B40" s="39">
        <v>0.4</v>
      </c>
      <c r="C40" s="65"/>
    </row>
    <row r="41" spans="1:3">
      <c r="A41" s="60" t="s">
        <v>177</v>
      </c>
      <c r="B41" s="39">
        <f>+'Servente 12 36 40% Diurno'!$C$44</f>
        <v>0.08</v>
      </c>
      <c r="C41" s="65"/>
    </row>
    <row r="42" spans="1:3">
      <c r="A42" s="752" t="s">
        <v>178</v>
      </c>
      <c r="B42" s="753"/>
      <c r="C42" s="75">
        <f>ROUND(+B39*B40*B41*B34,2)</f>
        <v>0</v>
      </c>
    </row>
    <row r="43" spans="1:3">
      <c r="A43" s="60" t="s">
        <v>179</v>
      </c>
      <c r="B43" s="39"/>
      <c r="C43" s="65"/>
    </row>
    <row r="44" spans="1:3">
      <c r="A44" s="752" t="s">
        <v>180</v>
      </c>
      <c r="B44" s="753"/>
      <c r="C44" s="98">
        <f>ROUND(B43*B41*B39*B34,2)</f>
        <v>0</v>
      </c>
    </row>
    <row r="45" spans="1:3">
      <c r="A45" s="769" t="s">
        <v>181</v>
      </c>
      <c r="B45" s="770"/>
      <c r="C45" s="77">
        <f>+C44+C42</f>
        <v>0</v>
      </c>
    </row>
    <row r="47" spans="1:3">
      <c r="A47" s="765" t="s">
        <v>182</v>
      </c>
      <c r="B47" s="766"/>
      <c r="C47" s="767"/>
    </row>
    <row r="48" spans="1:3">
      <c r="A48" s="29" t="s">
        <v>168</v>
      </c>
      <c r="B48" s="40">
        <f>+B7</f>
        <v>0</v>
      </c>
      <c r="C48" s="65"/>
    </row>
    <row r="49" spans="1:3">
      <c r="A49" s="29" t="s">
        <v>183</v>
      </c>
      <c r="B49" s="99">
        <v>30</v>
      </c>
      <c r="C49" s="65"/>
    </row>
    <row r="50" spans="1:3">
      <c r="A50" s="29" t="s">
        <v>169</v>
      </c>
      <c r="B50" s="29">
        <v>12</v>
      </c>
      <c r="C50" s="65"/>
    </row>
    <row r="51" spans="1:3">
      <c r="A51" s="29" t="s">
        <v>184</v>
      </c>
      <c r="B51" s="29">
        <v>7</v>
      </c>
      <c r="C51" s="65"/>
    </row>
    <row r="52" spans="1:3">
      <c r="A52" s="92" t="s">
        <v>185</v>
      </c>
      <c r="B52" s="93"/>
      <c r="C52" s="65"/>
    </row>
    <row r="53" spans="1:3">
      <c r="A53" s="769" t="s">
        <v>186</v>
      </c>
      <c r="B53" s="770"/>
      <c r="C53" s="85">
        <f>+ROUND(((B48/B49/B50)*B51)*B52,2)</f>
        <v>0</v>
      </c>
    </row>
    <row r="55" spans="1:3">
      <c r="A55" s="771" t="s">
        <v>187</v>
      </c>
      <c r="B55" s="772"/>
      <c r="C55" s="773"/>
    </row>
    <row r="56" spans="1:3">
      <c r="A56" s="100" t="s">
        <v>188</v>
      </c>
      <c r="B56" s="93">
        <f>+B52</f>
        <v>0</v>
      </c>
      <c r="C56" s="65"/>
    </row>
    <row r="57" spans="1:3">
      <c r="A57" s="29" t="s">
        <v>174</v>
      </c>
      <c r="B57" s="40">
        <f>+'Servente 12 36 40% Diurno'!$D$23</f>
        <v>0</v>
      </c>
      <c r="C57" s="65"/>
    </row>
    <row r="58" spans="1:3">
      <c r="A58" s="29" t="s">
        <v>55</v>
      </c>
      <c r="B58" s="40">
        <f>+'Servente 12 36 40% Diurno'!$D$29</f>
        <v>0</v>
      </c>
      <c r="C58" s="65"/>
    </row>
    <row r="59" spans="1:3">
      <c r="A59" s="95" t="s">
        <v>58</v>
      </c>
      <c r="B59" s="40">
        <f>+'Servente 12 36 40% Diurno'!$D$31</f>
        <v>0</v>
      </c>
      <c r="C59" s="65"/>
    </row>
    <row r="60" spans="1:3">
      <c r="A60" s="95" t="s">
        <v>60</v>
      </c>
      <c r="B60" s="40">
        <f>+'Servente 12 36 40% Diurno'!$D$32</f>
        <v>0</v>
      </c>
      <c r="C60" s="65"/>
    </row>
    <row r="61" spans="1:3">
      <c r="A61" s="96" t="s">
        <v>175</v>
      </c>
      <c r="B61" s="97">
        <f>SUM(B57:B60)</f>
        <v>0</v>
      </c>
      <c r="C61" s="65"/>
    </row>
    <row r="62" spans="1:3">
      <c r="A62" s="60" t="s">
        <v>176</v>
      </c>
      <c r="B62" s="39">
        <v>0.4</v>
      </c>
      <c r="C62" s="65"/>
    </row>
    <row r="63" spans="1:3">
      <c r="A63" s="60" t="s">
        <v>177</v>
      </c>
      <c r="B63" s="39">
        <f>+'Servente 12 36 40% Diurno'!$C$44</f>
        <v>0.08</v>
      </c>
      <c r="C63" s="65"/>
    </row>
    <row r="64" spans="1:3">
      <c r="A64" s="752" t="s">
        <v>178</v>
      </c>
      <c r="B64" s="753"/>
      <c r="C64" s="75">
        <f>ROUND(+B61*B62*B63*B56,2)</f>
        <v>0</v>
      </c>
    </row>
    <row r="65" spans="1:3">
      <c r="A65" s="60" t="s">
        <v>179</v>
      </c>
      <c r="B65" s="39"/>
      <c r="C65" s="65"/>
    </row>
    <row r="66" spans="1:3">
      <c r="A66" s="752" t="s">
        <v>180</v>
      </c>
      <c r="B66" s="753"/>
      <c r="C66" s="98">
        <f>ROUND(B65*B63*B61*B56,2)</f>
        <v>0</v>
      </c>
    </row>
    <row r="67" spans="1:3">
      <c r="A67" s="769" t="s">
        <v>189</v>
      </c>
      <c r="B67" s="770"/>
      <c r="C67" s="77">
        <f>+C66+C64</f>
        <v>0</v>
      </c>
    </row>
    <row r="69" spans="1:3">
      <c r="A69" s="771" t="s">
        <v>190</v>
      </c>
      <c r="B69" s="772"/>
      <c r="C69" s="773"/>
    </row>
    <row r="70" spans="1:3">
      <c r="A70" s="774" t="s">
        <v>191</v>
      </c>
      <c r="B70" s="775"/>
      <c r="C70" s="776"/>
    </row>
    <row r="71" spans="1:3">
      <c r="A71" s="777"/>
      <c r="B71" s="778"/>
      <c r="C71" s="779"/>
    </row>
    <row r="72" spans="1:3">
      <c r="A72" s="777"/>
      <c r="B72" s="778"/>
      <c r="C72" s="779"/>
    </row>
    <row r="73" spans="1:3">
      <c r="A73" s="780"/>
      <c r="B73" s="781"/>
      <c r="C73" s="782"/>
    </row>
    <row r="74" spans="1:3">
      <c r="A74" s="101"/>
      <c r="B74" s="101"/>
      <c r="C74" s="101"/>
    </row>
    <row r="75" spans="1:3">
      <c r="A75" s="771" t="s">
        <v>192</v>
      </c>
      <c r="B75" s="772"/>
      <c r="C75" s="773"/>
    </row>
    <row r="76" spans="1:3">
      <c r="A76" s="29" t="s">
        <v>193</v>
      </c>
      <c r="B76" s="40">
        <f>+$B$7</f>
        <v>0</v>
      </c>
      <c r="C76" s="65"/>
    </row>
    <row r="77" spans="1:3">
      <c r="A77" s="29" t="s">
        <v>158</v>
      </c>
      <c r="B77" s="29">
        <v>30</v>
      </c>
      <c r="C77" s="65"/>
    </row>
    <row r="78" spans="1:3">
      <c r="A78" s="29" t="s">
        <v>194</v>
      </c>
      <c r="B78" s="29">
        <v>12</v>
      </c>
      <c r="C78" s="65"/>
    </row>
    <row r="79" spans="1:3">
      <c r="A79" s="92" t="s">
        <v>195</v>
      </c>
      <c r="B79" s="92"/>
      <c r="C79" s="65"/>
    </row>
    <row r="80" spans="1:3">
      <c r="A80" s="769" t="s">
        <v>196</v>
      </c>
      <c r="B80" s="770"/>
      <c r="C80" s="58">
        <f>+ROUND((B76/B77/B78)*B79,2)</f>
        <v>0</v>
      </c>
    </row>
    <row r="82" spans="1:3">
      <c r="A82" s="771" t="s">
        <v>197</v>
      </c>
      <c r="B82" s="772"/>
      <c r="C82" s="773"/>
    </row>
    <row r="83" spans="1:3">
      <c r="A83" s="29" t="s">
        <v>193</v>
      </c>
      <c r="B83" s="40">
        <f>+$B$7</f>
        <v>0</v>
      </c>
      <c r="C83" s="65"/>
    </row>
    <row r="84" spans="1:3">
      <c r="A84" s="29" t="s">
        <v>158</v>
      </c>
      <c r="B84" s="29">
        <v>30</v>
      </c>
      <c r="C84" s="65"/>
    </row>
    <row r="85" spans="1:3">
      <c r="A85" s="29" t="s">
        <v>194</v>
      </c>
      <c r="B85" s="29">
        <v>12</v>
      </c>
      <c r="C85" s="65"/>
    </row>
    <row r="86" spans="1:3">
      <c r="A86" s="49" t="s">
        <v>198</v>
      </c>
      <c r="B86" s="29">
        <v>5</v>
      </c>
      <c r="C86" s="65"/>
    </row>
    <row r="87" spans="1:3">
      <c r="A87" s="92" t="s">
        <v>199</v>
      </c>
      <c r="B87" s="93"/>
      <c r="C87" s="65"/>
    </row>
    <row r="88" spans="1:3">
      <c r="A88" s="92" t="s">
        <v>200</v>
      </c>
      <c r="B88" s="93"/>
      <c r="C88" s="65"/>
    </row>
    <row r="89" spans="1:3">
      <c r="A89" s="769" t="s">
        <v>201</v>
      </c>
      <c r="B89" s="770"/>
      <c r="C89" s="85">
        <f>ROUND(+B83/B84/B85*B86*B87*B88,2)</f>
        <v>0</v>
      </c>
    </row>
    <row r="91" spans="1:3">
      <c r="A91" s="771" t="s">
        <v>202</v>
      </c>
      <c r="B91" s="772"/>
      <c r="C91" s="773"/>
    </row>
    <row r="92" spans="1:3">
      <c r="A92" s="29" t="s">
        <v>193</v>
      </c>
      <c r="B92" s="40">
        <f>+$B$7</f>
        <v>0</v>
      </c>
      <c r="C92" s="65"/>
    </row>
    <row r="93" spans="1:3">
      <c r="A93" s="29" t="s">
        <v>158</v>
      </c>
      <c r="B93" s="29">
        <v>30</v>
      </c>
      <c r="C93" s="65"/>
    </row>
    <row r="94" spans="1:3">
      <c r="A94" s="29" t="s">
        <v>194</v>
      </c>
      <c r="B94" s="29">
        <v>12</v>
      </c>
      <c r="C94" s="65"/>
    </row>
    <row r="95" spans="1:3">
      <c r="A95" s="49" t="s">
        <v>203</v>
      </c>
      <c r="B95" s="29">
        <v>15</v>
      </c>
      <c r="C95" s="65"/>
    </row>
    <row r="96" spans="1:3">
      <c r="A96" s="92" t="s">
        <v>204</v>
      </c>
      <c r="B96" s="93"/>
      <c r="C96" s="65"/>
    </row>
    <row r="97" spans="1:3">
      <c r="A97" s="769" t="s">
        <v>205</v>
      </c>
      <c r="B97" s="770"/>
      <c r="C97" s="85">
        <f>ROUND(+B92/B93/B94*B95*B96,2)</f>
        <v>0</v>
      </c>
    </row>
    <row r="99" spans="1:3">
      <c r="A99" s="771" t="s">
        <v>206</v>
      </c>
      <c r="B99" s="772"/>
      <c r="C99" s="773"/>
    </row>
    <row r="100" spans="1:3">
      <c r="A100" s="29" t="s">
        <v>193</v>
      </c>
      <c r="B100" s="40">
        <f>+$B$7</f>
        <v>0</v>
      </c>
      <c r="C100" s="65"/>
    </row>
    <row r="101" spans="1:3">
      <c r="A101" s="29" t="s">
        <v>158</v>
      </c>
      <c r="B101" s="29">
        <v>30</v>
      </c>
      <c r="C101" s="65"/>
    </row>
    <row r="102" spans="1:3">
      <c r="A102" s="29" t="s">
        <v>194</v>
      </c>
      <c r="B102" s="29">
        <v>12</v>
      </c>
      <c r="C102" s="65"/>
    </row>
    <row r="103" spans="1:3">
      <c r="A103" s="49" t="s">
        <v>203</v>
      </c>
      <c r="B103" s="29">
        <v>5</v>
      </c>
      <c r="C103" s="65"/>
    </row>
    <row r="104" spans="1:3">
      <c r="A104" s="92" t="s">
        <v>207</v>
      </c>
      <c r="B104" s="93"/>
      <c r="C104" s="65"/>
    </row>
    <row r="105" spans="1:3">
      <c r="A105" s="769" t="s">
        <v>208</v>
      </c>
      <c r="B105" s="770"/>
      <c r="C105" s="85">
        <f>ROUND(+B100/B101/B102*B103*B104,2)</f>
        <v>0</v>
      </c>
    </row>
    <row r="107" spans="1:3">
      <c r="A107" s="771" t="s">
        <v>209</v>
      </c>
      <c r="B107" s="772"/>
      <c r="C107" s="773"/>
    </row>
    <row r="108" spans="1:3">
      <c r="A108" s="783" t="s">
        <v>210</v>
      </c>
      <c r="B108" s="784"/>
      <c r="C108" s="785"/>
    </row>
    <row r="109" spans="1:3">
      <c r="A109" s="29" t="s">
        <v>193</v>
      </c>
      <c r="B109" s="40">
        <f>+$B$7</f>
        <v>0</v>
      </c>
      <c r="C109" s="65"/>
    </row>
    <row r="110" spans="1:3">
      <c r="A110" s="29" t="s">
        <v>211</v>
      </c>
      <c r="B110" s="40">
        <f>+B109*(1/3)</f>
        <v>0</v>
      </c>
      <c r="C110" s="65"/>
    </row>
    <row r="111" spans="1:3">
      <c r="A111" s="96" t="s">
        <v>175</v>
      </c>
      <c r="B111" s="97">
        <f>SUM(B109:B110)</f>
        <v>0</v>
      </c>
      <c r="C111" s="65"/>
    </row>
    <row r="112" spans="1:3">
      <c r="A112" s="29" t="s">
        <v>212</v>
      </c>
      <c r="B112" s="29">
        <v>4</v>
      </c>
      <c r="C112" s="65"/>
    </row>
    <row r="113" spans="1:3">
      <c r="A113" s="29" t="s">
        <v>194</v>
      </c>
      <c r="B113" s="29">
        <v>12</v>
      </c>
      <c r="C113" s="65"/>
    </row>
    <row r="114" spans="1:3">
      <c r="A114" s="92" t="s">
        <v>213</v>
      </c>
      <c r="B114" s="93"/>
      <c r="C114" s="65"/>
    </row>
    <row r="115" spans="1:3">
      <c r="A115" s="92" t="s">
        <v>214</v>
      </c>
      <c r="B115" s="93"/>
      <c r="C115" s="65"/>
    </row>
    <row r="116" spans="1:3">
      <c r="A116" s="769" t="s">
        <v>215</v>
      </c>
      <c r="B116" s="770"/>
      <c r="C116" s="85">
        <f>ROUND((((+B111*(B112/B113)/B113)*B114)*B115),2)</f>
        <v>0</v>
      </c>
    </row>
    <row r="117" spans="1:3">
      <c r="A117" s="769" t="s">
        <v>216</v>
      </c>
      <c r="B117" s="786"/>
      <c r="C117" s="770"/>
    </row>
    <row r="118" spans="1:3">
      <c r="A118" s="29" t="s">
        <v>193</v>
      </c>
      <c r="B118" s="40">
        <f>+'Servente 12 36 40% Diurno'!D23</f>
        <v>0</v>
      </c>
      <c r="C118" s="65"/>
    </row>
    <row r="119" spans="1:3">
      <c r="A119" s="29" t="s">
        <v>55</v>
      </c>
      <c r="B119" s="40">
        <f>+'Servente 12 36 40% Diurno'!D29</f>
        <v>0</v>
      </c>
      <c r="C119" s="65"/>
    </row>
    <row r="120" spans="1:3">
      <c r="A120" s="96" t="s">
        <v>175</v>
      </c>
      <c r="B120" s="97">
        <f>SUM(B118:B119)</f>
        <v>0</v>
      </c>
      <c r="C120" s="65"/>
    </row>
    <row r="121" spans="1:3">
      <c r="A121" s="29" t="s">
        <v>212</v>
      </c>
      <c r="B121" s="29">
        <v>4</v>
      </c>
      <c r="C121" s="65"/>
    </row>
    <row r="122" spans="1:3">
      <c r="A122" s="29" t="s">
        <v>194</v>
      </c>
      <c r="B122" s="29">
        <v>12</v>
      </c>
      <c r="C122" s="65"/>
    </row>
    <row r="123" spans="1:3">
      <c r="A123" s="92" t="s">
        <v>213</v>
      </c>
      <c r="B123" s="93">
        <f>+B114</f>
        <v>0</v>
      </c>
      <c r="C123" s="65"/>
    </row>
    <row r="124" spans="1:3">
      <c r="A124" s="92" t="s">
        <v>214</v>
      </c>
      <c r="B124" s="93">
        <f>+B115</f>
        <v>0</v>
      </c>
      <c r="C124" s="65"/>
    </row>
    <row r="125" spans="1:3">
      <c r="A125" s="49" t="s">
        <v>217</v>
      </c>
      <c r="B125" s="39">
        <f>+'Servente 12 36 40% Diurno'!C45</f>
        <v>0.36800000000000005</v>
      </c>
      <c r="C125" s="65"/>
    </row>
    <row r="126" spans="1:3">
      <c r="A126" s="769" t="s">
        <v>218</v>
      </c>
      <c r="B126" s="770"/>
      <c r="C126" s="77">
        <f>ROUND((((B120*(B121/B122)*B123)*B124)*B125),2)</f>
        <v>0</v>
      </c>
    </row>
    <row r="128" spans="1:3" ht="30.75" customHeight="1">
      <c r="A128" s="787" t="s">
        <v>219</v>
      </c>
      <c r="B128" s="787"/>
      <c r="C128" s="787"/>
    </row>
    <row r="130" spans="1:3">
      <c r="A130" s="788" t="s">
        <v>220</v>
      </c>
      <c r="B130" s="788"/>
      <c r="C130" s="788"/>
    </row>
    <row r="131" spans="1:3">
      <c r="A131" s="29" t="s">
        <v>157</v>
      </c>
      <c r="B131" s="29">
        <v>365.25</v>
      </c>
      <c r="C131" s="65"/>
    </row>
    <row r="132" spans="1:3">
      <c r="A132" s="29" t="s">
        <v>158</v>
      </c>
      <c r="B132" s="49">
        <v>12</v>
      </c>
      <c r="C132" s="65"/>
    </row>
    <row r="133" spans="1:3">
      <c r="A133" s="29" t="s">
        <v>159</v>
      </c>
      <c r="B133" s="39">
        <v>0.5</v>
      </c>
      <c r="C133" s="65"/>
    </row>
    <row r="134" spans="1:3">
      <c r="A134" s="102" t="s">
        <v>221</v>
      </c>
      <c r="B134" s="49">
        <v>7</v>
      </c>
      <c r="C134" s="65"/>
    </row>
    <row r="135" spans="1:3">
      <c r="A135" s="49" t="s">
        <v>222</v>
      </c>
      <c r="B135" s="65"/>
      <c r="C135" s="40">
        <f>+'Servente 12 36 40% Diurno'!$D$12</f>
        <v>0</v>
      </c>
    </row>
    <row r="136" spans="1:3">
      <c r="A136" s="49" t="s">
        <v>34</v>
      </c>
      <c r="B136" s="65"/>
      <c r="C136" s="40">
        <f>+'Servente 12 36 40% Diurno'!$D$13</f>
        <v>0</v>
      </c>
    </row>
    <row r="137" spans="1:3">
      <c r="A137" s="49" t="s">
        <v>35</v>
      </c>
      <c r="B137" s="65"/>
      <c r="C137" s="40">
        <f>+'Servente 12 36 40% Diurno'!$D$14</f>
        <v>0</v>
      </c>
    </row>
    <row r="138" spans="1:3">
      <c r="A138" s="96" t="s">
        <v>223</v>
      </c>
      <c r="B138" s="65"/>
      <c r="C138" s="97">
        <f>SUM(C135:C137)</f>
        <v>0</v>
      </c>
    </row>
    <row r="139" spans="1:3">
      <c r="A139" s="29" t="s">
        <v>152</v>
      </c>
      <c r="B139" s="103">
        <f>+B3</f>
        <v>220</v>
      </c>
      <c r="C139" s="65"/>
    </row>
    <row r="140" spans="1:3">
      <c r="A140" s="49" t="s">
        <v>224</v>
      </c>
      <c r="B140" s="39">
        <v>0.2</v>
      </c>
      <c r="C140" s="65"/>
    </row>
    <row r="141" spans="1:3">
      <c r="A141" s="49" t="s">
        <v>225</v>
      </c>
      <c r="B141" s="65"/>
      <c r="C141" s="104">
        <f>ROUND((C138/B139)*B140,2)</f>
        <v>0</v>
      </c>
    </row>
    <row r="142" spans="1:3">
      <c r="A142" s="49" t="s">
        <v>226</v>
      </c>
      <c r="B142" s="29">
        <f>ROUND(+B131/B132*B133*B134,0)</f>
        <v>107</v>
      </c>
      <c r="C142" s="105"/>
    </row>
    <row r="143" spans="1:3">
      <c r="A143" s="789" t="s">
        <v>227</v>
      </c>
      <c r="B143" s="789"/>
      <c r="C143" s="68">
        <f>ROUND(+B142*C141,2)</f>
        <v>0</v>
      </c>
    </row>
    <row r="145" spans="1:3">
      <c r="A145" s="788" t="s">
        <v>228</v>
      </c>
      <c r="B145" s="788"/>
      <c r="C145" s="788"/>
    </row>
    <row r="146" spans="1:3">
      <c r="A146" s="29" t="s">
        <v>157</v>
      </c>
      <c r="B146" s="29">
        <f>+$B$4</f>
        <v>365.25</v>
      </c>
      <c r="C146" s="65"/>
    </row>
    <row r="147" spans="1:3">
      <c r="A147" s="29" t="s">
        <v>158</v>
      </c>
      <c r="B147" s="49">
        <v>12</v>
      </c>
      <c r="C147" s="65"/>
    </row>
    <row r="148" spans="1:3">
      <c r="A148" s="29" t="s">
        <v>159</v>
      </c>
      <c r="B148" s="39">
        <v>0.5</v>
      </c>
      <c r="C148" s="65"/>
    </row>
    <row r="149" spans="1:3">
      <c r="A149" s="102" t="s">
        <v>221</v>
      </c>
      <c r="B149" s="49">
        <v>7</v>
      </c>
      <c r="C149" s="65"/>
    </row>
    <row r="150" spans="1:3">
      <c r="A150" s="49" t="s">
        <v>229</v>
      </c>
      <c r="B150" s="88">
        <f>(365.25/12/2)/(7/7)</f>
        <v>15.21875</v>
      </c>
      <c r="C150" s="29"/>
    </row>
    <row r="151" spans="1:3">
      <c r="A151" s="49" t="s">
        <v>230</v>
      </c>
      <c r="B151" s="29">
        <f>ROUND(+B150*B149,2)</f>
        <v>106.53</v>
      </c>
      <c r="C151" s="29"/>
    </row>
    <row r="152" spans="1:3">
      <c r="A152" s="49" t="s">
        <v>222</v>
      </c>
      <c r="B152" s="65"/>
      <c r="C152" s="40">
        <f>+'Servente 12 36 40% Diurno'!$D$12</f>
        <v>0</v>
      </c>
    </row>
    <row r="153" spans="1:3">
      <c r="A153" s="49" t="s">
        <v>34</v>
      </c>
      <c r="B153" s="65"/>
      <c r="C153" s="40">
        <f>+'Servente 12 36 40% Diurno'!$D$13</f>
        <v>0</v>
      </c>
    </row>
    <row r="154" spans="1:3">
      <c r="A154" s="49" t="s">
        <v>35</v>
      </c>
      <c r="B154" s="65"/>
      <c r="C154" s="40">
        <f>+'Servente 12 36 40% Diurno'!$D$14</f>
        <v>0</v>
      </c>
    </row>
    <row r="155" spans="1:3">
      <c r="A155" s="96" t="s">
        <v>223</v>
      </c>
      <c r="B155" s="65"/>
      <c r="C155" s="97">
        <f>SUM(C152:C154)</f>
        <v>0</v>
      </c>
    </row>
    <row r="156" spans="1:3">
      <c r="A156" s="29" t="s">
        <v>152</v>
      </c>
      <c r="B156" s="103">
        <f>+B3</f>
        <v>220</v>
      </c>
      <c r="C156" s="65"/>
    </row>
    <row r="157" spans="1:3">
      <c r="A157" s="49" t="s">
        <v>224</v>
      </c>
      <c r="B157" s="39">
        <v>0.2</v>
      </c>
      <c r="C157" s="65"/>
    </row>
    <row r="158" spans="1:3">
      <c r="A158" s="49" t="s">
        <v>225</v>
      </c>
      <c r="B158" s="65"/>
      <c r="C158" s="104">
        <f>ROUND((C155/B156)*B157,2)</f>
        <v>0</v>
      </c>
    </row>
    <row r="159" spans="1:3">
      <c r="A159" s="49" t="s">
        <v>231</v>
      </c>
      <c r="B159" s="29">
        <v>60</v>
      </c>
      <c r="C159" s="65"/>
    </row>
    <row r="160" spans="1:3">
      <c r="A160" s="49" t="s">
        <v>232</v>
      </c>
      <c r="B160" s="29">
        <v>52.5</v>
      </c>
      <c r="C160" s="65"/>
    </row>
    <row r="161" spans="1:3">
      <c r="A161" s="49" t="s">
        <v>233</v>
      </c>
      <c r="B161" s="29">
        <f>+B159/B160</f>
        <v>1.1428571428571428</v>
      </c>
      <c r="C161" s="65"/>
    </row>
    <row r="162" spans="1:3">
      <c r="A162" s="49" t="s">
        <v>234</v>
      </c>
      <c r="B162" s="29">
        <f>ROUND(+B161*B151,2)</f>
        <v>121.75</v>
      </c>
      <c r="C162" s="65"/>
    </row>
    <row r="163" spans="1:3">
      <c r="A163" s="49" t="s">
        <v>235</v>
      </c>
      <c r="B163" s="29">
        <f>ROUND(B162-B151,2)</f>
        <v>15.22</v>
      </c>
      <c r="C163" s="105"/>
    </row>
    <row r="164" spans="1:3">
      <c r="A164" s="754" t="s">
        <v>236</v>
      </c>
      <c r="B164" s="754"/>
      <c r="C164" s="77">
        <f>+B163*C158</f>
        <v>0</v>
      </c>
    </row>
  </sheetData>
  <mergeCells count="37">
    <mergeCell ref="A164:B164"/>
    <mergeCell ref="A117:C117"/>
    <mergeCell ref="A126:B126"/>
    <mergeCell ref="A128:C128"/>
    <mergeCell ref="A130:C130"/>
    <mergeCell ref="A143:B143"/>
    <mergeCell ref="A145:C145"/>
    <mergeCell ref="A116:B116"/>
    <mergeCell ref="A70:C73"/>
    <mergeCell ref="A75:C75"/>
    <mergeCell ref="A80:B80"/>
    <mergeCell ref="A82:C82"/>
    <mergeCell ref="A89:B89"/>
    <mergeCell ref="A91:C91"/>
    <mergeCell ref="A97:B97"/>
    <mergeCell ref="A99:C99"/>
    <mergeCell ref="A105:B105"/>
    <mergeCell ref="A107:C107"/>
    <mergeCell ref="A108:C108"/>
    <mergeCell ref="A69:C69"/>
    <mergeCell ref="A31:B31"/>
    <mergeCell ref="A33:C33"/>
    <mergeCell ref="A42:B42"/>
    <mergeCell ref="A44:B44"/>
    <mergeCell ref="A45:B45"/>
    <mergeCell ref="A47:C47"/>
    <mergeCell ref="A53:B53"/>
    <mergeCell ref="A55:C55"/>
    <mergeCell ref="A64:B64"/>
    <mergeCell ref="A66:B66"/>
    <mergeCell ref="A67:B67"/>
    <mergeCell ref="A27:C27"/>
    <mergeCell ref="A1:C1"/>
    <mergeCell ref="A9:C9"/>
    <mergeCell ref="A16:B16"/>
    <mergeCell ref="A18:C18"/>
    <mergeCell ref="A25:B25"/>
  </mergeCells>
  <pageMargins left="0.91" right="7.0000000000000007E-2" top="0.41" bottom="0.54" header="0.31496062992125984" footer="0.31496062992125984"/>
  <pageSetup paperSize="9" scale="85" orientation="portrait" r:id="rId1"/>
  <headerFooter>
    <oddFoote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G168"/>
  <sheetViews>
    <sheetView topLeftCell="A131" workbookViewId="0">
      <selection activeCell="A155" sqref="A155:XFD165"/>
    </sheetView>
  </sheetViews>
  <sheetFormatPr defaultRowHeight="13.2"/>
  <cols>
    <col min="1" max="1" width="5.6328125" customWidth="1"/>
    <col min="2" max="2" width="50.453125" customWidth="1"/>
    <col min="3" max="3" width="9.36328125" bestFit="1" customWidth="1"/>
    <col min="4" max="4" width="15.6328125" customWidth="1"/>
    <col min="5" max="5" width="11.7265625" bestFit="1" customWidth="1"/>
  </cols>
  <sheetData>
    <row r="1" spans="1:6">
      <c r="A1" s="718" t="s">
        <v>22</v>
      </c>
      <c r="B1" s="719"/>
      <c r="C1" s="719"/>
      <c r="D1" s="720"/>
      <c r="E1" s="6"/>
      <c r="F1" s="6"/>
    </row>
    <row r="3" spans="1:6">
      <c r="A3" s="721" t="s">
        <v>23</v>
      </c>
      <c r="B3" s="722"/>
      <c r="C3" s="722"/>
      <c r="D3" s="723"/>
    </row>
    <row r="4" spans="1:6" s="9" customFormat="1" ht="30" customHeight="1">
      <c r="A4" s="116">
        <v>1</v>
      </c>
      <c r="B4" s="117" t="s">
        <v>24</v>
      </c>
      <c r="C4" s="828" t="s">
        <v>276</v>
      </c>
      <c r="D4" s="829"/>
    </row>
    <row r="5" spans="1:6" s="9" customFormat="1">
      <c r="A5" s="116">
        <v>2</v>
      </c>
      <c r="B5" s="117" t="s">
        <v>25</v>
      </c>
      <c r="C5" s="830" t="s">
        <v>270</v>
      </c>
      <c r="D5" s="831"/>
    </row>
    <row r="6" spans="1:6" s="9" customFormat="1">
      <c r="A6" s="116">
        <v>3</v>
      </c>
      <c r="B6" s="117" t="s">
        <v>26</v>
      </c>
      <c r="C6" s="832">
        <f>+Resumo!H19</f>
        <v>0</v>
      </c>
      <c r="D6" s="832"/>
    </row>
    <row r="7" spans="1:6" s="9" customFormat="1">
      <c r="A7" s="116">
        <v>4</v>
      </c>
      <c r="B7" s="117" t="s">
        <v>27</v>
      </c>
      <c r="C7" s="833" t="s">
        <v>256</v>
      </c>
      <c r="D7" s="834"/>
    </row>
    <row r="8" spans="1:6" s="9" customFormat="1">
      <c r="A8" s="116">
        <v>5</v>
      </c>
      <c r="B8" s="117" t="s">
        <v>28</v>
      </c>
      <c r="C8" s="835">
        <v>43524</v>
      </c>
      <c r="D8" s="831"/>
    </row>
    <row r="9" spans="1:6">
      <c r="D9" s="10"/>
    </row>
    <row r="10" spans="1:6">
      <c r="A10" s="732" t="s">
        <v>29</v>
      </c>
      <c r="B10" s="733"/>
      <c r="C10" s="733"/>
      <c r="D10" s="733"/>
    </row>
    <row r="11" spans="1:6">
      <c r="A11" s="11">
        <v>1</v>
      </c>
      <c r="B11" s="12" t="s">
        <v>30</v>
      </c>
      <c r="C11" s="13" t="s">
        <v>31</v>
      </c>
      <c r="D11" s="14" t="s">
        <v>32</v>
      </c>
    </row>
    <row r="12" spans="1:6">
      <c r="A12" s="16" t="s">
        <v>4</v>
      </c>
      <c r="B12" s="734" t="s">
        <v>33</v>
      </c>
      <c r="C12" s="734"/>
      <c r="D12" s="17">
        <f>+C6</f>
        <v>0</v>
      </c>
    </row>
    <row r="13" spans="1:6">
      <c r="A13" s="16" t="s">
        <v>6</v>
      </c>
      <c r="B13" s="18" t="s">
        <v>34</v>
      </c>
      <c r="C13" s="19"/>
      <c r="D13" s="17"/>
      <c r="E13" s="20"/>
    </row>
    <row r="14" spans="1:6">
      <c r="A14" s="116" t="s">
        <v>9</v>
      </c>
      <c r="B14" s="139" t="s">
        <v>35</v>
      </c>
      <c r="C14" s="140">
        <v>0.4</v>
      </c>
      <c r="D14" s="141">
        <f>+C14*D12</f>
        <v>0</v>
      </c>
    </row>
    <row r="15" spans="1:6">
      <c r="A15" s="16" t="s">
        <v>11</v>
      </c>
      <c r="B15" s="734" t="s">
        <v>36</v>
      </c>
      <c r="C15" s="734"/>
      <c r="D15" s="17">
        <f>+'MenCal Servente 12 36 40% Not'!C143</f>
        <v>0</v>
      </c>
    </row>
    <row r="16" spans="1:6">
      <c r="A16" s="16" t="s">
        <v>37</v>
      </c>
      <c r="B16" s="734" t="s">
        <v>38</v>
      </c>
      <c r="C16" s="734"/>
      <c r="D16" s="17">
        <f>+'MenCal Servente 12 36 40% Not'!C164</f>
        <v>0</v>
      </c>
    </row>
    <row r="17" spans="1:6">
      <c r="A17" s="16" t="s">
        <v>39</v>
      </c>
      <c r="B17" s="716" t="s">
        <v>40</v>
      </c>
      <c r="C17" s="717"/>
      <c r="D17" s="17"/>
    </row>
    <row r="18" spans="1:6">
      <c r="A18" s="16" t="s">
        <v>41</v>
      </c>
      <c r="B18" s="734" t="s">
        <v>42</v>
      </c>
      <c r="C18" s="734"/>
      <c r="D18" s="17"/>
    </row>
    <row r="19" spans="1:6">
      <c r="A19" s="16" t="s">
        <v>43</v>
      </c>
      <c r="B19" s="716" t="s">
        <v>44</v>
      </c>
      <c r="C19" s="717"/>
      <c r="D19" s="21"/>
    </row>
    <row r="20" spans="1:6">
      <c r="A20" s="16" t="s">
        <v>45</v>
      </c>
      <c r="B20" s="18" t="s">
        <v>46</v>
      </c>
      <c r="C20" s="19"/>
      <c r="D20" s="17"/>
    </row>
    <row r="21" spans="1:6">
      <c r="A21" s="16" t="s">
        <v>47</v>
      </c>
      <c r="B21" s="735" t="s">
        <v>48</v>
      </c>
      <c r="C21" s="653"/>
      <c r="D21" s="22"/>
      <c r="F21" s="23"/>
    </row>
    <row r="22" spans="1:6">
      <c r="A22" s="16" t="s">
        <v>49</v>
      </c>
      <c r="B22" s="734" t="s">
        <v>50</v>
      </c>
      <c r="C22" s="734"/>
      <c r="D22" s="22"/>
    </row>
    <row r="23" spans="1:6">
      <c r="A23" s="736" t="s">
        <v>21</v>
      </c>
      <c r="B23" s="736"/>
      <c r="C23" s="736"/>
      <c r="D23" s="24">
        <f>SUM(D12:D22)</f>
        <v>0</v>
      </c>
    </row>
    <row r="25" spans="1:6">
      <c r="A25" s="732" t="s">
        <v>51</v>
      </c>
      <c r="B25" s="733"/>
      <c r="C25" s="733"/>
      <c r="D25" s="733"/>
    </row>
    <row r="27" spans="1:6">
      <c r="A27" s="732" t="s">
        <v>52</v>
      </c>
      <c r="B27" s="733"/>
      <c r="C27" s="733"/>
      <c r="D27" s="733"/>
    </row>
    <row r="28" spans="1:6">
      <c r="A28" s="25" t="s">
        <v>53</v>
      </c>
      <c r="B28" s="26" t="s">
        <v>54</v>
      </c>
      <c r="C28" s="27" t="s">
        <v>31</v>
      </c>
      <c r="D28" s="28" t="s">
        <v>32</v>
      </c>
    </row>
    <row r="29" spans="1:6">
      <c r="A29" s="16" t="s">
        <v>4</v>
      </c>
      <c r="B29" s="29" t="s">
        <v>55</v>
      </c>
      <c r="C29" s="30" t="e">
        <f>ROUND(+D29/$D$23,4)</f>
        <v>#DIV/0!</v>
      </c>
      <c r="D29" s="22">
        <f>ROUND(+D23/12,2)</f>
        <v>0</v>
      </c>
    </row>
    <row r="30" spans="1:6">
      <c r="A30" s="31" t="s">
        <v>6</v>
      </c>
      <c r="B30" s="32" t="s">
        <v>56</v>
      </c>
      <c r="C30" s="33" t="e">
        <f>ROUND(+D30/$D$23,4)</f>
        <v>#DIV/0!</v>
      </c>
      <c r="D30" s="34">
        <f>+D31+D32</f>
        <v>0</v>
      </c>
    </row>
    <row r="31" spans="1:6">
      <c r="A31" s="16" t="s">
        <v>57</v>
      </c>
      <c r="B31" s="35" t="s">
        <v>58</v>
      </c>
      <c r="C31" s="36" t="e">
        <f>ROUND(+D31/$D$23,4)</f>
        <v>#DIV/0!</v>
      </c>
      <c r="D31" s="37">
        <f>ROUND(+D23/12,2)</f>
        <v>0</v>
      </c>
    </row>
    <row r="32" spans="1:6">
      <c r="A32" s="16" t="s">
        <v>59</v>
      </c>
      <c r="B32" s="35" t="s">
        <v>60</v>
      </c>
      <c r="C32" s="36" t="e">
        <f>ROUND(+D32/$D$23,4)</f>
        <v>#DIV/0!</v>
      </c>
      <c r="D32" s="37">
        <f>ROUND(+(D23*1/3)/12,2)</f>
        <v>0</v>
      </c>
    </row>
    <row r="33" spans="1:4">
      <c r="A33" s="736" t="s">
        <v>21</v>
      </c>
      <c r="B33" s="736"/>
      <c r="C33" s="736"/>
      <c r="D33" s="24">
        <f>+D30+D29</f>
        <v>0</v>
      </c>
    </row>
    <row r="35" spans="1:4">
      <c r="A35" s="737" t="s">
        <v>61</v>
      </c>
      <c r="B35" s="738"/>
      <c r="C35" s="738"/>
      <c r="D35" s="738"/>
    </row>
    <row r="36" spans="1:4">
      <c r="A36" s="25" t="s">
        <v>62</v>
      </c>
      <c r="B36" s="38" t="s">
        <v>63</v>
      </c>
      <c r="C36" s="27" t="s">
        <v>31</v>
      </c>
      <c r="D36" s="28" t="s">
        <v>32</v>
      </c>
    </row>
    <row r="37" spans="1:4">
      <c r="A37" s="16" t="s">
        <v>4</v>
      </c>
      <c r="B37" s="29" t="s">
        <v>64</v>
      </c>
      <c r="C37" s="39">
        <v>0.2</v>
      </c>
      <c r="D37" s="40">
        <f>ROUND(C37*($D$23+$D$33),2)</f>
        <v>0</v>
      </c>
    </row>
    <row r="38" spans="1:4">
      <c r="A38" s="16" t="s">
        <v>6</v>
      </c>
      <c r="B38" s="29" t="s">
        <v>65</v>
      </c>
      <c r="C38" s="39">
        <v>2.5000000000000001E-2</v>
      </c>
      <c r="D38" s="40">
        <f>ROUND(C38*($D$23+$D$33),2)</f>
        <v>0</v>
      </c>
    </row>
    <row r="39" spans="1:4">
      <c r="A39" s="16" t="s">
        <v>9</v>
      </c>
      <c r="B39" s="29" t="s">
        <v>66</v>
      </c>
      <c r="C39" s="39">
        <f>3%</f>
        <v>0.03</v>
      </c>
      <c r="D39" s="40">
        <f t="shared" ref="D39:D43" si="0">ROUND(C39*($D$23+$D$33),2)</f>
        <v>0</v>
      </c>
    </row>
    <row r="40" spans="1:4">
      <c r="A40" s="16" t="s">
        <v>11</v>
      </c>
      <c r="B40" s="29" t="s">
        <v>67</v>
      </c>
      <c r="C40" s="39">
        <v>1.4999999999999999E-2</v>
      </c>
      <c r="D40" s="40">
        <f t="shared" si="0"/>
        <v>0</v>
      </c>
    </row>
    <row r="41" spans="1:4">
      <c r="A41" s="16" t="s">
        <v>37</v>
      </c>
      <c r="B41" s="29" t="s">
        <v>68</v>
      </c>
      <c r="C41" s="39">
        <v>0.01</v>
      </c>
      <c r="D41" s="40">
        <f t="shared" si="0"/>
        <v>0</v>
      </c>
    </row>
    <row r="42" spans="1:4">
      <c r="A42" s="16" t="s">
        <v>39</v>
      </c>
      <c r="B42" s="29" t="s">
        <v>69</v>
      </c>
      <c r="C42" s="39">
        <v>6.0000000000000001E-3</v>
      </c>
      <c r="D42" s="40">
        <f t="shared" si="0"/>
        <v>0</v>
      </c>
    </row>
    <row r="43" spans="1:4">
      <c r="A43" s="16" t="s">
        <v>41</v>
      </c>
      <c r="B43" s="29" t="s">
        <v>70</v>
      </c>
      <c r="C43" s="39">
        <v>2E-3</v>
      </c>
      <c r="D43" s="40">
        <f t="shared" si="0"/>
        <v>0</v>
      </c>
    </row>
    <row r="44" spans="1:4">
      <c r="A44" s="16" t="s">
        <v>43</v>
      </c>
      <c r="B44" s="29" t="s">
        <v>71</v>
      </c>
      <c r="C44" s="39">
        <v>0.08</v>
      </c>
      <c r="D44" s="40">
        <f>ROUND(C44*($D$23+$D$33),2)</f>
        <v>0</v>
      </c>
    </row>
    <row r="45" spans="1:4">
      <c r="A45" s="41" t="s">
        <v>21</v>
      </c>
      <c r="B45" s="42"/>
      <c r="C45" s="43">
        <f>SUM(C37:C44)</f>
        <v>0.36800000000000005</v>
      </c>
      <c r="D45" s="44">
        <f>SUM(D37:D44)</f>
        <v>0</v>
      </c>
    </row>
    <row r="46" spans="1:4">
      <c r="A46" s="45"/>
      <c r="B46" s="45"/>
      <c r="C46" s="45"/>
      <c r="D46" s="45"/>
    </row>
    <row r="47" spans="1:4">
      <c r="A47" s="737" t="s">
        <v>72</v>
      </c>
      <c r="B47" s="738"/>
      <c r="C47" s="738"/>
      <c r="D47" s="738"/>
    </row>
    <row r="48" spans="1:4">
      <c r="A48" s="25" t="s">
        <v>73</v>
      </c>
      <c r="B48" s="38" t="s">
        <v>74</v>
      </c>
      <c r="C48" s="27"/>
      <c r="D48" s="28" t="s">
        <v>32</v>
      </c>
    </row>
    <row r="49" spans="1:6">
      <c r="A49" s="46" t="s">
        <v>4</v>
      </c>
      <c r="B49" s="29" t="s">
        <v>75</v>
      </c>
      <c r="C49" s="47"/>
      <c r="D49" s="40">
        <f>+'MenCal Servente 12 36 40% Not'!C16</f>
        <v>0</v>
      </c>
    </row>
    <row r="50" spans="1:6" s="51" customFormat="1">
      <c r="A50" s="48" t="s">
        <v>76</v>
      </c>
      <c r="B50" s="49" t="s">
        <v>77</v>
      </c>
      <c r="C50" s="30">
        <f>+$C$135+$C$136</f>
        <v>9.2499999999999999E-2</v>
      </c>
      <c r="D50" s="50">
        <f>+(C50*D49)*-1</f>
        <v>0</v>
      </c>
      <c r="F50" s="52"/>
    </row>
    <row r="51" spans="1:6">
      <c r="A51" s="46" t="s">
        <v>6</v>
      </c>
      <c r="B51" s="29" t="s">
        <v>78</v>
      </c>
      <c r="C51" s="47"/>
      <c r="D51" s="40">
        <f>+'MenCal Servente 12 36 40% Not'!C25</f>
        <v>0</v>
      </c>
      <c r="F51" s="53"/>
    </row>
    <row r="52" spans="1:6" s="51" customFormat="1">
      <c r="A52" s="48" t="s">
        <v>57</v>
      </c>
      <c r="B52" s="49" t="s">
        <v>77</v>
      </c>
      <c r="C52" s="30">
        <f>+$C$135+$C$136</f>
        <v>9.2499999999999999E-2</v>
      </c>
      <c r="D52" s="50">
        <f>+(C52*D51)*-1</f>
        <v>0</v>
      </c>
      <c r="F52" s="54"/>
    </row>
    <row r="53" spans="1:6">
      <c r="A53" s="92" t="s">
        <v>9</v>
      </c>
      <c r="B53" s="92" t="s">
        <v>79</v>
      </c>
      <c r="C53" s="47"/>
      <c r="D53" s="230"/>
      <c r="F53" s="53"/>
    </row>
    <row r="54" spans="1:6">
      <c r="A54" s="48" t="s">
        <v>80</v>
      </c>
      <c r="B54" s="49" t="s">
        <v>77</v>
      </c>
      <c r="C54" s="30">
        <f>+$C$135+$C$136</f>
        <v>9.2499999999999999E-2</v>
      </c>
      <c r="D54" s="50">
        <f>+(C54*D53)*-1</f>
        <v>0</v>
      </c>
      <c r="F54" s="53"/>
    </row>
    <row r="55" spans="1:6">
      <c r="A55" s="92" t="s">
        <v>11</v>
      </c>
      <c r="B55" s="90" t="s">
        <v>676</v>
      </c>
      <c r="C55" s="47"/>
      <c r="D55" s="230"/>
      <c r="F55" s="53"/>
    </row>
    <row r="56" spans="1:6">
      <c r="A56" s="48" t="s">
        <v>81</v>
      </c>
      <c r="B56" s="49" t="s">
        <v>77</v>
      </c>
      <c r="C56" s="30">
        <f>+$C$135+$C$136</f>
        <v>9.2499999999999999E-2</v>
      </c>
      <c r="D56" s="50">
        <f>+(C56*D55)*-1</f>
        <v>0</v>
      </c>
      <c r="F56" s="53"/>
    </row>
    <row r="57" spans="1:6" ht="26.4">
      <c r="A57" s="92" t="s">
        <v>37</v>
      </c>
      <c r="B57" s="558" t="s">
        <v>677</v>
      </c>
      <c r="C57" s="47"/>
      <c r="D57" s="231"/>
      <c r="F57" s="55"/>
    </row>
    <row r="58" spans="1:6">
      <c r="A58" s="48" t="s">
        <v>82</v>
      </c>
      <c r="B58" s="49" t="s">
        <v>77</v>
      </c>
      <c r="C58" s="30">
        <f>+$C$135+$C$136</f>
        <v>9.2499999999999999E-2</v>
      </c>
      <c r="D58" s="50">
        <f>+(C58*D57)*-1</f>
        <v>0</v>
      </c>
    </row>
    <row r="59" spans="1:6">
      <c r="A59" s="92" t="s">
        <v>39</v>
      </c>
      <c r="B59" s="739" t="s">
        <v>83</v>
      </c>
      <c r="C59" s="739"/>
      <c r="D59" s="230"/>
    </row>
    <row r="60" spans="1:6">
      <c r="A60" s="48" t="s">
        <v>84</v>
      </c>
      <c r="B60" s="49" t="s">
        <v>77</v>
      </c>
      <c r="C60" s="30">
        <f>+$C$135+$C$136</f>
        <v>9.2499999999999999E-2</v>
      </c>
      <c r="D60" s="50">
        <f>+(C60*D59)*-1</f>
        <v>0</v>
      </c>
    </row>
    <row r="61" spans="1:6">
      <c r="A61" s="721" t="s">
        <v>21</v>
      </c>
      <c r="B61" s="723"/>
      <c r="C61" s="56"/>
      <c r="D61" s="57">
        <f>SUM(D49:D60)</f>
        <v>0</v>
      </c>
    </row>
    <row r="63" spans="1:6">
      <c r="A63" s="732" t="s">
        <v>85</v>
      </c>
      <c r="B63" s="733"/>
      <c r="C63" s="733"/>
      <c r="D63" s="733"/>
    </row>
    <row r="64" spans="1:6">
      <c r="A64" s="58">
        <v>2</v>
      </c>
      <c r="B64" s="742" t="s">
        <v>86</v>
      </c>
      <c r="C64" s="742"/>
      <c r="D64" s="59" t="s">
        <v>32</v>
      </c>
    </row>
    <row r="65" spans="1:4">
      <c r="A65" s="60" t="s">
        <v>53</v>
      </c>
      <c r="B65" s="743" t="s">
        <v>54</v>
      </c>
      <c r="C65" s="743"/>
      <c r="D65" s="40">
        <f>+D33</f>
        <v>0</v>
      </c>
    </row>
    <row r="66" spans="1:4">
      <c r="A66" s="60" t="s">
        <v>62</v>
      </c>
      <c r="B66" s="743" t="s">
        <v>63</v>
      </c>
      <c r="C66" s="743"/>
      <c r="D66" s="40">
        <f>+D45</f>
        <v>0</v>
      </c>
    </row>
    <row r="67" spans="1:4">
      <c r="A67" s="60" t="s">
        <v>73</v>
      </c>
      <c r="B67" s="743" t="s">
        <v>74</v>
      </c>
      <c r="C67" s="743"/>
      <c r="D67" s="61">
        <f>+D61</f>
        <v>0</v>
      </c>
    </row>
    <row r="68" spans="1:4">
      <c r="A68" s="742" t="s">
        <v>21</v>
      </c>
      <c r="B68" s="742"/>
      <c r="C68" s="742"/>
      <c r="D68" s="62">
        <f>SUM(D65:D67)</f>
        <v>0</v>
      </c>
    </row>
    <row r="70" spans="1:4">
      <c r="A70" s="732" t="s">
        <v>87</v>
      </c>
      <c r="B70" s="733"/>
      <c r="C70" s="733"/>
      <c r="D70" s="733"/>
    </row>
    <row r="72" spans="1:4">
      <c r="A72" s="63">
        <v>3</v>
      </c>
      <c r="B72" s="26" t="s">
        <v>88</v>
      </c>
      <c r="C72" s="13" t="s">
        <v>31</v>
      </c>
      <c r="D72" s="13" t="s">
        <v>32</v>
      </c>
    </row>
    <row r="73" spans="1:4">
      <c r="A73" s="16" t="s">
        <v>4</v>
      </c>
      <c r="B73" s="49" t="s">
        <v>89</v>
      </c>
      <c r="C73" s="30" t="e">
        <f>+D73/$D$23</f>
        <v>#DIV/0!</v>
      </c>
      <c r="D73" s="64">
        <f>+'MenCal Servente 12 36 40% Not'!C31</f>
        <v>0</v>
      </c>
    </row>
    <row r="74" spans="1:4">
      <c r="A74" s="16" t="s">
        <v>6</v>
      </c>
      <c r="B74" s="29" t="s">
        <v>90</v>
      </c>
      <c r="C74" s="65"/>
      <c r="D74" s="22">
        <f>ROUND(+D73*$C$44,2)</f>
        <v>0</v>
      </c>
    </row>
    <row r="75" spans="1:4" ht="26.4">
      <c r="A75" s="16" t="s">
        <v>9</v>
      </c>
      <c r="B75" s="5" t="s">
        <v>91</v>
      </c>
      <c r="C75" s="39" t="e">
        <f>+D75/$D$23</f>
        <v>#DIV/0!</v>
      </c>
      <c r="D75" s="22">
        <f>+'MenCal Servente 12 36 40% Not'!C45</f>
        <v>0</v>
      </c>
    </row>
    <row r="76" spans="1:4">
      <c r="A76" s="66" t="s">
        <v>11</v>
      </c>
      <c r="B76" s="29" t="s">
        <v>92</v>
      </c>
      <c r="C76" s="39" t="e">
        <f>+D76/$D$23</f>
        <v>#DIV/0!</v>
      </c>
      <c r="D76" s="22">
        <f>+'MenCal Servente 12 36 40% Not'!C53</f>
        <v>0</v>
      </c>
    </row>
    <row r="77" spans="1:4" ht="26.4">
      <c r="A77" s="66" t="s">
        <v>37</v>
      </c>
      <c r="B77" s="5" t="s">
        <v>93</v>
      </c>
      <c r="C77" s="65"/>
      <c r="D77" s="67"/>
    </row>
    <row r="78" spans="1:4" ht="26.4">
      <c r="A78" s="66" t="s">
        <v>39</v>
      </c>
      <c r="B78" s="5" t="s">
        <v>94</v>
      </c>
      <c r="C78" s="39" t="e">
        <f>+D78/$D$23</f>
        <v>#DIV/0!</v>
      </c>
      <c r="D78" s="40">
        <f>+'MenCal Servente 12 36 40% Not'!C67</f>
        <v>0</v>
      </c>
    </row>
    <row r="79" spans="1:4">
      <c r="A79" s="721" t="s">
        <v>21</v>
      </c>
      <c r="B79" s="722"/>
      <c r="C79" s="723"/>
      <c r="D79" s="68">
        <f>SUM(D73:D78)</f>
        <v>0</v>
      </c>
    </row>
    <row r="81" spans="1:4">
      <c r="A81" s="732" t="s">
        <v>95</v>
      </c>
      <c r="B81" s="733"/>
      <c r="C81" s="733"/>
      <c r="D81" s="733"/>
    </row>
    <row r="83" spans="1:4">
      <c r="A83" s="744" t="s">
        <v>96</v>
      </c>
      <c r="B83" s="744"/>
      <c r="C83" s="744"/>
      <c r="D83" s="744"/>
    </row>
    <row r="84" spans="1:4">
      <c r="A84" s="63" t="s">
        <v>97</v>
      </c>
      <c r="B84" s="721" t="s">
        <v>98</v>
      </c>
      <c r="C84" s="723"/>
      <c r="D84" s="13" t="s">
        <v>32</v>
      </c>
    </row>
    <row r="85" spans="1:4">
      <c r="A85" s="29" t="s">
        <v>4</v>
      </c>
      <c r="B85" s="740" t="s">
        <v>99</v>
      </c>
      <c r="C85" s="741"/>
      <c r="D85" s="22"/>
    </row>
    <row r="86" spans="1:4">
      <c r="A86" s="49" t="s">
        <v>6</v>
      </c>
      <c r="B86" s="747" t="s">
        <v>98</v>
      </c>
      <c r="C86" s="748"/>
      <c r="D86" s="69">
        <f>+'MenCal Servente 12 36 40% Not'!C80</f>
        <v>0</v>
      </c>
    </row>
    <row r="87" spans="1:4" s="51" customFormat="1">
      <c r="A87" s="49" t="s">
        <v>9</v>
      </c>
      <c r="B87" s="747" t="s">
        <v>100</v>
      </c>
      <c r="C87" s="748"/>
      <c r="D87" s="69">
        <f>+'MenCal Servente 12 36 40% Not'!C89</f>
        <v>0</v>
      </c>
    </row>
    <row r="88" spans="1:4" s="51" customFormat="1">
      <c r="A88" s="49" t="s">
        <v>11</v>
      </c>
      <c r="B88" s="747" t="s">
        <v>101</v>
      </c>
      <c r="C88" s="748"/>
      <c r="D88" s="69">
        <f>+'MenCal Servente 12 36 40% Not'!C97</f>
        <v>0</v>
      </c>
    </row>
    <row r="89" spans="1:4" s="51" customFormat="1">
      <c r="A89" s="49" t="s">
        <v>37</v>
      </c>
      <c r="B89" s="747" t="s">
        <v>102</v>
      </c>
      <c r="C89" s="748"/>
      <c r="D89" s="69"/>
    </row>
    <row r="90" spans="1:4" s="51" customFormat="1">
      <c r="A90" s="49" t="s">
        <v>39</v>
      </c>
      <c r="B90" s="747" t="s">
        <v>103</v>
      </c>
      <c r="C90" s="748"/>
      <c r="D90" s="69">
        <f>+'MenCal Servente 12 36 40% Not'!C105</f>
        <v>0</v>
      </c>
    </row>
    <row r="91" spans="1:4">
      <c r="A91" s="29" t="s">
        <v>41</v>
      </c>
      <c r="B91" s="740" t="s">
        <v>50</v>
      </c>
      <c r="C91" s="741"/>
      <c r="D91" s="22"/>
    </row>
    <row r="92" spans="1:4">
      <c r="A92" s="29" t="s">
        <v>43</v>
      </c>
      <c r="B92" s="740" t="s">
        <v>104</v>
      </c>
      <c r="C92" s="741"/>
      <c r="D92" s="67"/>
    </row>
    <row r="93" spans="1:4">
      <c r="A93" s="736" t="s">
        <v>21</v>
      </c>
      <c r="B93" s="736"/>
      <c r="C93" s="736"/>
      <c r="D93" s="24">
        <f>SUM(D85:D92)</f>
        <v>0</v>
      </c>
    </row>
    <row r="94" spans="1:4">
      <c r="D94" s="70"/>
    </row>
    <row r="95" spans="1:4">
      <c r="A95" s="63" t="s">
        <v>105</v>
      </c>
      <c r="B95" s="721" t="s">
        <v>106</v>
      </c>
      <c r="C95" s="723"/>
      <c r="D95" s="13" t="s">
        <v>32</v>
      </c>
    </row>
    <row r="96" spans="1:4" s="51" customFormat="1">
      <c r="A96" s="49" t="s">
        <v>4</v>
      </c>
      <c r="B96" s="749" t="s">
        <v>107</v>
      </c>
      <c r="C96" s="750"/>
      <c r="D96" s="69">
        <f>+'MenCal Servente 12 36 40% Not'!C116</f>
        <v>0</v>
      </c>
    </row>
    <row r="97" spans="1:4" s="51" customFormat="1">
      <c r="A97" s="49" t="s">
        <v>6</v>
      </c>
      <c r="B97" s="745" t="s">
        <v>108</v>
      </c>
      <c r="C97" s="746"/>
      <c r="D97" s="67"/>
    </row>
    <row r="98" spans="1:4" s="51" customFormat="1">
      <c r="A98" s="49" t="s">
        <v>9</v>
      </c>
      <c r="B98" s="745" t="s">
        <v>109</v>
      </c>
      <c r="C98" s="746"/>
      <c r="D98" s="67"/>
    </row>
    <row r="99" spans="1:4">
      <c r="A99" s="29" t="s">
        <v>11</v>
      </c>
      <c r="B99" s="740" t="s">
        <v>50</v>
      </c>
      <c r="C99" s="741"/>
      <c r="D99" s="22"/>
    </row>
    <row r="100" spans="1:4">
      <c r="A100" s="736" t="s">
        <v>21</v>
      </c>
      <c r="B100" s="736"/>
      <c r="C100" s="736"/>
      <c r="D100" s="24">
        <f>SUM(D96:D99)</f>
        <v>0</v>
      </c>
    </row>
    <row r="101" spans="1:4">
      <c r="D101" s="70"/>
    </row>
    <row r="102" spans="1:4">
      <c r="A102" s="63" t="s">
        <v>110</v>
      </c>
      <c r="B102" s="736" t="s">
        <v>111</v>
      </c>
      <c r="C102" s="736"/>
      <c r="D102" s="13" t="s">
        <v>32</v>
      </c>
    </row>
    <row r="103" spans="1:4" s="72" customFormat="1">
      <c r="A103" s="66" t="s">
        <v>4</v>
      </c>
      <c r="B103" s="751" t="s">
        <v>112</v>
      </c>
      <c r="C103" s="751"/>
      <c r="D103" s="71"/>
    </row>
    <row r="104" spans="1:4">
      <c r="A104" s="736" t="s">
        <v>21</v>
      </c>
      <c r="B104" s="736"/>
      <c r="C104" s="736"/>
      <c r="D104" s="24">
        <f>SUM(D103:D103)</f>
        <v>0</v>
      </c>
    </row>
    <row r="106" spans="1:4">
      <c r="A106" s="76" t="s">
        <v>113</v>
      </c>
      <c r="B106" s="76"/>
      <c r="C106" s="76"/>
      <c r="D106" s="76"/>
    </row>
    <row r="107" spans="1:4">
      <c r="A107" s="29" t="s">
        <v>97</v>
      </c>
      <c r="B107" s="740" t="s">
        <v>98</v>
      </c>
      <c r="C107" s="741"/>
      <c r="D107" s="40">
        <f>+D93</f>
        <v>0</v>
      </c>
    </row>
    <row r="108" spans="1:4">
      <c r="A108" s="29" t="s">
        <v>105</v>
      </c>
      <c r="B108" s="740" t="s">
        <v>106</v>
      </c>
      <c r="C108" s="741"/>
      <c r="D108" s="40">
        <f>+D100</f>
        <v>0</v>
      </c>
    </row>
    <row r="109" spans="1:4">
      <c r="A109" s="74"/>
      <c r="B109" s="752" t="s">
        <v>114</v>
      </c>
      <c r="C109" s="753"/>
      <c r="D109" s="75">
        <f>+D108+D107</f>
        <v>0</v>
      </c>
    </row>
    <row r="110" spans="1:4">
      <c r="A110" s="29" t="s">
        <v>110</v>
      </c>
      <c r="B110" s="740" t="s">
        <v>111</v>
      </c>
      <c r="C110" s="741"/>
      <c r="D110" s="40">
        <f>+D104</f>
        <v>0</v>
      </c>
    </row>
    <row r="111" spans="1:4">
      <c r="A111" s="754" t="s">
        <v>21</v>
      </c>
      <c r="B111" s="754"/>
      <c r="C111" s="754"/>
      <c r="D111" s="77">
        <f>+D110+D109</f>
        <v>0</v>
      </c>
    </row>
    <row r="113" spans="1:4">
      <c r="A113" s="732" t="s">
        <v>115</v>
      </c>
      <c r="B113" s="733"/>
      <c r="C113" s="733"/>
      <c r="D113" s="733"/>
    </row>
    <row r="115" spans="1:4">
      <c r="A115" s="63">
        <v>5</v>
      </c>
      <c r="B115" s="721" t="s">
        <v>116</v>
      </c>
      <c r="C115" s="723"/>
      <c r="D115" s="13" t="s">
        <v>32</v>
      </c>
    </row>
    <row r="116" spans="1:4">
      <c r="A116" s="29" t="s">
        <v>4</v>
      </c>
      <c r="B116" s="734" t="s">
        <v>117</v>
      </c>
      <c r="C116" s="734"/>
      <c r="D116" s="22">
        <f>+Uniforme!F8</f>
        <v>0</v>
      </c>
    </row>
    <row r="117" spans="1:4">
      <c r="A117" s="29" t="s">
        <v>76</v>
      </c>
      <c r="B117" s="49" t="s">
        <v>77</v>
      </c>
      <c r="C117" s="30">
        <f>+$C$135+$C$136</f>
        <v>9.2499999999999999E-2</v>
      </c>
      <c r="D117" s="50">
        <f>+(C117*D116)*-1</f>
        <v>0</v>
      </c>
    </row>
    <row r="118" spans="1:4">
      <c r="A118" s="29" t="s">
        <v>6</v>
      </c>
      <c r="B118" s="734" t="s">
        <v>118</v>
      </c>
      <c r="C118" s="734"/>
      <c r="D118" s="22"/>
    </row>
    <row r="119" spans="1:4">
      <c r="A119" s="29" t="s">
        <v>57</v>
      </c>
      <c r="B119" s="49" t="s">
        <v>77</v>
      </c>
      <c r="C119" s="30">
        <f>+$C$135+$C$136</f>
        <v>9.2499999999999999E-2</v>
      </c>
      <c r="D119" s="50">
        <f>+(C119*D118)*-1</f>
        <v>0</v>
      </c>
    </row>
    <row r="120" spans="1:4">
      <c r="A120" s="29" t="s">
        <v>9</v>
      </c>
      <c r="B120" s="734" t="s">
        <v>119</v>
      </c>
      <c r="C120" s="734"/>
      <c r="D120" s="22"/>
    </row>
    <row r="121" spans="1:4">
      <c r="A121" s="29" t="s">
        <v>80</v>
      </c>
      <c r="B121" s="49" t="s">
        <v>77</v>
      </c>
      <c r="C121" s="30">
        <f>+$C$135+$C$136</f>
        <v>9.2499999999999999E-2</v>
      </c>
      <c r="D121" s="50">
        <f>+(C121*D120)*-1</f>
        <v>0</v>
      </c>
    </row>
    <row r="122" spans="1:4">
      <c r="A122" s="29" t="s">
        <v>11</v>
      </c>
      <c r="B122" s="734" t="s">
        <v>50</v>
      </c>
      <c r="C122" s="734"/>
      <c r="D122" s="22"/>
    </row>
    <row r="123" spans="1:4">
      <c r="A123" s="29" t="s">
        <v>81</v>
      </c>
      <c r="B123" s="49" t="s">
        <v>77</v>
      </c>
      <c r="C123" s="30">
        <f>+$C$135+$C$136</f>
        <v>9.2499999999999999E-2</v>
      </c>
      <c r="D123" s="50">
        <f>+(C123*D122)*-1</f>
        <v>0</v>
      </c>
    </row>
    <row r="124" spans="1:4">
      <c r="A124" s="736" t="s">
        <v>21</v>
      </c>
      <c r="B124" s="736"/>
      <c r="C124" s="736"/>
      <c r="D124" s="24">
        <f>SUM(D116:D122)</f>
        <v>0</v>
      </c>
    </row>
    <row r="126" spans="1:4">
      <c r="A126" s="732" t="s">
        <v>120</v>
      </c>
      <c r="B126" s="733"/>
      <c r="C126" s="733"/>
      <c r="D126" s="733"/>
    </row>
    <row r="128" spans="1:4">
      <c r="A128" s="63">
        <v>6</v>
      </c>
      <c r="B128" s="26" t="s">
        <v>121</v>
      </c>
      <c r="C128" s="78" t="s">
        <v>31</v>
      </c>
      <c r="D128" s="13" t="s">
        <v>32</v>
      </c>
    </row>
    <row r="129" spans="1:7">
      <c r="A129" s="322" t="s">
        <v>4</v>
      </c>
      <c r="B129" s="322" t="s">
        <v>122</v>
      </c>
      <c r="C129" s="323">
        <v>0.03</v>
      </c>
      <c r="D129" s="324">
        <f>($D$124+$D$111+$D$79+$D$68+$D$23)*C129</f>
        <v>0</v>
      </c>
    </row>
    <row r="130" spans="1:7">
      <c r="A130" s="322" t="s">
        <v>6</v>
      </c>
      <c r="B130" s="322" t="s">
        <v>123</v>
      </c>
      <c r="C130" s="323">
        <v>0.03</v>
      </c>
      <c r="D130" s="324">
        <f>($D$124+$D$111+$D$79+$D$68+$D$23+D129)*C130</f>
        <v>0</v>
      </c>
    </row>
    <row r="131" spans="1:7" s="80" customFormat="1">
      <c r="A131" s="756" t="s">
        <v>124</v>
      </c>
      <c r="B131" s="757"/>
      <c r="C131" s="758"/>
      <c r="D131" s="79">
        <f>++D130+D129+D124+D111+D79+D68+D23</f>
        <v>0</v>
      </c>
    </row>
    <row r="132" spans="1:7" s="80" customFormat="1" ht="33" customHeight="1">
      <c r="A132" s="759" t="s">
        <v>125</v>
      </c>
      <c r="B132" s="760"/>
      <c r="C132" s="761"/>
      <c r="D132" s="79">
        <f>ROUND(D131/(1-(C135+C136+C138+C140+C141)),2)</f>
        <v>0</v>
      </c>
    </row>
    <row r="133" spans="1:7">
      <c r="A133" s="29" t="s">
        <v>9</v>
      </c>
      <c r="B133" s="29" t="s">
        <v>126</v>
      </c>
      <c r="C133" s="39"/>
      <c r="D133" s="29"/>
    </row>
    <row r="134" spans="1:7">
      <c r="A134" s="29" t="s">
        <v>80</v>
      </c>
      <c r="B134" s="29" t="s">
        <v>127</v>
      </c>
      <c r="C134" s="39"/>
      <c r="D134" s="29"/>
    </row>
    <row r="135" spans="1:7">
      <c r="A135" s="322" t="s">
        <v>128</v>
      </c>
      <c r="B135" s="322" t="s">
        <v>129</v>
      </c>
      <c r="C135" s="323">
        <v>1.6500000000000001E-2</v>
      </c>
      <c r="D135" s="324">
        <f>ROUND(C135*$D$132,2)</f>
        <v>0</v>
      </c>
      <c r="G135" s="81"/>
    </row>
    <row r="136" spans="1:7">
      <c r="A136" s="322" t="s">
        <v>130</v>
      </c>
      <c r="B136" s="322" t="s">
        <v>131</v>
      </c>
      <c r="C136" s="323">
        <v>7.5999999999999998E-2</v>
      </c>
      <c r="D136" s="324">
        <f>ROUND(C136*$D$132,2)</f>
        <v>0</v>
      </c>
      <c r="G136" s="81"/>
    </row>
    <row r="137" spans="1:7">
      <c r="A137" s="29" t="s">
        <v>132</v>
      </c>
      <c r="B137" s="29" t="s">
        <v>133</v>
      </c>
      <c r="C137" s="39"/>
      <c r="D137" s="40"/>
      <c r="G137" s="81"/>
    </row>
    <row r="138" spans="1:7">
      <c r="A138" s="29" t="s">
        <v>134</v>
      </c>
      <c r="B138" s="29" t="s">
        <v>135</v>
      </c>
      <c r="C138" s="39"/>
      <c r="D138" s="29"/>
      <c r="G138" s="81"/>
    </row>
    <row r="139" spans="1:7">
      <c r="A139" s="29" t="s">
        <v>136</v>
      </c>
      <c r="B139" s="29" t="s">
        <v>137</v>
      </c>
      <c r="C139" s="39"/>
      <c r="D139" s="29"/>
    </row>
    <row r="140" spans="1:7">
      <c r="A140" s="322" t="s">
        <v>138</v>
      </c>
      <c r="B140" s="322" t="s">
        <v>139</v>
      </c>
      <c r="C140" s="323">
        <v>0.05</v>
      </c>
      <c r="D140" s="324">
        <f>ROUND(C140*$D$132,2)</f>
        <v>0</v>
      </c>
    </row>
    <row r="141" spans="1:7">
      <c r="A141" s="29" t="s">
        <v>140</v>
      </c>
      <c r="B141" s="29" t="s">
        <v>141</v>
      </c>
      <c r="C141" s="39"/>
      <c r="D141" s="29"/>
    </row>
    <row r="142" spans="1:7">
      <c r="A142" s="721" t="s">
        <v>21</v>
      </c>
      <c r="B142" s="722"/>
      <c r="C142" s="82">
        <f>+C141+C140+C138+C136+C135+C130+C129</f>
        <v>0.20250000000000001</v>
      </c>
      <c r="D142" s="24">
        <f>+D140+D138+D136+D135+D130+D129</f>
        <v>0</v>
      </c>
    </row>
    <row r="144" spans="1:7">
      <c r="A144" s="762" t="s">
        <v>142</v>
      </c>
      <c r="B144" s="762"/>
      <c r="C144" s="762"/>
      <c r="D144" s="762"/>
    </row>
    <row r="145" spans="1:5">
      <c r="A145" s="29" t="s">
        <v>4</v>
      </c>
      <c r="B145" s="755" t="s">
        <v>143</v>
      </c>
      <c r="C145" s="755"/>
      <c r="D145" s="22">
        <f>+D23</f>
        <v>0</v>
      </c>
    </row>
    <row r="146" spans="1:5">
      <c r="A146" s="29" t="s">
        <v>144</v>
      </c>
      <c r="B146" s="755" t="s">
        <v>145</v>
      </c>
      <c r="C146" s="755"/>
      <c r="D146" s="22">
        <f>+D68</f>
        <v>0</v>
      </c>
    </row>
    <row r="147" spans="1:5">
      <c r="A147" s="29" t="s">
        <v>9</v>
      </c>
      <c r="B147" s="755" t="s">
        <v>146</v>
      </c>
      <c r="C147" s="755"/>
      <c r="D147" s="22">
        <f>+D79</f>
        <v>0</v>
      </c>
    </row>
    <row r="148" spans="1:5">
      <c r="A148" s="29" t="s">
        <v>11</v>
      </c>
      <c r="B148" s="755" t="s">
        <v>147</v>
      </c>
      <c r="C148" s="755"/>
      <c r="D148" s="22">
        <f>+D111</f>
        <v>0</v>
      </c>
    </row>
    <row r="149" spans="1:5">
      <c r="A149" s="29" t="s">
        <v>37</v>
      </c>
      <c r="B149" s="755" t="s">
        <v>148</v>
      </c>
      <c r="C149" s="755"/>
      <c r="D149" s="22">
        <f>+D124</f>
        <v>0</v>
      </c>
    </row>
    <row r="150" spans="1:5">
      <c r="B150" s="763" t="s">
        <v>149</v>
      </c>
      <c r="C150" s="763"/>
      <c r="D150" s="83">
        <f>SUM(D145:D149)</f>
        <v>0</v>
      </c>
    </row>
    <row r="151" spans="1:5">
      <c r="A151" s="29" t="s">
        <v>39</v>
      </c>
      <c r="B151" s="755" t="s">
        <v>150</v>
      </c>
      <c r="C151" s="755"/>
      <c r="D151" s="22">
        <f>+D142</f>
        <v>0</v>
      </c>
    </row>
    <row r="153" spans="1:5">
      <c r="A153" s="764" t="s">
        <v>151</v>
      </c>
      <c r="B153" s="764"/>
      <c r="C153" s="764"/>
      <c r="D153" s="84">
        <f>ROUND(+D151+D150,2)</f>
        <v>0</v>
      </c>
    </row>
    <row r="155" spans="1:5">
      <c r="B155" s="86"/>
      <c r="C155" s="86"/>
      <c r="D155" s="86"/>
    </row>
    <row r="156" spans="1:5">
      <c r="A156" s="87"/>
      <c r="B156" s="87"/>
      <c r="C156" s="87"/>
      <c r="D156" s="87"/>
      <c r="E156" s="87"/>
    </row>
    <row r="157" spans="1:5">
      <c r="A157" s="87"/>
      <c r="B157" s="87"/>
      <c r="C157" s="87"/>
      <c r="D157" s="87"/>
      <c r="E157" s="87"/>
    </row>
    <row r="158" spans="1:5">
      <c r="A158" s="87"/>
      <c r="B158" s="87"/>
      <c r="C158" s="87"/>
      <c r="D158" s="87"/>
      <c r="E158" s="87"/>
    </row>
    <row r="159" spans="1:5">
      <c r="A159" s="87"/>
      <c r="B159" s="87"/>
      <c r="C159" s="87"/>
      <c r="D159" s="87"/>
      <c r="E159" s="87"/>
    </row>
    <row r="160" spans="1:5">
      <c r="A160" s="87"/>
      <c r="B160" s="87"/>
      <c r="C160" s="87"/>
      <c r="D160" s="87"/>
      <c r="E160" s="87"/>
    </row>
    <row r="161" spans="1:5">
      <c r="A161" s="87"/>
      <c r="B161" s="87"/>
      <c r="C161" s="87"/>
      <c r="D161" s="87"/>
      <c r="E161" s="87"/>
    </row>
    <row r="162" spans="1:5">
      <c r="A162" s="87"/>
      <c r="B162" s="87"/>
      <c r="C162" s="87"/>
      <c r="D162" s="87"/>
      <c r="E162" s="87"/>
    </row>
    <row r="163" spans="1:5">
      <c r="A163" s="87"/>
      <c r="B163" s="87"/>
      <c r="C163" s="87"/>
      <c r="D163" s="87"/>
      <c r="E163" s="87"/>
    </row>
    <row r="164" spans="1:5">
      <c r="A164" s="87"/>
      <c r="B164" s="87"/>
      <c r="C164" s="87"/>
      <c r="D164" s="87"/>
      <c r="E164" s="87"/>
    </row>
    <row r="165" spans="1:5">
      <c r="A165" s="87"/>
      <c r="B165" s="87"/>
      <c r="C165" s="87"/>
      <c r="D165" s="87"/>
      <c r="E165" s="87"/>
    </row>
    <row r="166" spans="1:5">
      <c r="A166" s="87"/>
      <c r="B166" s="87"/>
      <c r="C166" s="87"/>
      <c r="D166" s="87"/>
      <c r="E166" s="87"/>
    </row>
    <row r="167" spans="1:5">
      <c r="A167" s="87"/>
      <c r="B167" s="87"/>
      <c r="C167" s="87"/>
      <c r="D167" s="87"/>
      <c r="E167" s="87"/>
    </row>
    <row r="168" spans="1:5">
      <c r="A168" s="87"/>
      <c r="B168" s="87"/>
      <c r="C168" s="87"/>
      <c r="D168" s="87"/>
      <c r="E168" s="87"/>
    </row>
  </sheetData>
  <mergeCells count="78">
    <mergeCell ref="B17:C17"/>
    <mergeCell ref="A1:D1"/>
    <mergeCell ref="A3:D3"/>
    <mergeCell ref="C4:D4"/>
    <mergeCell ref="C5:D5"/>
    <mergeCell ref="C6:D6"/>
    <mergeCell ref="C7:D7"/>
    <mergeCell ref="C8:D8"/>
    <mergeCell ref="A10:D10"/>
    <mergeCell ref="B12:C12"/>
    <mergeCell ref="B15:C15"/>
    <mergeCell ref="B16:C16"/>
    <mergeCell ref="A61:B61"/>
    <mergeCell ref="B18:C18"/>
    <mergeCell ref="B19:C19"/>
    <mergeCell ref="B21:C21"/>
    <mergeCell ref="B22:C22"/>
    <mergeCell ref="A23:C23"/>
    <mergeCell ref="A25:D25"/>
    <mergeCell ref="A27:D27"/>
    <mergeCell ref="A33:C33"/>
    <mergeCell ref="A35:D35"/>
    <mergeCell ref="A47:D47"/>
    <mergeCell ref="B59:C59"/>
    <mergeCell ref="B85:C85"/>
    <mergeCell ref="A63:D63"/>
    <mergeCell ref="B64:C64"/>
    <mergeCell ref="B65:C65"/>
    <mergeCell ref="B66:C66"/>
    <mergeCell ref="B67:C67"/>
    <mergeCell ref="A68:C68"/>
    <mergeCell ref="A70:D70"/>
    <mergeCell ref="A79:C79"/>
    <mergeCell ref="A81:D81"/>
    <mergeCell ref="A83:D83"/>
    <mergeCell ref="B84:C84"/>
    <mergeCell ref="B98:C98"/>
    <mergeCell ref="B86:C86"/>
    <mergeCell ref="B87:C87"/>
    <mergeCell ref="B88:C88"/>
    <mergeCell ref="B89:C89"/>
    <mergeCell ref="B90:C90"/>
    <mergeCell ref="B91:C91"/>
    <mergeCell ref="B92:C92"/>
    <mergeCell ref="A93:C93"/>
    <mergeCell ref="B95:C95"/>
    <mergeCell ref="B96:C96"/>
    <mergeCell ref="B97:C97"/>
    <mergeCell ref="B115:C115"/>
    <mergeCell ref="B99:C99"/>
    <mergeCell ref="A100:C100"/>
    <mergeCell ref="B102:C102"/>
    <mergeCell ref="B103:C103"/>
    <mergeCell ref="A104:C104"/>
    <mergeCell ref="B107:C107"/>
    <mergeCell ref="B108:C108"/>
    <mergeCell ref="B109:C109"/>
    <mergeCell ref="B110:C110"/>
    <mergeCell ref="A111:C111"/>
    <mergeCell ref="A113:D113"/>
    <mergeCell ref="A153:C153"/>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47:C147"/>
    <mergeCell ref="B148:C148"/>
    <mergeCell ref="B149:C149"/>
    <mergeCell ref="B150:C150"/>
    <mergeCell ref="B151:C151"/>
  </mergeCells>
  <pageMargins left="1.26" right="0.51181102362204722" top="0.39" bottom="0.39" header="0.31496062992125984" footer="0.1"/>
  <pageSetup paperSize="9" scale="85" orientation="portrait" r:id="rId1"/>
  <headerFoot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C164"/>
  <sheetViews>
    <sheetView workbookViewId="0">
      <selection activeCell="A19" sqref="A19"/>
    </sheetView>
  </sheetViews>
  <sheetFormatPr defaultRowHeight="13.2"/>
  <cols>
    <col min="1" max="1" width="64.453125" customWidth="1"/>
    <col min="2" max="2" width="12.26953125" bestFit="1" customWidth="1"/>
    <col min="3" max="3" width="14.7265625" customWidth="1"/>
    <col min="4" max="4" width="9.36328125" bestFit="1" customWidth="1"/>
    <col min="5" max="5" width="69.08984375" customWidth="1"/>
  </cols>
  <sheetData>
    <row r="1" spans="1:3" ht="33" customHeight="1">
      <c r="A1" s="836" t="s">
        <v>277</v>
      </c>
      <c r="B1" s="836"/>
      <c r="C1" s="836"/>
    </row>
    <row r="3" spans="1:3">
      <c r="A3" s="29" t="s">
        <v>152</v>
      </c>
      <c r="B3" s="29">
        <v>220</v>
      </c>
    </row>
    <row r="4" spans="1:3">
      <c r="A4" s="29" t="s">
        <v>153</v>
      </c>
      <c r="B4" s="29">
        <v>365.25</v>
      </c>
    </row>
    <row r="5" spans="1:3">
      <c r="A5" s="29" t="s">
        <v>154</v>
      </c>
      <c r="B5" s="88">
        <f>(365.25/12)/(7/7)/2</f>
        <v>15.21875</v>
      </c>
    </row>
    <row r="6" spans="1:3">
      <c r="A6" s="49" t="s">
        <v>33</v>
      </c>
      <c r="B6" s="40">
        <f>+'Servente 12 36 40% Noturno'!D12</f>
        <v>0</v>
      </c>
    </row>
    <row r="7" spans="1:3">
      <c r="A7" s="49" t="s">
        <v>155</v>
      </c>
      <c r="B7" s="40">
        <f>+'Servente 12 36 40% Noturno'!D23</f>
        <v>0</v>
      </c>
    </row>
    <row r="9" spans="1:3">
      <c r="A9" s="765" t="s">
        <v>156</v>
      </c>
      <c r="B9" s="766"/>
      <c r="C9" s="767"/>
    </row>
    <row r="10" spans="1:3">
      <c r="A10" s="29" t="s">
        <v>157</v>
      </c>
      <c r="B10" s="29">
        <f>+$B$4</f>
        <v>365.25</v>
      </c>
      <c r="C10" s="65"/>
    </row>
    <row r="11" spans="1:3">
      <c r="A11" s="29" t="s">
        <v>158</v>
      </c>
      <c r="B11" s="49">
        <v>12</v>
      </c>
      <c r="C11" s="65"/>
    </row>
    <row r="12" spans="1:3">
      <c r="A12" s="29" t="s">
        <v>159</v>
      </c>
      <c r="B12" s="39">
        <v>1</v>
      </c>
      <c r="C12" s="65"/>
    </row>
    <row r="13" spans="1:3">
      <c r="A13" s="49" t="s">
        <v>160</v>
      </c>
      <c r="B13" s="89">
        <f>+B5</f>
        <v>15.21875</v>
      </c>
      <c r="C13" s="65"/>
    </row>
    <row r="14" spans="1:3">
      <c r="A14" s="90" t="s">
        <v>161</v>
      </c>
      <c r="B14" s="91"/>
      <c r="C14" s="65"/>
    </row>
    <row r="15" spans="1:3">
      <c r="A15" s="29" t="s">
        <v>162</v>
      </c>
      <c r="B15" s="39">
        <v>0.06</v>
      </c>
      <c r="C15" s="65"/>
    </row>
    <row r="16" spans="1:3">
      <c r="A16" s="769" t="s">
        <v>163</v>
      </c>
      <c r="B16" s="770"/>
      <c r="C16" s="85">
        <f>ROUND((B13*(B14*2)-($B$6*B15)),2)</f>
        <v>0</v>
      </c>
    </row>
    <row r="18" spans="1:3">
      <c r="A18" s="765" t="s">
        <v>164</v>
      </c>
      <c r="B18" s="766"/>
      <c r="C18" s="767"/>
    </row>
    <row r="19" spans="1:3">
      <c r="A19" s="29" t="s">
        <v>157</v>
      </c>
      <c r="B19" s="29">
        <f>+$B$4</f>
        <v>365.25</v>
      </c>
      <c r="C19" s="65"/>
    </row>
    <row r="20" spans="1:3">
      <c r="A20" s="29" t="s">
        <v>158</v>
      </c>
      <c r="B20" s="49">
        <v>12</v>
      </c>
      <c r="C20" s="65"/>
    </row>
    <row r="21" spans="1:3">
      <c r="A21" s="29" t="s">
        <v>159</v>
      </c>
      <c r="B21" s="39">
        <v>1</v>
      </c>
      <c r="C21" s="65"/>
    </row>
    <row r="22" spans="1:3">
      <c r="A22" s="49" t="s">
        <v>160</v>
      </c>
      <c r="B22" s="89">
        <f>+B5</f>
        <v>15.21875</v>
      </c>
      <c r="C22" s="65"/>
    </row>
    <row r="23" spans="1:3">
      <c r="A23" s="90" t="s">
        <v>165</v>
      </c>
      <c r="B23" s="91"/>
      <c r="C23" s="65"/>
    </row>
    <row r="24" spans="1:3">
      <c r="A24" s="29" t="s">
        <v>166</v>
      </c>
      <c r="B24" s="39">
        <v>0.1</v>
      </c>
      <c r="C24" s="65"/>
    </row>
    <row r="25" spans="1:3">
      <c r="A25" s="769" t="s">
        <v>165</v>
      </c>
      <c r="B25" s="770"/>
      <c r="C25" s="85">
        <f>ROUND((B22*(B23)-((B22*B23)*B24)),2)</f>
        <v>0</v>
      </c>
    </row>
    <row r="27" spans="1:3">
      <c r="A27" s="765" t="s">
        <v>167</v>
      </c>
      <c r="B27" s="766"/>
      <c r="C27" s="767"/>
    </row>
    <row r="28" spans="1:3">
      <c r="A28" s="29" t="s">
        <v>168</v>
      </c>
      <c r="B28" s="40">
        <f>+B7</f>
        <v>0</v>
      </c>
      <c r="C28" s="65"/>
    </row>
    <row r="29" spans="1:3">
      <c r="A29" s="29" t="s">
        <v>169</v>
      </c>
      <c r="B29" s="29">
        <v>12</v>
      </c>
      <c r="C29" s="65"/>
    </row>
    <row r="30" spans="1:3">
      <c r="A30" s="92" t="s">
        <v>170</v>
      </c>
      <c r="B30" s="93"/>
      <c r="C30" s="65"/>
    </row>
    <row r="31" spans="1:3">
      <c r="A31" s="769" t="s">
        <v>171</v>
      </c>
      <c r="B31" s="770"/>
      <c r="C31" s="85">
        <f>ROUND(+(B28/B29)*B30,2)</f>
        <v>0</v>
      </c>
    </row>
    <row r="33" spans="1:3">
      <c r="A33" s="771" t="s">
        <v>172</v>
      </c>
      <c r="B33" s="772"/>
      <c r="C33" s="773"/>
    </row>
    <row r="34" spans="1:3" s="51" customFormat="1">
      <c r="A34" s="94" t="s">
        <v>173</v>
      </c>
      <c r="B34" s="93">
        <f>+B30</f>
        <v>0</v>
      </c>
      <c r="C34" s="65"/>
    </row>
    <row r="35" spans="1:3">
      <c r="A35" s="29" t="s">
        <v>174</v>
      </c>
      <c r="B35" s="40">
        <f>+'Servente 12 36 40% Noturno'!$D$23</f>
        <v>0</v>
      </c>
      <c r="C35" s="65"/>
    </row>
    <row r="36" spans="1:3">
      <c r="A36" s="29" t="s">
        <v>55</v>
      </c>
      <c r="B36" s="40">
        <f>+'Servente 12 36 40% Noturno'!$D$29</f>
        <v>0</v>
      </c>
      <c r="C36" s="65"/>
    </row>
    <row r="37" spans="1:3">
      <c r="A37" s="95" t="s">
        <v>58</v>
      </c>
      <c r="B37" s="40">
        <f>+'Servente 12 36 40% Noturno'!$D$31</f>
        <v>0</v>
      </c>
      <c r="C37" s="65"/>
    </row>
    <row r="38" spans="1:3">
      <c r="A38" s="95" t="s">
        <v>60</v>
      </c>
      <c r="B38" s="40">
        <f>+'Servente 12 36 40% Noturno'!$D$32</f>
        <v>0</v>
      </c>
      <c r="C38" s="65"/>
    </row>
    <row r="39" spans="1:3">
      <c r="A39" s="96" t="s">
        <v>175</v>
      </c>
      <c r="B39" s="97">
        <f>SUM(B35:B38)</f>
        <v>0</v>
      </c>
      <c r="C39" s="65"/>
    </row>
    <row r="40" spans="1:3">
      <c r="A40" s="60" t="s">
        <v>176</v>
      </c>
      <c r="B40" s="39">
        <v>0.4</v>
      </c>
      <c r="C40" s="65"/>
    </row>
    <row r="41" spans="1:3">
      <c r="A41" s="60" t="s">
        <v>177</v>
      </c>
      <c r="B41" s="39">
        <f>+'Servente 12 36 40% Noturno'!$C$44</f>
        <v>0.08</v>
      </c>
      <c r="C41" s="65"/>
    </row>
    <row r="42" spans="1:3">
      <c r="A42" s="752" t="s">
        <v>178</v>
      </c>
      <c r="B42" s="753"/>
      <c r="C42" s="75">
        <f>ROUND(+B39*B40*B41*B34,2)</f>
        <v>0</v>
      </c>
    </row>
    <row r="43" spans="1:3">
      <c r="A43" s="60" t="s">
        <v>179</v>
      </c>
      <c r="B43" s="39"/>
      <c r="C43" s="65"/>
    </row>
    <row r="44" spans="1:3">
      <c r="A44" s="752" t="s">
        <v>180</v>
      </c>
      <c r="B44" s="753"/>
      <c r="C44" s="98">
        <f>ROUND(B43*B41*B39*B34,2)</f>
        <v>0</v>
      </c>
    </row>
    <row r="45" spans="1:3">
      <c r="A45" s="769" t="s">
        <v>181</v>
      </c>
      <c r="B45" s="770"/>
      <c r="C45" s="77">
        <f>+C44+C42</f>
        <v>0</v>
      </c>
    </row>
    <row r="47" spans="1:3">
      <c r="A47" s="765" t="s">
        <v>182</v>
      </c>
      <c r="B47" s="766"/>
      <c r="C47" s="767"/>
    </row>
    <row r="48" spans="1:3">
      <c r="A48" s="29" t="s">
        <v>168</v>
      </c>
      <c r="B48" s="40">
        <f>+B7</f>
        <v>0</v>
      </c>
      <c r="C48" s="65"/>
    </row>
    <row r="49" spans="1:3">
      <c r="A49" s="29" t="s">
        <v>183</v>
      </c>
      <c r="B49" s="99">
        <v>30</v>
      </c>
      <c r="C49" s="65"/>
    </row>
    <row r="50" spans="1:3">
      <c r="A50" s="29" t="s">
        <v>169</v>
      </c>
      <c r="B50" s="29">
        <v>12</v>
      </c>
      <c r="C50" s="65"/>
    </row>
    <row r="51" spans="1:3">
      <c r="A51" s="29" t="s">
        <v>184</v>
      </c>
      <c r="B51" s="29">
        <v>7</v>
      </c>
      <c r="C51" s="65"/>
    </row>
    <row r="52" spans="1:3">
      <c r="A52" s="92" t="s">
        <v>185</v>
      </c>
      <c r="B52" s="93"/>
      <c r="C52" s="65"/>
    </row>
    <row r="53" spans="1:3">
      <c r="A53" s="769" t="s">
        <v>186</v>
      </c>
      <c r="B53" s="770"/>
      <c r="C53" s="85">
        <f>+ROUND(((B48/B49/B50)*B51)*B52,2)</f>
        <v>0</v>
      </c>
    </row>
    <row r="55" spans="1:3">
      <c r="A55" s="771" t="s">
        <v>187</v>
      </c>
      <c r="B55" s="772"/>
      <c r="C55" s="773"/>
    </row>
    <row r="56" spans="1:3">
      <c r="A56" s="100" t="s">
        <v>188</v>
      </c>
      <c r="B56" s="93">
        <f>+B52</f>
        <v>0</v>
      </c>
      <c r="C56" s="65"/>
    </row>
    <row r="57" spans="1:3">
      <c r="A57" s="29" t="s">
        <v>174</v>
      </c>
      <c r="B57" s="40">
        <f>+'Servente 12 36 40% Noturno'!$D$23</f>
        <v>0</v>
      </c>
      <c r="C57" s="65"/>
    </row>
    <row r="58" spans="1:3">
      <c r="A58" s="29" t="s">
        <v>55</v>
      </c>
      <c r="B58" s="40">
        <f>+'Servente 12 36 40% Noturno'!$D$29</f>
        <v>0</v>
      </c>
      <c r="C58" s="65"/>
    </row>
    <row r="59" spans="1:3">
      <c r="A59" s="95" t="s">
        <v>58</v>
      </c>
      <c r="B59" s="40">
        <f>+'Servente 12 36 40% Noturno'!$D$31</f>
        <v>0</v>
      </c>
      <c r="C59" s="65"/>
    </row>
    <row r="60" spans="1:3">
      <c r="A60" s="95" t="s">
        <v>60</v>
      </c>
      <c r="B60" s="40">
        <f>+'Servente 12 36 40% Noturno'!$D$32</f>
        <v>0</v>
      </c>
      <c r="C60" s="65"/>
    </row>
    <row r="61" spans="1:3">
      <c r="A61" s="96" t="s">
        <v>175</v>
      </c>
      <c r="B61" s="97">
        <f>SUM(B57:B60)</f>
        <v>0</v>
      </c>
      <c r="C61" s="65"/>
    </row>
    <row r="62" spans="1:3">
      <c r="A62" s="60" t="s">
        <v>176</v>
      </c>
      <c r="B62" s="39">
        <v>0.4</v>
      </c>
      <c r="C62" s="65"/>
    </row>
    <row r="63" spans="1:3">
      <c r="A63" s="60" t="s">
        <v>177</v>
      </c>
      <c r="B63" s="39">
        <f>+'Servente 12 36 40% Noturno'!$C$44</f>
        <v>0.08</v>
      </c>
      <c r="C63" s="65"/>
    </row>
    <row r="64" spans="1:3">
      <c r="A64" s="752" t="s">
        <v>178</v>
      </c>
      <c r="B64" s="753"/>
      <c r="C64" s="75">
        <f>ROUND(+B61*B62*B63*B56,2)</f>
        <v>0</v>
      </c>
    </row>
    <row r="65" spans="1:3">
      <c r="A65" s="60" t="s">
        <v>179</v>
      </c>
      <c r="B65" s="39"/>
      <c r="C65" s="65"/>
    </row>
    <row r="66" spans="1:3">
      <c r="A66" s="752" t="s">
        <v>180</v>
      </c>
      <c r="B66" s="753"/>
      <c r="C66" s="98">
        <f>ROUND(B65*B63*B61*B56,2)</f>
        <v>0</v>
      </c>
    </row>
    <row r="67" spans="1:3">
      <c r="A67" s="769" t="s">
        <v>189</v>
      </c>
      <c r="B67" s="770"/>
      <c r="C67" s="77">
        <f>+C66+C64</f>
        <v>0</v>
      </c>
    </row>
    <row r="69" spans="1:3">
      <c r="A69" s="771" t="s">
        <v>190</v>
      </c>
      <c r="B69" s="772"/>
      <c r="C69" s="773"/>
    </row>
    <row r="70" spans="1:3">
      <c r="A70" s="774" t="s">
        <v>191</v>
      </c>
      <c r="B70" s="775"/>
      <c r="C70" s="776"/>
    </row>
    <row r="71" spans="1:3">
      <c r="A71" s="777"/>
      <c r="B71" s="778"/>
      <c r="C71" s="779"/>
    </row>
    <row r="72" spans="1:3">
      <c r="A72" s="777"/>
      <c r="B72" s="778"/>
      <c r="C72" s="779"/>
    </row>
    <row r="73" spans="1:3">
      <c r="A73" s="780"/>
      <c r="B73" s="781"/>
      <c r="C73" s="782"/>
    </row>
    <row r="74" spans="1:3">
      <c r="A74" s="101"/>
      <c r="B74" s="101"/>
      <c r="C74" s="101"/>
    </row>
    <row r="75" spans="1:3">
      <c r="A75" s="771" t="s">
        <v>192</v>
      </c>
      <c r="B75" s="772"/>
      <c r="C75" s="773"/>
    </row>
    <row r="76" spans="1:3">
      <c r="A76" s="29" t="s">
        <v>193</v>
      </c>
      <c r="B76" s="40">
        <f>+$B$7</f>
        <v>0</v>
      </c>
      <c r="C76" s="65"/>
    </row>
    <row r="77" spans="1:3">
      <c r="A77" s="29" t="s">
        <v>158</v>
      </c>
      <c r="B77" s="29">
        <v>30</v>
      </c>
      <c r="C77" s="65"/>
    </row>
    <row r="78" spans="1:3">
      <c r="A78" s="29" t="s">
        <v>194</v>
      </c>
      <c r="B78" s="29">
        <v>12</v>
      </c>
      <c r="C78" s="65"/>
    </row>
    <row r="79" spans="1:3">
      <c r="A79" s="92" t="s">
        <v>195</v>
      </c>
      <c r="B79" s="92"/>
      <c r="C79" s="65"/>
    </row>
    <row r="80" spans="1:3">
      <c r="A80" s="769" t="s">
        <v>196</v>
      </c>
      <c r="B80" s="770"/>
      <c r="C80" s="58">
        <f>+ROUND((B76/B77/B78)*B79,2)</f>
        <v>0</v>
      </c>
    </row>
    <row r="82" spans="1:3">
      <c r="A82" s="771" t="s">
        <v>197</v>
      </c>
      <c r="B82" s="772"/>
      <c r="C82" s="773"/>
    </row>
    <row r="83" spans="1:3">
      <c r="A83" s="29" t="s">
        <v>193</v>
      </c>
      <c r="B83" s="40">
        <f>+$B$7</f>
        <v>0</v>
      </c>
      <c r="C83" s="65"/>
    </row>
    <row r="84" spans="1:3">
      <c r="A84" s="29" t="s">
        <v>158</v>
      </c>
      <c r="B84" s="29">
        <v>30</v>
      </c>
      <c r="C84" s="65"/>
    </row>
    <row r="85" spans="1:3">
      <c r="A85" s="29" t="s">
        <v>194</v>
      </c>
      <c r="B85" s="29">
        <v>12</v>
      </c>
      <c r="C85" s="65"/>
    </row>
    <row r="86" spans="1:3">
      <c r="A86" s="49" t="s">
        <v>198</v>
      </c>
      <c r="B86" s="29">
        <v>5</v>
      </c>
      <c r="C86" s="65"/>
    </row>
    <row r="87" spans="1:3">
      <c r="A87" s="92" t="s">
        <v>199</v>
      </c>
      <c r="B87" s="93"/>
      <c r="C87" s="65"/>
    </row>
    <row r="88" spans="1:3">
      <c r="A88" s="92" t="s">
        <v>200</v>
      </c>
      <c r="B88" s="93"/>
      <c r="C88" s="65"/>
    </row>
    <row r="89" spans="1:3">
      <c r="A89" s="769" t="s">
        <v>201</v>
      </c>
      <c r="B89" s="770"/>
      <c r="C89" s="85">
        <f>ROUND(+B83/B84/B85*B86*B87*B88,2)</f>
        <v>0</v>
      </c>
    </row>
    <row r="91" spans="1:3">
      <c r="A91" s="771" t="s">
        <v>202</v>
      </c>
      <c r="B91" s="772"/>
      <c r="C91" s="773"/>
    </row>
    <row r="92" spans="1:3">
      <c r="A92" s="29" t="s">
        <v>193</v>
      </c>
      <c r="B92" s="40">
        <f>+$B$7</f>
        <v>0</v>
      </c>
      <c r="C92" s="65"/>
    </row>
    <row r="93" spans="1:3">
      <c r="A93" s="29" t="s">
        <v>158</v>
      </c>
      <c r="B93" s="29">
        <v>30</v>
      </c>
      <c r="C93" s="65"/>
    </row>
    <row r="94" spans="1:3">
      <c r="A94" s="29" t="s">
        <v>194</v>
      </c>
      <c r="B94" s="29">
        <v>12</v>
      </c>
      <c r="C94" s="65"/>
    </row>
    <row r="95" spans="1:3">
      <c r="A95" s="49" t="s">
        <v>203</v>
      </c>
      <c r="B95" s="29">
        <v>15</v>
      </c>
      <c r="C95" s="65"/>
    </row>
    <row r="96" spans="1:3">
      <c r="A96" s="92" t="s">
        <v>204</v>
      </c>
      <c r="B96" s="93"/>
      <c r="C96" s="65"/>
    </row>
    <row r="97" spans="1:3">
      <c r="A97" s="769" t="s">
        <v>205</v>
      </c>
      <c r="B97" s="770"/>
      <c r="C97" s="85">
        <f>ROUND(+B92/B93/B94*B95*B96,2)</f>
        <v>0</v>
      </c>
    </row>
    <row r="99" spans="1:3">
      <c r="A99" s="771" t="s">
        <v>206</v>
      </c>
      <c r="B99" s="772"/>
      <c r="C99" s="773"/>
    </row>
    <row r="100" spans="1:3">
      <c r="A100" s="29" t="s">
        <v>193</v>
      </c>
      <c r="B100" s="40">
        <f>+$B$7</f>
        <v>0</v>
      </c>
      <c r="C100" s="65"/>
    </row>
    <row r="101" spans="1:3">
      <c r="A101" s="29" t="s">
        <v>158</v>
      </c>
      <c r="B101" s="29">
        <v>30</v>
      </c>
      <c r="C101" s="65"/>
    </row>
    <row r="102" spans="1:3">
      <c r="A102" s="29" t="s">
        <v>194</v>
      </c>
      <c r="B102" s="29">
        <v>12</v>
      </c>
      <c r="C102" s="65"/>
    </row>
    <row r="103" spans="1:3">
      <c r="A103" s="49" t="s">
        <v>203</v>
      </c>
      <c r="B103" s="29">
        <v>5</v>
      </c>
      <c r="C103" s="65"/>
    </row>
    <row r="104" spans="1:3">
      <c r="A104" s="92" t="s">
        <v>207</v>
      </c>
      <c r="B104" s="93"/>
      <c r="C104" s="65"/>
    </row>
    <row r="105" spans="1:3">
      <c r="A105" s="769" t="s">
        <v>208</v>
      </c>
      <c r="B105" s="770"/>
      <c r="C105" s="85">
        <f>ROUND(+B100/B101/B102*B103*B104,2)</f>
        <v>0</v>
      </c>
    </row>
    <row r="107" spans="1:3">
      <c r="A107" s="771" t="s">
        <v>209</v>
      </c>
      <c r="B107" s="772"/>
      <c r="C107" s="773"/>
    </row>
    <row r="108" spans="1:3">
      <c r="A108" s="783" t="s">
        <v>210</v>
      </c>
      <c r="B108" s="784"/>
      <c r="C108" s="785"/>
    </row>
    <row r="109" spans="1:3">
      <c r="A109" s="29" t="s">
        <v>193</v>
      </c>
      <c r="B109" s="40">
        <f>+$B$7</f>
        <v>0</v>
      </c>
      <c r="C109" s="65"/>
    </row>
    <row r="110" spans="1:3">
      <c r="A110" s="29" t="s">
        <v>211</v>
      </c>
      <c r="B110" s="40">
        <f>+B109*(1/3)</f>
        <v>0</v>
      </c>
      <c r="C110" s="65"/>
    </row>
    <row r="111" spans="1:3">
      <c r="A111" s="96" t="s">
        <v>175</v>
      </c>
      <c r="B111" s="97">
        <f>SUM(B109:B110)</f>
        <v>0</v>
      </c>
      <c r="C111" s="65"/>
    </row>
    <row r="112" spans="1:3">
      <c r="A112" s="29" t="s">
        <v>212</v>
      </c>
      <c r="B112" s="29">
        <v>4</v>
      </c>
      <c r="C112" s="65"/>
    </row>
    <row r="113" spans="1:3">
      <c r="A113" s="29" t="s">
        <v>194</v>
      </c>
      <c r="B113" s="29">
        <v>12</v>
      </c>
      <c r="C113" s="65"/>
    </row>
    <row r="114" spans="1:3">
      <c r="A114" s="92" t="s">
        <v>213</v>
      </c>
      <c r="B114" s="93"/>
      <c r="C114" s="65"/>
    </row>
    <row r="115" spans="1:3">
      <c r="A115" s="92" t="s">
        <v>214</v>
      </c>
      <c r="B115" s="93"/>
      <c r="C115" s="65"/>
    </row>
    <row r="116" spans="1:3">
      <c r="A116" s="769" t="s">
        <v>215</v>
      </c>
      <c r="B116" s="770"/>
      <c r="C116" s="85">
        <f>ROUND((((+B111*(B112/B113)/B113)*B114)*B115),2)</f>
        <v>0</v>
      </c>
    </row>
    <row r="117" spans="1:3">
      <c r="A117" s="769" t="s">
        <v>216</v>
      </c>
      <c r="B117" s="786"/>
      <c r="C117" s="770"/>
    </row>
    <row r="118" spans="1:3">
      <c r="A118" s="29" t="s">
        <v>193</v>
      </c>
      <c r="B118" s="40">
        <f>+'Servente 12 36 40% Noturno'!D23</f>
        <v>0</v>
      </c>
      <c r="C118" s="65"/>
    </row>
    <row r="119" spans="1:3">
      <c r="A119" s="29" t="s">
        <v>55</v>
      </c>
      <c r="B119" s="40">
        <f>+'Servente 12 36 40% Noturno'!D29</f>
        <v>0</v>
      </c>
      <c r="C119" s="65"/>
    </row>
    <row r="120" spans="1:3">
      <c r="A120" s="96" t="s">
        <v>175</v>
      </c>
      <c r="B120" s="97">
        <f>SUM(B118:B119)</f>
        <v>0</v>
      </c>
      <c r="C120" s="65"/>
    </row>
    <row r="121" spans="1:3">
      <c r="A121" s="29" t="s">
        <v>212</v>
      </c>
      <c r="B121" s="29">
        <v>4</v>
      </c>
      <c r="C121" s="65"/>
    </row>
    <row r="122" spans="1:3">
      <c r="A122" s="29" t="s">
        <v>194</v>
      </c>
      <c r="B122" s="29">
        <v>12</v>
      </c>
      <c r="C122" s="65"/>
    </row>
    <row r="123" spans="1:3">
      <c r="A123" s="92" t="s">
        <v>213</v>
      </c>
      <c r="B123" s="93">
        <f>+B114</f>
        <v>0</v>
      </c>
      <c r="C123" s="65"/>
    </row>
    <row r="124" spans="1:3">
      <c r="A124" s="92" t="s">
        <v>214</v>
      </c>
      <c r="B124" s="93">
        <f>+B115</f>
        <v>0</v>
      </c>
      <c r="C124" s="65"/>
    </row>
    <row r="125" spans="1:3">
      <c r="A125" s="49" t="s">
        <v>217</v>
      </c>
      <c r="B125" s="39">
        <f>+'Servente 12 36 40% Noturno'!C45</f>
        <v>0.36800000000000005</v>
      </c>
      <c r="C125" s="65"/>
    </row>
    <row r="126" spans="1:3">
      <c r="A126" s="769" t="s">
        <v>218</v>
      </c>
      <c r="B126" s="770"/>
      <c r="C126" s="77">
        <f>ROUND((((B120*(B121/B122)*B123)*B124)*B125),2)</f>
        <v>0</v>
      </c>
    </row>
    <row r="128" spans="1:3" ht="30.75" customHeight="1">
      <c r="A128" s="787" t="s">
        <v>219</v>
      </c>
      <c r="B128" s="787"/>
      <c r="C128" s="787"/>
    </row>
    <row r="130" spans="1:3">
      <c r="A130" s="788" t="s">
        <v>220</v>
      </c>
      <c r="B130" s="788"/>
      <c r="C130" s="788"/>
    </row>
    <row r="131" spans="1:3">
      <c r="A131" s="29" t="s">
        <v>157</v>
      </c>
      <c r="B131" s="29">
        <v>365.25</v>
      </c>
      <c r="C131" s="65"/>
    </row>
    <row r="132" spans="1:3">
      <c r="A132" s="29" t="s">
        <v>158</v>
      </c>
      <c r="B132" s="49">
        <v>12</v>
      </c>
      <c r="C132" s="65"/>
    </row>
    <row r="133" spans="1:3">
      <c r="A133" s="29" t="s">
        <v>159</v>
      </c>
      <c r="B133" s="39">
        <v>0.5</v>
      </c>
      <c r="C133" s="65"/>
    </row>
    <row r="134" spans="1:3">
      <c r="A134" s="102" t="s">
        <v>221</v>
      </c>
      <c r="B134" s="49">
        <v>7</v>
      </c>
      <c r="C134" s="65"/>
    </row>
    <row r="135" spans="1:3">
      <c r="A135" s="49" t="s">
        <v>222</v>
      </c>
      <c r="B135" s="65"/>
      <c r="C135" s="40">
        <f>+'Servente 12 36 40% Noturno'!$D$12</f>
        <v>0</v>
      </c>
    </row>
    <row r="136" spans="1:3">
      <c r="A136" s="49" t="s">
        <v>34</v>
      </c>
      <c r="B136" s="65"/>
      <c r="C136" s="40">
        <f>+'Servente 12 36 40% Noturno'!$D$13</f>
        <v>0</v>
      </c>
    </row>
    <row r="137" spans="1:3">
      <c r="A137" s="49" t="s">
        <v>35</v>
      </c>
      <c r="B137" s="65"/>
      <c r="C137" s="40">
        <f>+'Servente 12 36 40% Noturno'!$D$14</f>
        <v>0</v>
      </c>
    </row>
    <row r="138" spans="1:3">
      <c r="A138" s="96" t="s">
        <v>223</v>
      </c>
      <c r="B138" s="65"/>
      <c r="C138" s="97">
        <f>SUM(C135:C137)</f>
        <v>0</v>
      </c>
    </row>
    <row r="139" spans="1:3">
      <c r="A139" s="29" t="s">
        <v>152</v>
      </c>
      <c r="B139" s="103">
        <f>+B3</f>
        <v>220</v>
      </c>
      <c r="C139" s="65"/>
    </row>
    <row r="140" spans="1:3">
      <c r="A140" s="49" t="s">
        <v>224</v>
      </c>
      <c r="B140" s="39">
        <v>0.2</v>
      </c>
      <c r="C140" s="65"/>
    </row>
    <row r="141" spans="1:3">
      <c r="A141" s="49" t="s">
        <v>225</v>
      </c>
      <c r="B141" s="65"/>
      <c r="C141" s="104">
        <f>ROUND((C138/B139)*B140,2)</f>
        <v>0</v>
      </c>
    </row>
    <row r="142" spans="1:3">
      <c r="A142" s="49" t="s">
        <v>226</v>
      </c>
      <c r="B142" s="29">
        <f>ROUND(+B131/B132*B133*B134,0)</f>
        <v>107</v>
      </c>
      <c r="C142" s="105"/>
    </row>
    <row r="143" spans="1:3">
      <c r="A143" s="789" t="s">
        <v>227</v>
      </c>
      <c r="B143" s="789"/>
      <c r="C143" s="68">
        <f>ROUND(+B142*C141,2)</f>
        <v>0</v>
      </c>
    </row>
    <row r="145" spans="1:3">
      <c r="A145" s="788" t="s">
        <v>228</v>
      </c>
      <c r="B145" s="788"/>
      <c r="C145" s="788"/>
    </row>
    <row r="146" spans="1:3">
      <c r="A146" s="29" t="s">
        <v>157</v>
      </c>
      <c r="B146" s="29">
        <f>+$B$4</f>
        <v>365.25</v>
      </c>
      <c r="C146" s="65"/>
    </row>
    <row r="147" spans="1:3">
      <c r="A147" s="29" t="s">
        <v>158</v>
      </c>
      <c r="B147" s="49">
        <v>12</v>
      </c>
      <c r="C147" s="65"/>
    </row>
    <row r="148" spans="1:3">
      <c r="A148" s="29" t="s">
        <v>159</v>
      </c>
      <c r="B148" s="39">
        <v>0.5</v>
      </c>
      <c r="C148" s="65"/>
    </row>
    <row r="149" spans="1:3">
      <c r="A149" s="102" t="s">
        <v>221</v>
      </c>
      <c r="B149" s="49">
        <v>7</v>
      </c>
      <c r="C149" s="65"/>
    </row>
    <row r="150" spans="1:3">
      <c r="A150" s="49" t="s">
        <v>229</v>
      </c>
      <c r="B150" s="88">
        <f>(365.25/12/2)/(7/7)</f>
        <v>15.21875</v>
      </c>
      <c r="C150" s="29"/>
    </row>
    <row r="151" spans="1:3">
      <c r="A151" s="49" t="s">
        <v>230</v>
      </c>
      <c r="B151" s="29">
        <f>ROUND(+B150*B149,2)</f>
        <v>106.53</v>
      </c>
      <c r="C151" s="29"/>
    </row>
    <row r="152" spans="1:3">
      <c r="A152" s="49" t="s">
        <v>222</v>
      </c>
      <c r="B152" s="65"/>
      <c r="C152" s="40">
        <f>+'Servente 12 36 40% Noturno'!$D$12</f>
        <v>0</v>
      </c>
    </row>
    <row r="153" spans="1:3">
      <c r="A153" s="49" t="s">
        <v>34</v>
      </c>
      <c r="B153" s="65"/>
      <c r="C153" s="40">
        <f>+'Servente 12 36 40% Noturno'!$D$13</f>
        <v>0</v>
      </c>
    </row>
    <row r="154" spans="1:3">
      <c r="A154" s="49" t="s">
        <v>35</v>
      </c>
      <c r="B154" s="65"/>
      <c r="C154" s="40">
        <f>+'Servente 12 36 40% Noturno'!$D$14</f>
        <v>0</v>
      </c>
    </row>
    <row r="155" spans="1:3">
      <c r="A155" s="96" t="s">
        <v>223</v>
      </c>
      <c r="B155" s="65"/>
      <c r="C155" s="97">
        <f>SUM(C152:C154)</f>
        <v>0</v>
      </c>
    </row>
    <row r="156" spans="1:3">
      <c r="A156" s="29" t="s">
        <v>152</v>
      </c>
      <c r="B156" s="103">
        <f>+B3</f>
        <v>220</v>
      </c>
      <c r="C156" s="65"/>
    </row>
    <row r="157" spans="1:3">
      <c r="A157" s="49" t="s">
        <v>224</v>
      </c>
      <c r="B157" s="39">
        <v>0.2</v>
      </c>
      <c r="C157" s="65"/>
    </row>
    <row r="158" spans="1:3">
      <c r="A158" s="49" t="s">
        <v>225</v>
      </c>
      <c r="B158" s="65"/>
      <c r="C158" s="104">
        <f>ROUND((C155/B156)*B157,2)</f>
        <v>0</v>
      </c>
    </row>
    <row r="159" spans="1:3">
      <c r="A159" s="49" t="s">
        <v>231</v>
      </c>
      <c r="B159" s="29">
        <v>60</v>
      </c>
      <c r="C159" s="65"/>
    </row>
    <row r="160" spans="1:3">
      <c r="A160" s="49" t="s">
        <v>232</v>
      </c>
      <c r="B160" s="29">
        <v>52.5</v>
      </c>
      <c r="C160" s="65"/>
    </row>
    <row r="161" spans="1:3">
      <c r="A161" s="49" t="s">
        <v>233</v>
      </c>
      <c r="B161" s="29">
        <f>+B159/B160</f>
        <v>1.1428571428571428</v>
      </c>
      <c r="C161" s="65"/>
    </row>
    <row r="162" spans="1:3">
      <c r="A162" s="49" t="s">
        <v>234</v>
      </c>
      <c r="B162" s="29">
        <f>ROUND(+B161*B151,2)</f>
        <v>121.75</v>
      </c>
      <c r="C162" s="65"/>
    </row>
    <row r="163" spans="1:3">
      <c r="A163" s="49" t="s">
        <v>235</v>
      </c>
      <c r="B163" s="29">
        <f>ROUND(B162-B151,2)</f>
        <v>15.22</v>
      </c>
      <c r="C163" s="105"/>
    </row>
    <row r="164" spans="1:3">
      <c r="A164" s="754" t="s">
        <v>236</v>
      </c>
      <c r="B164" s="754"/>
      <c r="C164" s="77">
        <f>+B163*C158</f>
        <v>0</v>
      </c>
    </row>
  </sheetData>
  <mergeCells count="37">
    <mergeCell ref="A27:C27"/>
    <mergeCell ref="A1:C1"/>
    <mergeCell ref="A9:C9"/>
    <mergeCell ref="A16:B16"/>
    <mergeCell ref="A18:C18"/>
    <mergeCell ref="A25:B25"/>
    <mergeCell ref="A69:C69"/>
    <mergeCell ref="A31:B31"/>
    <mergeCell ref="A33:C33"/>
    <mergeCell ref="A42:B42"/>
    <mergeCell ref="A44:B44"/>
    <mergeCell ref="A45:B45"/>
    <mergeCell ref="A47:C47"/>
    <mergeCell ref="A53:B53"/>
    <mergeCell ref="A55:C55"/>
    <mergeCell ref="A64:B64"/>
    <mergeCell ref="A66:B66"/>
    <mergeCell ref="A67:B67"/>
    <mergeCell ref="A116:B116"/>
    <mergeCell ref="A70:C73"/>
    <mergeCell ref="A75:C75"/>
    <mergeCell ref="A80:B80"/>
    <mergeCell ref="A82:C82"/>
    <mergeCell ref="A89:B89"/>
    <mergeCell ref="A91:C91"/>
    <mergeCell ref="A97:B97"/>
    <mergeCell ref="A99:C99"/>
    <mergeCell ref="A105:B105"/>
    <mergeCell ref="A107:C107"/>
    <mergeCell ref="A108:C108"/>
    <mergeCell ref="A164:B164"/>
    <mergeCell ref="A117:C117"/>
    <mergeCell ref="A126:B126"/>
    <mergeCell ref="A128:C128"/>
    <mergeCell ref="A130:C130"/>
    <mergeCell ref="A143:B143"/>
    <mergeCell ref="A145:C145"/>
  </mergeCells>
  <pageMargins left="0.95" right="0.04" top="0.41" bottom="0.78740157480314965" header="0.31496062992125984" footer="0.31496062992125984"/>
  <pageSetup paperSize="9" scale="85" orientation="portrait" r:id="rId1"/>
  <headerFoot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G173"/>
  <sheetViews>
    <sheetView topLeftCell="A151" workbookViewId="0">
      <selection activeCell="A156" sqref="A156:XFD167"/>
    </sheetView>
  </sheetViews>
  <sheetFormatPr defaultRowHeight="13.2"/>
  <cols>
    <col min="1" max="1" width="5.6328125" customWidth="1"/>
    <col min="2" max="2" width="50.453125" customWidth="1"/>
    <col min="3" max="3" width="9.36328125" bestFit="1" customWidth="1"/>
    <col min="4" max="4" width="15.6328125" customWidth="1"/>
    <col min="5" max="5" width="11.7265625" bestFit="1" customWidth="1"/>
  </cols>
  <sheetData>
    <row r="1" spans="1:6">
      <c r="A1" s="718" t="s">
        <v>22</v>
      </c>
      <c r="B1" s="719"/>
      <c r="C1" s="719"/>
      <c r="D1" s="720"/>
      <c r="E1" s="6"/>
      <c r="F1" s="6"/>
    </row>
    <row r="3" spans="1:6">
      <c r="A3" s="721" t="s">
        <v>23</v>
      </c>
      <c r="B3" s="722"/>
      <c r="C3" s="722"/>
      <c r="D3" s="723"/>
    </row>
    <row r="4" spans="1:6" s="9" customFormat="1" ht="31.5" customHeight="1">
      <c r="A4" s="136">
        <v>1</v>
      </c>
      <c r="B4" s="137" t="s">
        <v>24</v>
      </c>
      <c r="C4" s="838" t="s">
        <v>259</v>
      </c>
      <c r="D4" s="839"/>
    </row>
    <row r="5" spans="1:6" s="9" customFormat="1">
      <c r="A5" s="136">
        <v>2</v>
      </c>
      <c r="B5" s="137" t="s">
        <v>25</v>
      </c>
      <c r="C5" s="840" t="s">
        <v>254</v>
      </c>
      <c r="D5" s="841"/>
      <c r="F5" s="132"/>
    </row>
    <row r="6" spans="1:6" s="9" customFormat="1">
      <c r="A6" s="136">
        <v>3</v>
      </c>
      <c r="B6" s="137" t="s">
        <v>255</v>
      </c>
      <c r="C6" s="837">
        <f>+Resumo!H19</f>
        <v>0</v>
      </c>
      <c r="D6" s="837"/>
      <c r="F6" s="132"/>
    </row>
    <row r="7" spans="1:6" s="9" customFormat="1">
      <c r="A7" s="136">
        <v>5</v>
      </c>
      <c r="B7" s="137" t="s">
        <v>26</v>
      </c>
      <c r="C7" s="837">
        <f>+Resumo!H21</f>
        <v>0</v>
      </c>
      <c r="D7" s="837"/>
      <c r="F7" s="133"/>
    </row>
    <row r="8" spans="1:6" s="9" customFormat="1" ht="33" customHeight="1">
      <c r="A8" s="136">
        <v>5</v>
      </c>
      <c r="B8" s="137" t="s">
        <v>27</v>
      </c>
      <c r="C8" s="842" t="s">
        <v>256</v>
      </c>
      <c r="D8" s="843"/>
    </row>
    <row r="9" spans="1:6" s="9" customFormat="1">
      <c r="A9" s="136">
        <v>6</v>
      </c>
      <c r="B9" s="137" t="s">
        <v>28</v>
      </c>
      <c r="C9" s="844">
        <v>43524</v>
      </c>
      <c r="D9" s="841"/>
    </row>
    <row r="10" spans="1:6">
      <c r="D10" s="10"/>
    </row>
    <row r="11" spans="1:6">
      <c r="A11" s="732" t="s">
        <v>29</v>
      </c>
      <c r="B11" s="733"/>
      <c r="C11" s="733"/>
      <c r="D11" s="733"/>
    </row>
    <row r="12" spans="1:6">
      <c r="A12" s="11">
        <v>1</v>
      </c>
      <c r="B12" s="12" t="s">
        <v>30</v>
      </c>
      <c r="C12" s="13" t="s">
        <v>31</v>
      </c>
      <c r="D12" s="14" t="s">
        <v>32</v>
      </c>
    </row>
    <row r="13" spans="1:6">
      <c r="A13" s="110" t="s">
        <v>4</v>
      </c>
      <c r="B13" s="734" t="s">
        <v>33</v>
      </c>
      <c r="C13" s="734"/>
      <c r="D13" s="17">
        <f>+C7</f>
        <v>0</v>
      </c>
    </row>
    <row r="14" spans="1:6">
      <c r="A14" s="110" t="s">
        <v>6</v>
      </c>
      <c r="B14" s="18" t="s">
        <v>34</v>
      </c>
      <c r="C14" s="19"/>
      <c r="D14" s="17"/>
      <c r="E14" s="20"/>
    </row>
    <row r="15" spans="1:6">
      <c r="A15" s="110" t="s">
        <v>9</v>
      </c>
      <c r="B15" s="18" t="s">
        <v>35</v>
      </c>
      <c r="C15" s="19">
        <v>0.2</v>
      </c>
      <c r="D15" s="17">
        <f>+C15*D13</f>
        <v>0</v>
      </c>
    </row>
    <row r="16" spans="1:6">
      <c r="A16" s="110" t="s">
        <v>11</v>
      </c>
      <c r="B16" s="734" t="s">
        <v>36</v>
      </c>
      <c r="C16" s="734"/>
      <c r="D16" s="17"/>
    </row>
    <row r="17" spans="1:6">
      <c r="A17" s="110" t="s">
        <v>37</v>
      </c>
      <c r="B17" s="734" t="s">
        <v>38</v>
      </c>
      <c r="C17" s="734"/>
      <c r="D17" s="17"/>
    </row>
    <row r="18" spans="1:6">
      <c r="A18" s="110" t="s">
        <v>39</v>
      </c>
      <c r="B18" s="716" t="s">
        <v>40</v>
      </c>
      <c r="C18" s="717"/>
      <c r="D18" s="17"/>
    </row>
    <row r="19" spans="1:6">
      <c r="A19" s="110" t="s">
        <v>41</v>
      </c>
      <c r="B19" s="734" t="s">
        <v>42</v>
      </c>
      <c r="C19" s="734"/>
      <c r="D19" s="17"/>
    </row>
    <row r="20" spans="1:6">
      <c r="A20" s="110" t="s">
        <v>43</v>
      </c>
      <c r="B20" s="716" t="s">
        <v>44</v>
      </c>
      <c r="C20" s="717"/>
      <c r="D20" s="21"/>
    </row>
    <row r="21" spans="1:6">
      <c r="A21" s="110" t="s">
        <v>45</v>
      </c>
      <c r="B21" s="18" t="s">
        <v>46</v>
      </c>
      <c r="C21" s="19">
        <v>0.25</v>
      </c>
      <c r="D21" s="17">
        <f>+C6*C21</f>
        <v>0</v>
      </c>
    </row>
    <row r="22" spans="1:6">
      <c r="A22" s="110" t="s">
        <v>47</v>
      </c>
      <c r="B22" s="734" t="s">
        <v>48</v>
      </c>
      <c r="C22" s="734"/>
      <c r="D22" s="22"/>
      <c r="F22" s="23"/>
    </row>
    <row r="23" spans="1:6">
      <c r="A23" s="110" t="s">
        <v>49</v>
      </c>
      <c r="B23" s="734" t="s">
        <v>50</v>
      </c>
      <c r="C23" s="734"/>
      <c r="D23" s="22"/>
    </row>
    <row r="24" spans="1:6">
      <c r="A24" s="736" t="s">
        <v>21</v>
      </c>
      <c r="B24" s="736"/>
      <c r="C24" s="736"/>
      <c r="D24" s="24">
        <f>SUM(D13:D23)</f>
        <v>0</v>
      </c>
    </row>
    <row r="26" spans="1:6">
      <c r="A26" s="732" t="s">
        <v>51</v>
      </c>
      <c r="B26" s="733"/>
      <c r="C26" s="733"/>
      <c r="D26" s="733"/>
    </row>
    <row r="28" spans="1:6">
      <c r="A28" s="732" t="s">
        <v>52</v>
      </c>
      <c r="B28" s="733"/>
      <c r="C28" s="733"/>
      <c r="D28" s="733"/>
    </row>
    <row r="29" spans="1:6">
      <c r="A29" s="25" t="s">
        <v>53</v>
      </c>
      <c r="B29" s="26" t="s">
        <v>54</v>
      </c>
      <c r="C29" s="27" t="s">
        <v>31</v>
      </c>
      <c r="D29" s="28" t="s">
        <v>32</v>
      </c>
    </row>
    <row r="30" spans="1:6">
      <c r="A30" s="110" t="s">
        <v>4</v>
      </c>
      <c r="B30" s="29" t="s">
        <v>55</v>
      </c>
      <c r="C30" s="30" t="e">
        <f>ROUND(+D30/$D$24,4)</f>
        <v>#DIV/0!</v>
      </c>
      <c r="D30" s="22">
        <f>ROUND(+D24/12,2)</f>
        <v>0</v>
      </c>
    </row>
    <row r="31" spans="1:6">
      <c r="A31" s="31" t="s">
        <v>6</v>
      </c>
      <c r="B31" s="32" t="s">
        <v>56</v>
      </c>
      <c r="C31" s="33" t="e">
        <f>ROUND(+D31/$D$24,4)</f>
        <v>#DIV/0!</v>
      </c>
      <c r="D31" s="34">
        <f>+D32+D33</f>
        <v>0</v>
      </c>
    </row>
    <row r="32" spans="1:6">
      <c r="A32" s="110" t="s">
        <v>57</v>
      </c>
      <c r="B32" s="35" t="s">
        <v>58</v>
      </c>
      <c r="C32" s="36" t="e">
        <f>ROUND(+D32/$D$24,4)</f>
        <v>#DIV/0!</v>
      </c>
      <c r="D32" s="37">
        <f>ROUND(+D24/12,2)</f>
        <v>0</v>
      </c>
    </row>
    <row r="33" spans="1:4">
      <c r="A33" s="110" t="s">
        <v>59</v>
      </c>
      <c r="B33" s="35" t="s">
        <v>60</v>
      </c>
      <c r="C33" s="36" t="e">
        <f>ROUND(+D33/$D$24,4)</f>
        <v>#DIV/0!</v>
      </c>
      <c r="D33" s="37">
        <f>ROUND(+(D24*1/3)/12,2)</f>
        <v>0</v>
      </c>
    </row>
    <row r="34" spans="1:4">
      <c r="A34" s="736" t="s">
        <v>21</v>
      </c>
      <c r="B34" s="736"/>
      <c r="C34" s="736"/>
      <c r="D34" s="24">
        <f>+D31+D30</f>
        <v>0</v>
      </c>
    </row>
    <row r="36" spans="1:4">
      <c r="A36" s="737" t="s">
        <v>61</v>
      </c>
      <c r="B36" s="738"/>
      <c r="C36" s="738"/>
      <c r="D36" s="738"/>
    </row>
    <row r="37" spans="1:4">
      <c r="A37" s="25" t="s">
        <v>62</v>
      </c>
      <c r="B37" s="38" t="s">
        <v>63</v>
      </c>
      <c r="C37" s="27" t="s">
        <v>31</v>
      </c>
      <c r="D37" s="28" t="s">
        <v>32</v>
      </c>
    </row>
    <row r="38" spans="1:4">
      <c r="A38" s="110" t="s">
        <v>4</v>
      </c>
      <c r="B38" s="29" t="s">
        <v>64</v>
      </c>
      <c r="C38" s="39">
        <v>0.2</v>
      </c>
      <c r="D38" s="40">
        <f>ROUND(C38*($D$24+$D$34),2)</f>
        <v>0</v>
      </c>
    </row>
    <row r="39" spans="1:4">
      <c r="A39" s="110" t="s">
        <v>6</v>
      </c>
      <c r="B39" s="29" t="s">
        <v>65</v>
      </c>
      <c r="C39" s="39">
        <v>2.5000000000000001E-2</v>
      </c>
      <c r="D39" s="40">
        <f t="shared" ref="D39:D44" si="0">ROUND(C39*($D$24+$D$34),2)</f>
        <v>0</v>
      </c>
    </row>
    <row r="40" spans="1:4">
      <c r="A40" s="110" t="s">
        <v>9</v>
      </c>
      <c r="B40" s="29" t="s">
        <v>66</v>
      </c>
      <c r="C40" s="39">
        <f>3%</f>
        <v>0.03</v>
      </c>
      <c r="D40" s="40">
        <f t="shared" si="0"/>
        <v>0</v>
      </c>
    </row>
    <row r="41" spans="1:4">
      <c r="A41" s="110" t="s">
        <v>11</v>
      </c>
      <c r="B41" s="29" t="s">
        <v>67</v>
      </c>
      <c r="C41" s="39">
        <v>1.4999999999999999E-2</v>
      </c>
      <c r="D41" s="40">
        <f t="shared" si="0"/>
        <v>0</v>
      </c>
    </row>
    <row r="42" spans="1:4">
      <c r="A42" s="110" t="s">
        <v>37</v>
      </c>
      <c r="B42" s="29" t="s">
        <v>68</v>
      </c>
      <c r="C42" s="39">
        <v>0.01</v>
      </c>
      <c r="D42" s="40">
        <f t="shared" si="0"/>
        <v>0</v>
      </c>
    </row>
    <row r="43" spans="1:4">
      <c r="A43" s="110" t="s">
        <v>39</v>
      </c>
      <c r="B43" s="29" t="s">
        <v>69</v>
      </c>
      <c r="C43" s="39">
        <v>6.0000000000000001E-3</v>
      </c>
      <c r="D43" s="40">
        <f t="shared" si="0"/>
        <v>0</v>
      </c>
    </row>
    <row r="44" spans="1:4">
      <c r="A44" s="110" t="s">
        <v>41</v>
      </c>
      <c r="B44" s="29" t="s">
        <v>70</v>
      </c>
      <c r="C44" s="39">
        <v>2E-3</v>
      </c>
      <c r="D44" s="40">
        <f t="shared" si="0"/>
        <v>0</v>
      </c>
    </row>
    <row r="45" spans="1:4">
      <c r="A45" s="110" t="s">
        <v>43</v>
      </c>
      <c r="B45" s="29" t="s">
        <v>71</v>
      </c>
      <c r="C45" s="39">
        <v>0.08</v>
      </c>
      <c r="D45" s="40">
        <f>ROUND(C45*($D$24+$D$34),2)</f>
        <v>0</v>
      </c>
    </row>
    <row r="46" spans="1:4">
      <c r="A46" s="109" t="s">
        <v>21</v>
      </c>
      <c r="B46" s="112"/>
      <c r="C46" s="43">
        <f>SUM(C38:C45)</f>
        <v>0.36800000000000005</v>
      </c>
      <c r="D46" s="44">
        <f>SUM(D38:D45)</f>
        <v>0</v>
      </c>
    </row>
    <row r="47" spans="1:4">
      <c r="A47" s="45"/>
      <c r="B47" s="45"/>
      <c r="C47" s="45"/>
      <c r="D47" s="45"/>
    </row>
    <row r="48" spans="1:4">
      <c r="A48" s="737" t="s">
        <v>72</v>
      </c>
      <c r="B48" s="738"/>
      <c r="C48" s="738"/>
      <c r="D48" s="738"/>
    </row>
    <row r="49" spans="1:6">
      <c r="A49" s="25" t="s">
        <v>73</v>
      </c>
      <c r="B49" s="38" t="s">
        <v>74</v>
      </c>
      <c r="C49" s="27"/>
      <c r="D49" s="28" t="s">
        <v>32</v>
      </c>
    </row>
    <row r="50" spans="1:6">
      <c r="A50" s="46" t="s">
        <v>4</v>
      </c>
      <c r="B50" s="29" t="s">
        <v>75</v>
      </c>
      <c r="C50" s="47"/>
      <c r="D50" s="40">
        <f>+'Men Cal Enc 12 36 Diurno'!C17</f>
        <v>0</v>
      </c>
    </row>
    <row r="51" spans="1:6" s="51" customFormat="1">
      <c r="A51" s="48" t="s">
        <v>76</v>
      </c>
      <c r="B51" s="49" t="s">
        <v>77</v>
      </c>
      <c r="C51" s="30">
        <f>+$C$136+$C$137</f>
        <v>9.2499999999999999E-2</v>
      </c>
      <c r="D51" s="50">
        <f>+(C51*D50)*-1</f>
        <v>0</v>
      </c>
      <c r="F51" s="52"/>
    </row>
    <row r="52" spans="1:6">
      <c r="A52" s="46" t="s">
        <v>6</v>
      </c>
      <c r="B52" s="29" t="s">
        <v>78</v>
      </c>
      <c r="C52" s="47"/>
      <c r="D52" s="40">
        <f>+'Men Cal Enc 12 36 Diurno'!C26</f>
        <v>0</v>
      </c>
      <c r="F52" s="53"/>
    </row>
    <row r="53" spans="1:6" s="51" customFormat="1">
      <c r="A53" s="48" t="s">
        <v>57</v>
      </c>
      <c r="B53" s="49" t="s">
        <v>77</v>
      </c>
      <c r="C53" s="30">
        <f>+$C$136+$C$137</f>
        <v>9.2499999999999999E-2</v>
      </c>
      <c r="D53" s="50">
        <f>+(C53*D52)*-1</f>
        <v>0</v>
      </c>
      <c r="F53" s="54"/>
    </row>
    <row r="54" spans="1:6">
      <c r="A54" s="92" t="s">
        <v>9</v>
      </c>
      <c r="B54" s="92" t="s">
        <v>79</v>
      </c>
      <c r="C54" s="47"/>
      <c r="D54" s="230"/>
      <c r="F54" s="53"/>
    </row>
    <row r="55" spans="1:6">
      <c r="A55" s="48" t="s">
        <v>80</v>
      </c>
      <c r="B55" s="49" t="s">
        <v>77</v>
      </c>
      <c r="C55" s="30">
        <f>+$C$136+$C$137</f>
        <v>9.2499999999999999E-2</v>
      </c>
      <c r="D55" s="50">
        <f>+(C55*D54)*-1</f>
        <v>0</v>
      </c>
      <c r="F55" s="53"/>
    </row>
    <row r="56" spans="1:6">
      <c r="A56" s="92" t="s">
        <v>11</v>
      </c>
      <c r="B56" s="90" t="s">
        <v>676</v>
      </c>
      <c r="C56" s="47"/>
      <c r="D56" s="230"/>
      <c r="F56" s="53"/>
    </row>
    <row r="57" spans="1:6">
      <c r="A57" s="48" t="s">
        <v>81</v>
      </c>
      <c r="B57" s="49" t="s">
        <v>77</v>
      </c>
      <c r="C57" s="30">
        <f>+$C$136+$C$137</f>
        <v>9.2499999999999999E-2</v>
      </c>
      <c r="D57" s="50">
        <f>+(C57*D56)*-1</f>
        <v>0</v>
      </c>
      <c r="F57" s="53"/>
    </row>
    <row r="58" spans="1:6" ht="26.4">
      <c r="A58" s="92" t="s">
        <v>37</v>
      </c>
      <c r="B58" s="558" t="s">
        <v>677</v>
      </c>
      <c r="C58" s="47"/>
      <c r="D58" s="231"/>
      <c r="F58" s="55"/>
    </row>
    <row r="59" spans="1:6">
      <c r="A59" s="48" t="s">
        <v>82</v>
      </c>
      <c r="B59" s="49" t="s">
        <v>77</v>
      </c>
      <c r="C59" s="30">
        <f>+$C$136+$C$137</f>
        <v>9.2499999999999999E-2</v>
      </c>
      <c r="D59" s="50">
        <f>+(C59*D58)*-1</f>
        <v>0</v>
      </c>
    </row>
    <row r="60" spans="1:6">
      <c r="A60" s="92" t="s">
        <v>39</v>
      </c>
      <c r="B60" s="739" t="s">
        <v>83</v>
      </c>
      <c r="C60" s="739"/>
      <c r="D60" s="230"/>
    </row>
    <row r="61" spans="1:6">
      <c r="A61" s="48" t="s">
        <v>84</v>
      </c>
      <c r="B61" s="49" t="s">
        <v>77</v>
      </c>
      <c r="C61" s="30">
        <f>+$C$136+$C$137</f>
        <v>9.2499999999999999E-2</v>
      </c>
      <c r="D61" s="50">
        <f>+(C61*D60)*-1</f>
        <v>0</v>
      </c>
    </row>
    <row r="62" spans="1:6">
      <c r="A62" s="721" t="s">
        <v>21</v>
      </c>
      <c r="B62" s="723"/>
      <c r="C62" s="56"/>
      <c r="D62" s="57">
        <f>SUM(D50:D61)</f>
        <v>0</v>
      </c>
    </row>
    <row r="64" spans="1:6">
      <c r="A64" s="732" t="s">
        <v>85</v>
      </c>
      <c r="B64" s="733"/>
      <c r="C64" s="733"/>
      <c r="D64" s="733"/>
    </row>
    <row r="65" spans="1:4">
      <c r="A65" s="58">
        <v>2</v>
      </c>
      <c r="B65" s="742" t="s">
        <v>86</v>
      </c>
      <c r="C65" s="742"/>
      <c r="D65" s="59" t="s">
        <v>32</v>
      </c>
    </row>
    <row r="66" spans="1:4">
      <c r="A66" s="60" t="s">
        <v>53</v>
      </c>
      <c r="B66" s="743" t="s">
        <v>54</v>
      </c>
      <c r="C66" s="743"/>
      <c r="D66" s="40">
        <f>+D34</f>
        <v>0</v>
      </c>
    </row>
    <row r="67" spans="1:4">
      <c r="A67" s="60" t="s">
        <v>62</v>
      </c>
      <c r="B67" s="743" t="s">
        <v>63</v>
      </c>
      <c r="C67" s="743"/>
      <c r="D67" s="40">
        <f>+D46</f>
        <v>0</v>
      </c>
    </row>
    <row r="68" spans="1:4">
      <c r="A68" s="60" t="s">
        <v>73</v>
      </c>
      <c r="B68" s="743" t="s">
        <v>74</v>
      </c>
      <c r="C68" s="743"/>
      <c r="D68" s="61">
        <f>+D62</f>
        <v>0</v>
      </c>
    </row>
    <row r="69" spans="1:4">
      <c r="A69" s="742" t="s">
        <v>21</v>
      </c>
      <c r="B69" s="742"/>
      <c r="C69" s="742"/>
      <c r="D69" s="62">
        <f>SUM(D66:D68)</f>
        <v>0</v>
      </c>
    </row>
    <row r="71" spans="1:4">
      <c r="A71" s="732" t="s">
        <v>87</v>
      </c>
      <c r="B71" s="733"/>
      <c r="C71" s="733"/>
      <c r="D71" s="733"/>
    </row>
    <row r="73" spans="1:4">
      <c r="A73" s="63">
        <v>3</v>
      </c>
      <c r="B73" s="26" t="s">
        <v>88</v>
      </c>
      <c r="C73" s="13" t="s">
        <v>31</v>
      </c>
      <c r="D73" s="13" t="s">
        <v>32</v>
      </c>
    </row>
    <row r="74" spans="1:4">
      <c r="A74" s="110" t="s">
        <v>4</v>
      </c>
      <c r="B74" s="49" t="s">
        <v>89</v>
      </c>
      <c r="C74" s="30" t="e">
        <f>+D74/$D$24</f>
        <v>#DIV/0!</v>
      </c>
      <c r="D74" s="64">
        <f>+'Men Cal Enc 12 36 Diurno'!C32</f>
        <v>0</v>
      </c>
    </row>
    <row r="75" spans="1:4">
      <c r="A75" s="110" t="s">
        <v>6</v>
      </c>
      <c r="B75" s="29" t="s">
        <v>90</v>
      </c>
      <c r="C75" s="65"/>
      <c r="D75" s="22">
        <f>ROUND(+D74*$C$45,2)</f>
        <v>0</v>
      </c>
    </row>
    <row r="76" spans="1:4" ht="26.4">
      <c r="A76" s="110" t="s">
        <v>9</v>
      </c>
      <c r="B76" s="5" t="s">
        <v>91</v>
      </c>
      <c r="C76" s="39" t="e">
        <f>+D76/$D$24</f>
        <v>#DIV/0!</v>
      </c>
      <c r="D76" s="22">
        <f>+'Men Cal Enc 12 36 Diurno'!C46</f>
        <v>0</v>
      </c>
    </row>
    <row r="77" spans="1:4">
      <c r="A77" s="66" t="s">
        <v>11</v>
      </c>
      <c r="B77" s="29" t="s">
        <v>92</v>
      </c>
      <c r="C77" s="39" t="e">
        <f>+D77/$D$24</f>
        <v>#DIV/0!</v>
      </c>
      <c r="D77" s="22">
        <f>+'Men Cal Enc 12 36 Diurno'!C54</f>
        <v>0</v>
      </c>
    </row>
    <row r="78" spans="1:4" ht="26.4">
      <c r="A78" s="66" t="s">
        <v>37</v>
      </c>
      <c r="B78" s="5" t="s">
        <v>93</v>
      </c>
      <c r="C78" s="65"/>
      <c r="D78" s="67"/>
    </row>
    <row r="79" spans="1:4" ht="26.4">
      <c r="A79" s="66" t="s">
        <v>39</v>
      </c>
      <c r="B79" s="5" t="s">
        <v>94</v>
      </c>
      <c r="C79" s="39" t="e">
        <f>+D79/$D$24</f>
        <v>#DIV/0!</v>
      </c>
      <c r="D79" s="40">
        <f>+'Men Cal Enc 12 36 Diurno'!C68</f>
        <v>0</v>
      </c>
    </row>
    <row r="80" spans="1:4">
      <c r="A80" s="721" t="s">
        <v>21</v>
      </c>
      <c r="B80" s="722"/>
      <c r="C80" s="723"/>
      <c r="D80" s="68">
        <f>SUM(D74:D79)</f>
        <v>0</v>
      </c>
    </row>
    <row r="82" spans="1:4">
      <c r="A82" s="732" t="s">
        <v>95</v>
      </c>
      <c r="B82" s="733"/>
      <c r="C82" s="733"/>
      <c r="D82" s="733"/>
    </row>
    <row r="84" spans="1:4">
      <c r="A84" s="744" t="s">
        <v>96</v>
      </c>
      <c r="B84" s="744"/>
      <c r="C84" s="744"/>
      <c r="D84" s="744"/>
    </row>
    <row r="85" spans="1:4">
      <c r="A85" s="63" t="s">
        <v>97</v>
      </c>
      <c r="B85" s="721" t="s">
        <v>98</v>
      </c>
      <c r="C85" s="723"/>
      <c r="D85" s="13" t="s">
        <v>32</v>
      </c>
    </row>
    <row r="86" spans="1:4">
      <c r="A86" s="29" t="s">
        <v>4</v>
      </c>
      <c r="B86" s="740" t="s">
        <v>99</v>
      </c>
      <c r="C86" s="741"/>
      <c r="D86" s="22"/>
    </row>
    <row r="87" spans="1:4">
      <c r="A87" s="49" t="s">
        <v>6</v>
      </c>
      <c r="B87" s="747" t="s">
        <v>98</v>
      </c>
      <c r="C87" s="748"/>
      <c r="D87" s="69">
        <f>+'Men Cal Enc 12 36 Diurno'!C81</f>
        <v>0</v>
      </c>
    </row>
    <row r="88" spans="1:4" s="51" customFormat="1">
      <c r="A88" s="49" t="s">
        <v>9</v>
      </c>
      <c r="B88" s="747" t="s">
        <v>100</v>
      </c>
      <c r="C88" s="748"/>
      <c r="D88" s="69">
        <f>+'Men Cal Enc 12 36 Diurno'!C90</f>
        <v>0</v>
      </c>
    </row>
    <row r="89" spans="1:4" s="51" customFormat="1">
      <c r="A89" s="49" t="s">
        <v>11</v>
      </c>
      <c r="B89" s="747" t="s">
        <v>101</v>
      </c>
      <c r="C89" s="748"/>
      <c r="D89" s="69">
        <f>+'Men Cal Enc 12 36 Diurno'!C98</f>
        <v>0</v>
      </c>
    </row>
    <row r="90" spans="1:4" s="51" customFormat="1">
      <c r="A90" s="49" t="s">
        <v>37</v>
      </c>
      <c r="B90" s="747" t="s">
        <v>102</v>
      </c>
      <c r="C90" s="748"/>
      <c r="D90" s="69"/>
    </row>
    <row r="91" spans="1:4" s="51" customFormat="1">
      <c r="A91" s="49" t="s">
        <v>39</v>
      </c>
      <c r="B91" s="747" t="s">
        <v>103</v>
      </c>
      <c r="C91" s="748"/>
      <c r="D91" s="69">
        <f>+'Men Cal Enc 12 36 Diurno'!C106</f>
        <v>0</v>
      </c>
    </row>
    <row r="92" spans="1:4">
      <c r="A92" s="29" t="s">
        <v>41</v>
      </c>
      <c r="B92" s="740" t="s">
        <v>50</v>
      </c>
      <c r="C92" s="741"/>
      <c r="D92" s="22"/>
    </row>
    <row r="93" spans="1:4">
      <c r="A93" s="29" t="s">
        <v>43</v>
      </c>
      <c r="B93" s="740" t="s">
        <v>104</v>
      </c>
      <c r="C93" s="741"/>
      <c r="D93" s="67"/>
    </row>
    <row r="94" spans="1:4">
      <c r="A94" s="736" t="s">
        <v>21</v>
      </c>
      <c r="B94" s="736"/>
      <c r="C94" s="736"/>
      <c r="D94" s="24">
        <f>SUM(D86:D93)</f>
        <v>0</v>
      </c>
    </row>
    <row r="95" spans="1:4">
      <c r="D95" s="70"/>
    </row>
    <row r="96" spans="1:4">
      <c r="A96" s="63" t="s">
        <v>105</v>
      </c>
      <c r="B96" s="721" t="s">
        <v>106</v>
      </c>
      <c r="C96" s="723"/>
      <c r="D96" s="13" t="s">
        <v>32</v>
      </c>
    </row>
    <row r="97" spans="1:4" s="51" customFormat="1">
      <c r="A97" s="49" t="s">
        <v>4</v>
      </c>
      <c r="B97" s="749" t="s">
        <v>107</v>
      </c>
      <c r="C97" s="750"/>
      <c r="D97" s="69">
        <f>+'Men Cal Enc 12 36 Diurno'!C118</f>
        <v>0</v>
      </c>
    </row>
    <row r="98" spans="1:4" s="51" customFormat="1">
      <c r="A98" s="49" t="s">
        <v>6</v>
      </c>
      <c r="B98" s="745" t="s">
        <v>108</v>
      </c>
      <c r="C98" s="746"/>
      <c r="D98" s="67"/>
    </row>
    <row r="99" spans="1:4" s="51" customFormat="1">
      <c r="A99" s="49" t="s">
        <v>9</v>
      </c>
      <c r="B99" s="745" t="s">
        <v>109</v>
      </c>
      <c r="C99" s="746"/>
      <c r="D99" s="67"/>
    </row>
    <row r="100" spans="1:4">
      <c r="A100" s="29" t="s">
        <v>11</v>
      </c>
      <c r="B100" s="740" t="s">
        <v>50</v>
      </c>
      <c r="C100" s="741"/>
      <c r="D100" s="22"/>
    </row>
    <row r="101" spans="1:4">
      <c r="A101" s="736" t="s">
        <v>21</v>
      </c>
      <c r="B101" s="736"/>
      <c r="C101" s="736"/>
      <c r="D101" s="24">
        <f>SUM(D97:D100)</f>
        <v>0</v>
      </c>
    </row>
    <row r="102" spans="1:4">
      <c r="D102" s="70"/>
    </row>
    <row r="103" spans="1:4">
      <c r="A103" s="63" t="s">
        <v>110</v>
      </c>
      <c r="B103" s="736" t="s">
        <v>111</v>
      </c>
      <c r="C103" s="736"/>
      <c r="D103" s="13" t="s">
        <v>32</v>
      </c>
    </row>
    <row r="104" spans="1:4" s="72" customFormat="1">
      <c r="A104" s="66" t="s">
        <v>4</v>
      </c>
      <c r="B104" s="751" t="s">
        <v>112</v>
      </c>
      <c r="C104" s="751"/>
      <c r="D104" s="71"/>
    </row>
    <row r="105" spans="1:4">
      <c r="A105" s="736" t="s">
        <v>21</v>
      </c>
      <c r="B105" s="736"/>
      <c r="C105" s="736"/>
      <c r="D105" s="24">
        <f>SUM(D104:D104)</f>
        <v>0</v>
      </c>
    </row>
    <row r="107" spans="1:4">
      <c r="A107" s="111" t="s">
        <v>113</v>
      </c>
      <c r="B107" s="111"/>
      <c r="C107" s="111"/>
      <c r="D107" s="111"/>
    </row>
    <row r="108" spans="1:4">
      <c r="A108" s="29" t="s">
        <v>97</v>
      </c>
      <c r="B108" s="740" t="s">
        <v>98</v>
      </c>
      <c r="C108" s="741"/>
      <c r="D108" s="40">
        <f>+D94</f>
        <v>0</v>
      </c>
    </row>
    <row r="109" spans="1:4">
      <c r="A109" s="29" t="s">
        <v>105</v>
      </c>
      <c r="B109" s="740" t="s">
        <v>106</v>
      </c>
      <c r="C109" s="741"/>
      <c r="D109" s="40">
        <f>+D101</f>
        <v>0</v>
      </c>
    </row>
    <row r="110" spans="1:4">
      <c r="A110" s="74"/>
      <c r="B110" s="752" t="s">
        <v>114</v>
      </c>
      <c r="C110" s="753"/>
      <c r="D110" s="75">
        <f>+D109+D108</f>
        <v>0</v>
      </c>
    </row>
    <row r="111" spans="1:4">
      <c r="A111" s="29" t="s">
        <v>110</v>
      </c>
      <c r="B111" s="740" t="s">
        <v>111</v>
      </c>
      <c r="C111" s="741"/>
      <c r="D111" s="40">
        <f>+D105</f>
        <v>0</v>
      </c>
    </row>
    <row r="112" spans="1:4">
      <c r="A112" s="754" t="s">
        <v>21</v>
      </c>
      <c r="B112" s="754"/>
      <c r="C112" s="754"/>
      <c r="D112" s="77">
        <f>+D111+D110</f>
        <v>0</v>
      </c>
    </row>
    <row r="114" spans="1:4">
      <c r="A114" s="732" t="s">
        <v>115</v>
      </c>
      <c r="B114" s="733"/>
      <c r="C114" s="733"/>
      <c r="D114" s="733"/>
    </row>
    <row r="116" spans="1:4">
      <c r="A116" s="63">
        <v>5</v>
      </c>
      <c r="B116" s="721" t="s">
        <v>116</v>
      </c>
      <c r="C116" s="723"/>
      <c r="D116" s="13" t="s">
        <v>32</v>
      </c>
    </row>
    <row r="117" spans="1:4">
      <c r="A117" s="29" t="s">
        <v>4</v>
      </c>
      <c r="B117" s="734" t="s">
        <v>117</v>
      </c>
      <c r="C117" s="734"/>
      <c r="D117" s="22">
        <f>+Uniforme!F17</f>
        <v>0</v>
      </c>
    </row>
    <row r="118" spans="1:4">
      <c r="A118" s="29" t="s">
        <v>76</v>
      </c>
      <c r="B118" s="49" t="s">
        <v>77</v>
      </c>
      <c r="C118" s="30">
        <f>+$C$136+$C$137</f>
        <v>9.2499999999999999E-2</v>
      </c>
      <c r="D118" s="50">
        <f>+(C118*D117)*-1</f>
        <v>0</v>
      </c>
    </row>
    <row r="119" spans="1:4">
      <c r="A119" s="29" t="s">
        <v>6</v>
      </c>
      <c r="B119" s="734" t="s">
        <v>118</v>
      </c>
      <c r="C119" s="734"/>
      <c r="D119" s="22"/>
    </row>
    <row r="120" spans="1:4">
      <c r="A120" s="29" t="s">
        <v>57</v>
      </c>
      <c r="B120" s="49" t="s">
        <v>77</v>
      </c>
      <c r="C120" s="30">
        <f>+$C$136+$C$137</f>
        <v>9.2499999999999999E-2</v>
      </c>
      <c r="D120" s="50">
        <f>+(C120*D119)*-1</f>
        <v>0</v>
      </c>
    </row>
    <row r="121" spans="1:4">
      <c r="A121" s="29" t="s">
        <v>9</v>
      </c>
      <c r="B121" s="734" t="s">
        <v>119</v>
      </c>
      <c r="C121" s="734"/>
      <c r="D121" s="22"/>
    </row>
    <row r="122" spans="1:4">
      <c r="A122" s="29" t="s">
        <v>80</v>
      </c>
      <c r="B122" s="49" t="s">
        <v>77</v>
      </c>
      <c r="C122" s="30">
        <f>+$C$136+$C$137</f>
        <v>9.2499999999999999E-2</v>
      </c>
      <c r="D122" s="50">
        <f>+(C122*D121)*-1</f>
        <v>0</v>
      </c>
    </row>
    <row r="123" spans="1:4">
      <c r="A123" s="29" t="s">
        <v>11</v>
      </c>
      <c r="B123" s="734" t="s">
        <v>50</v>
      </c>
      <c r="C123" s="734"/>
      <c r="D123" s="22"/>
    </row>
    <row r="124" spans="1:4">
      <c r="A124" s="29" t="s">
        <v>81</v>
      </c>
      <c r="B124" s="49" t="s">
        <v>77</v>
      </c>
      <c r="C124" s="30">
        <f>+$C$136+$C$137</f>
        <v>9.2499999999999999E-2</v>
      </c>
      <c r="D124" s="50">
        <f>+(C124*D123)*-1</f>
        <v>0</v>
      </c>
    </row>
    <row r="125" spans="1:4">
      <c r="A125" s="736" t="s">
        <v>21</v>
      </c>
      <c r="B125" s="736"/>
      <c r="C125" s="736"/>
      <c r="D125" s="24">
        <f>SUM(D117:D123)</f>
        <v>0</v>
      </c>
    </row>
    <row r="127" spans="1:4">
      <c r="A127" s="732" t="s">
        <v>120</v>
      </c>
      <c r="B127" s="733"/>
      <c r="C127" s="733"/>
      <c r="D127" s="733"/>
    </row>
    <row r="129" spans="1:7">
      <c r="A129" s="63">
        <v>6</v>
      </c>
      <c r="B129" s="26" t="s">
        <v>121</v>
      </c>
      <c r="C129" s="113" t="s">
        <v>31</v>
      </c>
      <c r="D129" s="13" t="s">
        <v>32</v>
      </c>
    </row>
    <row r="130" spans="1:7">
      <c r="A130" s="322" t="s">
        <v>4</v>
      </c>
      <c r="B130" s="322" t="s">
        <v>122</v>
      </c>
      <c r="C130" s="323">
        <v>0.03</v>
      </c>
      <c r="D130" s="324">
        <f>($D$125+$D$112+$D$80+$D$69+$D$24)*C130</f>
        <v>0</v>
      </c>
    </row>
    <row r="131" spans="1:7">
      <c r="A131" s="322" t="s">
        <v>6</v>
      </c>
      <c r="B131" s="322" t="s">
        <v>123</v>
      </c>
      <c r="C131" s="323">
        <v>0.03</v>
      </c>
      <c r="D131" s="324">
        <f>($D$125+$D$112+$D$80+$D$69+$D$24+D130)*C131</f>
        <v>0</v>
      </c>
    </row>
    <row r="132" spans="1:7" s="80" customFormat="1">
      <c r="A132" s="756" t="s">
        <v>124</v>
      </c>
      <c r="B132" s="757"/>
      <c r="C132" s="758"/>
      <c r="D132" s="79">
        <f>++D131+D130+D125+D112+D80+D69+D24</f>
        <v>0</v>
      </c>
    </row>
    <row r="133" spans="1:7" s="80" customFormat="1">
      <c r="A133" s="759" t="s">
        <v>125</v>
      </c>
      <c r="B133" s="760"/>
      <c r="C133" s="761"/>
      <c r="D133" s="79">
        <f>ROUND(D132/(1-(C136+C137+C139+C141+C142)),2)</f>
        <v>0</v>
      </c>
    </row>
    <row r="134" spans="1:7">
      <c r="A134" s="29" t="s">
        <v>9</v>
      </c>
      <c r="B134" s="29" t="s">
        <v>126</v>
      </c>
      <c r="C134" s="39"/>
      <c r="D134" s="29"/>
    </row>
    <row r="135" spans="1:7">
      <c r="A135" s="29" t="s">
        <v>80</v>
      </c>
      <c r="B135" s="29" t="s">
        <v>127</v>
      </c>
      <c r="C135" s="39"/>
      <c r="D135" s="29"/>
    </row>
    <row r="136" spans="1:7">
      <c r="A136" s="322" t="s">
        <v>128</v>
      </c>
      <c r="B136" s="322" t="s">
        <v>129</v>
      </c>
      <c r="C136" s="323">
        <v>1.6500000000000001E-2</v>
      </c>
      <c r="D136" s="324">
        <f>ROUND(C136*$D$133,2)</f>
        <v>0</v>
      </c>
      <c r="G136" s="81"/>
    </row>
    <row r="137" spans="1:7">
      <c r="A137" s="322" t="s">
        <v>130</v>
      </c>
      <c r="B137" s="322" t="s">
        <v>131</v>
      </c>
      <c r="C137" s="323">
        <v>7.5999999999999998E-2</v>
      </c>
      <c r="D137" s="324">
        <f>ROUND(C137*$D$133,2)</f>
        <v>0</v>
      </c>
      <c r="G137" s="81"/>
    </row>
    <row r="138" spans="1:7">
      <c r="A138" s="29" t="s">
        <v>132</v>
      </c>
      <c r="B138" s="29" t="s">
        <v>133</v>
      </c>
      <c r="C138" s="39"/>
      <c r="D138" s="40"/>
      <c r="G138" s="81"/>
    </row>
    <row r="139" spans="1:7">
      <c r="A139" s="29" t="s">
        <v>134</v>
      </c>
      <c r="B139" s="29" t="s">
        <v>135</v>
      </c>
      <c r="C139" s="39"/>
      <c r="D139" s="29"/>
      <c r="G139" s="81"/>
    </row>
    <row r="140" spans="1:7">
      <c r="A140" s="29" t="s">
        <v>136</v>
      </c>
      <c r="B140" s="29" t="s">
        <v>137</v>
      </c>
      <c r="C140" s="39"/>
      <c r="D140" s="29"/>
    </row>
    <row r="141" spans="1:7">
      <c r="A141" s="322" t="s">
        <v>138</v>
      </c>
      <c r="B141" s="322" t="s">
        <v>139</v>
      </c>
      <c r="C141" s="323">
        <v>0.05</v>
      </c>
      <c r="D141" s="324">
        <f>ROUND(C141*$D$133,2)</f>
        <v>0</v>
      </c>
    </row>
    <row r="142" spans="1:7">
      <c r="A142" s="29" t="s">
        <v>140</v>
      </c>
      <c r="B142" s="29" t="s">
        <v>141</v>
      </c>
      <c r="C142" s="39"/>
      <c r="D142" s="29"/>
    </row>
    <row r="143" spans="1:7">
      <c r="A143" s="721" t="s">
        <v>21</v>
      </c>
      <c r="B143" s="722"/>
      <c r="C143" s="82">
        <f>+C142+C141+C139+C137+C136+C131+C130</f>
        <v>0.20250000000000001</v>
      </c>
      <c r="D143" s="24">
        <f>+D141+D139+D137+D136+D131+D130</f>
        <v>0</v>
      </c>
    </row>
    <row r="145" spans="1:5">
      <c r="A145" s="762" t="s">
        <v>142</v>
      </c>
      <c r="B145" s="762"/>
      <c r="C145" s="762"/>
      <c r="D145" s="762"/>
    </row>
    <row r="146" spans="1:5">
      <c r="A146" s="29" t="s">
        <v>4</v>
      </c>
      <c r="B146" s="755" t="s">
        <v>143</v>
      </c>
      <c r="C146" s="755"/>
      <c r="D146" s="22">
        <f>+D24</f>
        <v>0</v>
      </c>
    </row>
    <row r="147" spans="1:5">
      <c r="A147" s="29" t="s">
        <v>144</v>
      </c>
      <c r="B147" s="755" t="s">
        <v>145</v>
      </c>
      <c r="C147" s="755"/>
      <c r="D147" s="22">
        <f>+D69</f>
        <v>0</v>
      </c>
    </row>
    <row r="148" spans="1:5">
      <c r="A148" s="29" t="s">
        <v>9</v>
      </c>
      <c r="B148" s="755" t="s">
        <v>146</v>
      </c>
      <c r="C148" s="755"/>
      <c r="D148" s="22">
        <f>+D80</f>
        <v>0</v>
      </c>
    </row>
    <row r="149" spans="1:5">
      <c r="A149" s="29" t="s">
        <v>11</v>
      </c>
      <c r="B149" s="755" t="s">
        <v>147</v>
      </c>
      <c r="C149" s="755"/>
      <c r="D149" s="22">
        <f>+D112</f>
        <v>0</v>
      </c>
    </row>
    <row r="150" spans="1:5">
      <c r="A150" s="29" t="s">
        <v>37</v>
      </c>
      <c r="B150" s="755" t="s">
        <v>148</v>
      </c>
      <c r="C150" s="755"/>
      <c r="D150" s="22">
        <f>+D125</f>
        <v>0</v>
      </c>
    </row>
    <row r="151" spans="1:5">
      <c r="B151" s="763" t="s">
        <v>149</v>
      </c>
      <c r="C151" s="763"/>
      <c r="D151" s="83">
        <f>SUM(D146:D150)</f>
        <v>0</v>
      </c>
    </row>
    <row r="152" spans="1:5">
      <c r="A152" s="29" t="s">
        <v>39</v>
      </c>
      <c r="B152" s="755" t="s">
        <v>150</v>
      </c>
      <c r="C152" s="755"/>
      <c r="D152" s="22">
        <f>+D143</f>
        <v>0</v>
      </c>
    </row>
    <row r="154" spans="1:5">
      <c r="A154" s="764" t="s">
        <v>151</v>
      </c>
      <c r="B154" s="764"/>
      <c r="C154" s="764"/>
      <c r="D154" s="84">
        <f>ROUND(+D152+D151,2)</f>
        <v>0</v>
      </c>
    </row>
    <row r="156" spans="1:5" s="135" customFormat="1">
      <c r="A156" s="800"/>
      <c r="B156" s="800"/>
      <c r="C156" s="800"/>
      <c r="D156" s="800"/>
      <c r="E156" s="134"/>
    </row>
    <row r="157" spans="1:5">
      <c r="A157" s="87"/>
      <c r="B157" s="87"/>
      <c r="C157" s="87"/>
      <c r="D157" s="87"/>
      <c r="E157" s="87"/>
    </row>
    <row r="158" spans="1:5">
      <c r="A158" s="787"/>
      <c r="B158" s="787"/>
      <c r="C158" s="787"/>
      <c r="D158" s="787"/>
      <c r="E158" s="87"/>
    </row>
    <row r="159" spans="1:5">
      <c r="A159" s="87"/>
      <c r="B159" s="87"/>
      <c r="C159" s="87"/>
      <c r="D159" s="87"/>
      <c r="E159" s="87"/>
    </row>
    <row r="160" spans="1:5">
      <c r="A160" s="799"/>
      <c r="B160" s="799"/>
      <c r="C160" s="799"/>
      <c r="D160" s="799"/>
      <c r="E160" s="87"/>
    </row>
    <row r="161" spans="1:5">
      <c r="A161" s="87"/>
      <c r="B161" s="87"/>
      <c r="C161" s="87"/>
      <c r="D161" s="87"/>
      <c r="E161" s="87"/>
    </row>
    <row r="162" spans="1:5">
      <c r="A162" s="87"/>
      <c r="B162" s="87"/>
      <c r="C162" s="87"/>
      <c r="D162" s="87"/>
      <c r="E162" s="87"/>
    </row>
    <row r="163" spans="1:5">
      <c r="A163" s="87"/>
      <c r="B163" s="87"/>
      <c r="C163" s="87"/>
      <c r="D163" s="87"/>
      <c r="E163" s="87"/>
    </row>
    <row r="164" spans="1:5">
      <c r="A164" s="87"/>
      <c r="B164" s="87"/>
      <c r="C164" s="87"/>
      <c r="D164" s="87"/>
      <c r="E164" s="87"/>
    </row>
    <row r="165" spans="1:5">
      <c r="A165" s="87"/>
      <c r="B165" s="87"/>
      <c r="C165" s="87"/>
      <c r="D165" s="87"/>
      <c r="E165" s="87"/>
    </row>
    <row r="166" spans="1:5">
      <c r="A166" s="87"/>
      <c r="B166" s="87"/>
      <c r="C166" s="87"/>
      <c r="D166" s="87"/>
      <c r="E166" s="87"/>
    </row>
    <row r="167" spans="1:5">
      <c r="A167" s="87"/>
      <c r="B167" s="87"/>
      <c r="C167" s="87"/>
      <c r="D167" s="87"/>
      <c r="E167" s="87"/>
    </row>
    <row r="168" spans="1:5">
      <c r="A168" s="87"/>
      <c r="B168" s="87"/>
      <c r="C168" s="87"/>
      <c r="D168" s="87"/>
      <c r="E168" s="87"/>
    </row>
    <row r="169" spans="1:5">
      <c r="A169" s="87"/>
      <c r="B169" s="87"/>
      <c r="C169" s="87"/>
      <c r="D169" s="87"/>
      <c r="E169" s="87"/>
    </row>
    <row r="170" spans="1:5">
      <c r="A170" s="87"/>
      <c r="B170" s="87"/>
      <c r="C170" s="87"/>
      <c r="D170" s="87"/>
      <c r="E170" s="87"/>
    </row>
    <row r="171" spans="1:5">
      <c r="A171" s="87"/>
      <c r="B171" s="87"/>
      <c r="C171" s="87"/>
      <c r="D171" s="87"/>
      <c r="E171" s="87"/>
    </row>
    <row r="172" spans="1:5">
      <c r="A172" s="87"/>
      <c r="B172" s="87"/>
      <c r="C172" s="87"/>
      <c r="D172" s="87"/>
      <c r="E172" s="87"/>
    </row>
    <row r="173" spans="1:5">
      <c r="A173" s="87"/>
      <c r="B173" s="87"/>
      <c r="C173" s="87"/>
      <c r="D173" s="87"/>
      <c r="E173" s="87"/>
    </row>
  </sheetData>
  <mergeCells count="82">
    <mergeCell ref="A160:D160"/>
    <mergeCell ref="A154:C154"/>
    <mergeCell ref="A156:D156"/>
    <mergeCell ref="A158:D158"/>
    <mergeCell ref="B152:C152"/>
    <mergeCell ref="A127:D127"/>
    <mergeCell ref="A132:C132"/>
    <mergeCell ref="A133:C133"/>
    <mergeCell ref="A143:B143"/>
    <mergeCell ref="A145:D145"/>
    <mergeCell ref="B146:C146"/>
    <mergeCell ref="B147:C147"/>
    <mergeCell ref="B148:C148"/>
    <mergeCell ref="B149:C149"/>
    <mergeCell ref="B150:C150"/>
    <mergeCell ref="B151:C151"/>
    <mergeCell ref="A125:C125"/>
    <mergeCell ref="B108:C108"/>
    <mergeCell ref="B109:C109"/>
    <mergeCell ref="B110:C110"/>
    <mergeCell ref="B111:C111"/>
    <mergeCell ref="A112:C112"/>
    <mergeCell ref="A114:D114"/>
    <mergeCell ref="B116:C116"/>
    <mergeCell ref="B117:C117"/>
    <mergeCell ref="B119:C119"/>
    <mergeCell ref="B121:C121"/>
    <mergeCell ref="B123:C123"/>
    <mergeCell ref="A105:C105"/>
    <mergeCell ref="B92:C92"/>
    <mergeCell ref="B93:C93"/>
    <mergeCell ref="A94:C94"/>
    <mergeCell ref="B96:C96"/>
    <mergeCell ref="B97:C97"/>
    <mergeCell ref="B98:C98"/>
    <mergeCell ref="B99:C99"/>
    <mergeCell ref="B100:C100"/>
    <mergeCell ref="A101:C101"/>
    <mergeCell ref="B103:C103"/>
    <mergeCell ref="B104:C104"/>
    <mergeCell ref="B91:C91"/>
    <mergeCell ref="A69:C69"/>
    <mergeCell ref="A71:D71"/>
    <mergeCell ref="A80:C80"/>
    <mergeCell ref="A82:D82"/>
    <mergeCell ref="A84:D84"/>
    <mergeCell ref="B85:C85"/>
    <mergeCell ref="B86:C86"/>
    <mergeCell ref="B87:C87"/>
    <mergeCell ref="B88:C88"/>
    <mergeCell ref="B89:C89"/>
    <mergeCell ref="B90:C90"/>
    <mergeCell ref="B68:C68"/>
    <mergeCell ref="A26:D26"/>
    <mergeCell ref="A28:D28"/>
    <mergeCell ref="A34:C34"/>
    <mergeCell ref="A36:D36"/>
    <mergeCell ref="A48:D48"/>
    <mergeCell ref="B60:C60"/>
    <mergeCell ref="A62:B62"/>
    <mergeCell ref="A64:D64"/>
    <mergeCell ref="B65:C65"/>
    <mergeCell ref="B66:C66"/>
    <mergeCell ref="B67:C67"/>
    <mergeCell ref="A24:C24"/>
    <mergeCell ref="C8:D8"/>
    <mergeCell ref="C9:D9"/>
    <mergeCell ref="A11:D11"/>
    <mergeCell ref="B13:C13"/>
    <mergeCell ref="B16:C16"/>
    <mergeCell ref="B17:C17"/>
    <mergeCell ref="B18:C18"/>
    <mergeCell ref="B19:C19"/>
    <mergeCell ref="B20:C20"/>
    <mergeCell ref="B22:C22"/>
    <mergeCell ref="B23:C23"/>
    <mergeCell ref="C7:D7"/>
    <mergeCell ref="A1:D1"/>
    <mergeCell ref="A3:D3"/>
    <mergeCell ref="C4:D4"/>
    <mergeCell ref="C5:D5"/>
    <mergeCell ref="C6:D6"/>
  </mergeCells>
  <pageMargins left="0.95" right="0.14000000000000001" top="0.38" bottom="0.57999999999999996" header="0.31496062992125984" footer="0.31496062992125984"/>
  <pageSetup paperSize="9" scale="85" orientation="portrait" r:id="rId1"/>
  <headerFooter>
    <oddFoote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C130"/>
  <sheetViews>
    <sheetView topLeftCell="A110" workbookViewId="0">
      <selection activeCell="B126" sqref="B126"/>
    </sheetView>
  </sheetViews>
  <sheetFormatPr defaultRowHeight="13.2"/>
  <cols>
    <col min="1" max="1" width="64.453125" customWidth="1"/>
    <col min="2" max="2" width="12.26953125" bestFit="1" customWidth="1"/>
    <col min="3" max="3" width="12" bestFit="1" customWidth="1"/>
    <col min="4" max="4" width="9.36328125" bestFit="1" customWidth="1"/>
    <col min="5" max="5" width="69.08984375" customWidth="1"/>
  </cols>
  <sheetData>
    <row r="1" spans="1:3" ht="16.8">
      <c r="A1" s="809" t="s">
        <v>258</v>
      </c>
      <c r="B1" s="809"/>
      <c r="C1" s="809"/>
    </row>
    <row r="3" spans="1:3">
      <c r="A3" s="29" t="s">
        <v>152</v>
      </c>
      <c r="B3" s="29">
        <v>220</v>
      </c>
    </row>
    <row r="4" spans="1:3">
      <c r="A4" s="29" t="s">
        <v>153</v>
      </c>
      <c r="B4" s="29">
        <v>365.25</v>
      </c>
    </row>
    <row r="5" spans="1:3">
      <c r="A5" s="29" t="s">
        <v>154</v>
      </c>
      <c r="B5" s="88">
        <f>(365.25/12)/(7/7)/2</f>
        <v>15.21875</v>
      </c>
    </row>
    <row r="6" spans="1:3">
      <c r="A6" s="49" t="s">
        <v>33</v>
      </c>
      <c r="B6" s="40">
        <f>+'Encarregado 12 36 Diurno'!D13</f>
        <v>0</v>
      </c>
    </row>
    <row r="7" spans="1:3">
      <c r="A7" s="49" t="s">
        <v>155</v>
      </c>
      <c r="B7" s="40">
        <f>+'Encarregado 12 36 Diurno'!D24</f>
        <v>0</v>
      </c>
    </row>
    <row r="10" spans="1:3">
      <c r="A10" s="765" t="s">
        <v>156</v>
      </c>
      <c r="B10" s="766"/>
      <c r="C10" s="767"/>
    </row>
    <row r="11" spans="1:3">
      <c r="A11" s="29" t="s">
        <v>157</v>
      </c>
      <c r="B11" s="29">
        <f>+$B$4</f>
        <v>365.25</v>
      </c>
      <c r="C11" s="65"/>
    </row>
    <row r="12" spans="1:3">
      <c r="A12" s="29" t="s">
        <v>158</v>
      </c>
      <c r="B12" s="49">
        <v>12</v>
      </c>
      <c r="C12" s="65"/>
    </row>
    <row r="13" spans="1:3">
      <c r="A13" s="29" t="s">
        <v>159</v>
      </c>
      <c r="B13" s="39">
        <v>1</v>
      </c>
      <c r="C13" s="65"/>
    </row>
    <row r="14" spans="1:3">
      <c r="A14" s="49" t="s">
        <v>160</v>
      </c>
      <c r="B14" s="88">
        <f>(365.25/12)/(7/7)/2</f>
        <v>15.21875</v>
      </c>
      <c r="C14" s="65"/>
    </row>
    <row r="15" spans="1:3">
      <c r="A15" s="90" t="s">
        <v>161</v>
      </c>
      <c r="B15" s="91"/>
      <c r="C15" s="65"/>
    </row>
    <row r="16" spans="1:3">
      <c r="A16" s="29" t="s">
        <v>162</v>
      </c>
      <c r="B16" s="39">
        <v>0.06</v>
      </c>
      <c r="C16" s="65"/>
    </row>
    <row r="17" spans="1:3">
      <c r="A17" s="769" t="s">
        <v>163</v>
      </c>
      <c r="B17" s="770"/>
      <c r="C17" s="85">
        <f>ROUND((B14*(B15*2)-($B$6*B16)),2)</f>
        <v>0</v>
      </c>
    </row>
    <row r="19" spans="1:3">
      <c r="A19" s="765" t="s">
        <v>164</v>
      </c>
      <c r="B19" s="766"/>
      <c r="C19" s="767"/>
    </row>
    <row r="20" spans="1:3">
      <c r="A20" s="29" t="s">
        <v>157</v>
      </c>
      <c r="B20" s="29">
        <f>+$B$4</f>
        <v>365.25</v>
      </c>
      <c r="C20" s="65"/>
    </row>
    <row r="21" spans="1:3">
      <c r="A21" s="29" t="s">
        <v>158</v>
      </c>
      <c r="B21" s="49">
        <v>12</v>
      </c>
      <c r="C21" s="65"/>
    </row>
    <row r="22" spans="1:3">
      <c r="A22" s="29" t="s">
        <v>159</v>
      </c>
      <c r="B22" s="39">
        <v>1</v>
      </c>
      <c r="C22" s="65"/>
    </row>
    <row r="23" spans="1:3">
      <c r="A23" s="49" t="s">
        <v>160</v>
      </c>
      <c r="B23" s="88">
        <f>(365.25/12)/(7/7)/2</f>
        <v>15.21875</v>
      </c>
      <c r="C23" s="65"/>
    </row>
    <row r="24" spans="1:3">
      <c r="A24" s="90" t="s">
        <v>165</v>
      </c>
      <c r="B24" s="91"/>
      <c r="C24" s="65"/>
    </row>
    <row r="25" spans="1:3">
      <c r="A25" s="29" t="s">
        <v>166</v>
      </c>
      <c r="B25" s="39">
        <v>0.1</v>
      </c>
      <c r="C25" s="65"/>
    </row>
    <row r="26" spans="1:3">
      <c r="A26" s="769" t="s">
        <v>165</v>
      </c>
      <c r="B26" s="770"/>
      <c r="C26" s="85">
        <f>ROUND((B23*(B24)-((B23*B24)*B25)),2)</f>
        <v>0</v>
      </c>
    </row>
    <row r="28" spans="1:3">
      <c r="A28" s="765" t="s">
        <v>167</v>
      </c>
      <c r="B28" s="766"/>
      <c r="C28" s="767"/>
    </row>
    <row r="29" spans="1:3">
      <c r="A29" s="29" t="s">
        <v>168</v>
      </c>
      <c r="B29" s="40">
        <f>+B7</f>
        <v>0</v>
      </c>
      <c r="C29" s="65"/>
    </row>
    <row r="30" spans="1:3">
      <c r="A30" s="29" t="s">
        <v>169</v>
      </c>
      <c r="B30" s="29">
        <v>12</v>
      </c>
      <c r="C30" s="65"/>
    </row>
    <row r="31" spans="1:3">
      <c r="A31" s="92" t="s">
        <v>170</v>
      </c>
      <c r="B31" s="93"/>
      <c r="C31" s="65"/>
    </row>
    <row r="32" spans="1:3">
      <c r="A32" s="769" t="s">
        <v>171</v>
      </c>
      <c r="B32" s="770"/>
      <c r="C32" s="85">
        <f>ROUND(+(B29/B30)*B31,2)</f>
        <v>0</v>
      </c>
    </row>
    <row r="34" spans="1:3">
      <c r="A34" s="771" t="s">
        <v>172</v>
      </c>
      <c r="B34" s="772"/>
      <c r="C34" s="773"/>
    </row>
    <row r="35" spans="1:3" s="51" customFormat="1">
      <c r="A35" s="94" t="s">
        <v>173</v>
      </c>
      <c r="B35" s="93">
        <f>+B31</f>
        <v>0</v>
      </c>
      <c r="C35" s="65"/>
    </row>
    <row r="36" spans="1:3">
      <c r="A36" s="29" t="s">
        <v>174</v>
      </c>
      <c r="B36" s="40">
        <f>+'Encarregado 12 36 Diurno'!$D$24</f>
        <v>0</v>
      </c>
      <c r="C36" s="65"/>
    </row>
    <row r="37" spans="1:3">
      <c r="A37" s="29" t="s">
        <v>55</v>
      </c>
      <c r="B37" s="40">
        <f>+'Encarregado 12 36 Diurno'!$D$30</f>
        <v>0</v>
      </c>
      <c r="C37" s="65"/>
    </row>
    <row r="38" spans="1:3">
      <c r="A38" s="95" t="s">
        <v>58</v>
      </c>
      <c r="B38" s="40">
        <f>+'Encarregado 12 36 Diurno'!$D$32</f>
        <v>0</v>
      </c>
      <c r="C38" s="65"/>
    </row>
    <row r="39" spans="1:3">
      <c r="A39" s="95" t="s">
        <v>60</v>
      </c>
      <c r="B39" s="40">
        <f>+'Encarregado 12 36 Diurno'!$D$33</f>
        <v>0</v>
      </c>
      <c r="C39" s="65"/>
    </row>
    <row r="40" spans="1:3">
      <c r="A40" s="96" t="s">
        <v>175</v>
      </c>
      <c r="B40" s="97">
        <f>SUM(B36:B39)</f>
        <v>0</v>
      </c>
      <c r="C40" s="65"/>
    </row>
    <row r="41" spans="1:3">
      <c r="A41" s="60" t="s">
        <v>176</v>
      </c>
      <c r="B41" s="39">
        <v>0.4</v>
      </c>
      <c r="C41" s="65"/>
    </row>
    <row r="42" spans="1:3">
      <c r="A42" s="60" t="s">
        <v>177</v>
      </c>
      <c r="B42" s="39">
        <f>+'Encarregado 12 36 Diurno'!$C$45</f>
        <v>0.08</v>
      </c>
      <c r="C42" s="65"/>
    </row>
    <row r="43" spans="1:3">
      <c r="A43" s="752" t="s">
        <v>178</v>
      </c>
      <c r="B43" s="753"/>
      <c r="C43" s="75">
        <f>ROUND(+B40*B41*B42*B35,2)</f>
        <v>0</v>
      </c>
    </row>
    <row r="44" spans="1:3">
      <c r="A44" s="60" t="s">
        <v>179</v>
      </c>
      <c r="B44" s="39"/>
      <c r="C44" s="65"/>
    </row>
    <row r="45" spans="1:3">
      <c r="A45" s="752" t="s">
        <v>180</v>
      </c>
      <c r="B45" s="753"/>
      <c r="C45" s="98">
        <f>ROUND(B44*B42*B40*B35,2)</f>
        <v>0</v>
      </c>
    </row>
    <row r="46" spans="1:3">
      <c r="A46" s="769" t="s">
        <v>181</v>
      </c>
      <c r="B46" s="770"/>
      <c r="C46" s="77">
        <f>+C45+C43</f>
        <v>0</v>
      </c>
    </row>
    <row r="48" spans="1:3">
      <c r="A48" s="765" t="s">
        <v>182</v>
      </c>
      <c r="B48" s="766"/>
      <c r="C48" s="767"/>
    </row>
    <row r="49" spans="1:3">
      <c r="A49" s="29" t="s">
        <v>168</v>
      </c>
      <c r="B49" s="40">
        <f>+B7</f>
        <v>0</v>
      </c>
      <c r="C49" s="65"/>
    </row>
    <row r="50" spans="1:3">
      <c r="A50" s="29" t="s">
        <v>183</v>
      </c>
      <c r="B50" s="99">
        <v>30</v>
      </c>
      <c r="C50" s="65"/>
    </row>
    <row r="51" spans="1:3">
      <c r="A51" s="29" t="s">
        <v>169</v>
      </c>
      <c r="B51" s="29">
        <v>12</v>
      </c>
      <c r="C51" s="65"/>
    </row>
    <row r="52" spans="1:3">
      <c r="A52" s="29" t="s">
        <v>184</v>
      </c>
      <c r="B52" s="29">
        <v>7</v>
      </c>
      <c r="C52" s="65"/>
    </row>
    <row r="53" spans="1:3">
      <c r="A53" s="92" t="s">
        <v>185</v>
      </c>
      <c r="B53" s="93"/>
      <c r="C53" s="65"/>
    </row>
    <row r="54" spans="1:3">
      <c r="A54" s="769" t="s">
        <v>186</v>
      </c>
      <c r="B54" s="770"/>
      <c r="C54" s="85">
        <f>+ROUND(((B49/B50/B51)*B52)*B53,2)</f>
        <v>0</v>
      </c>
    </row>
    <row r="56" spans="1:3">
      <c r="A56" s="771" t="s">
        <v>187</v>
      </c>
      <c r="B56" s="772"/>
      <c r="C56" s="773"/>
    </row>
    <row r="57" spans="1:3">
      <c r="A57" s="100" t="s">
        <v>188</v>
      </c>
      <c r="B57" s="93">
        <f>+B53</f>
        <v>0</v>
      </c>
      <c r="C57" s="65"/>
    </row>
    <row r="58" spans="1:3">
      <c r="A58" s="29" t="s">
        <v>174</v>
      </c>
      <c r="B58" s="40">
        <f>+'Encarregado 12 36 Diurno'!$D$24</f>
        <v>0</v>
      </c>
      <c r="C58" s="65"/>
    </row>
    <row r="59" spans="1:3">
      <c r="A59" s="29" t="s">
        <v>55</v>
      </c>
      <c r="B59" s="40">
        <f>+'Encarregado 12 36 Diurno'!$D$30</f>
        <v>0</v>
      </c>
      <c r="C59" s="65"/>
    </row>
    <row r="60" spans="1:3">
      <c r="A60" s="95" t="s">
        <v>58</v>
      </c>
      <c r="B60" s="40">
        <f>+'Encarregado 12 36 Diurno'!$D$32</f>
        <v>0</v>
      </c>
      <c r="C60" s="65"/>
    </row>
    <row r="61" spans="1:3">
      <c r="A61" s="95" t="s">
        <v>60</v>
      </c>
      <c r="B61" s="40">
        <f>+'Encarregado 12 36 Diurno'!$D$33</f>
        <v>0</v>
      </c>
      <c r="C61" s="65"/>
    </row>
    <row r="62" spans="1:3">
      <c r="A62" s="96" t="s">
        <v>175</v>
      </c>
      <c r="B62" s="97">
        <f>SUM(B58:B61)</f>
        <v>0</v>
      </c>
      <c r="C62" s="65"/>
    </row>
    <row r="63" spans="1:3">
      <c r="A63" s="60" t="s">
        <v>176</v>
      </c>
      <c r="B63" s="39">
        <v>0.4</v>
      </c>
      <c r="C63" s="65"/>
    </row>
    <row r="64" spans="1:3">
      <c r="A64" s="60" t="s">
        <v>177</v>
      </c>
      <c r="B64" s="39">
        <f>+'Encarregado 12 36 Diurno'!$C$45</f>
        <v>0.08</v>
      </c>
      <c r="C64" s="65"/>
    </row>
    <row r="65" spans="1:3">
      <c r="A65" s="752" t="s">
        <v>178</v>
      </c>
      <c r="B65" s="753"/>
      <c r="C65" s="75">
        <f>ROUND(+B62*B63*B64*B57,2)</f>
        <v>0</v>
      </c>
    </row>
    <row r="66" spans="1:3">
      <c r="A66" s="60" t="s">
        <v>179</v>
      </c>
      <c r="B66" s="39"/>
      <c r="C66" s="65"/>
    </row>
    <row r="67" spans="1:3">
      <c r="A67" s="752" t="s">
        <v>180</v>
      </c>
      <c r="B67" s="753"/>
      <c r="C67" s="98">
        <f>ROUND(B66*B64*B62*B57,2)</f>
        <v>0</v>
      </c>
    </row>
    <row r="68" spans="1:3">
      <c r="A68" s="769" t="s">
        <v>189</v>
      </c>
      <c r="B68" s="770"/>
      <c r="C68" s="77">
        <f>+C67+C65</f>
        <v>0</v>
      </c>
    </row>
    <row r="70" spans="1:3">
      <c r="A70" s="771" t="s">
        <v>190</v>
      </c>
      <c r="B70" s="772"/>
      <c r="C70" s="773"/>
    </row>
    <row r="71" spans="1:3">
      <c r="A71" s="774" t="s">
        <v>191</v>
      </c>
      <c r="B71" s="775"/>
      <c r="C71" s="776"/>
    </row>
    <row r="72" spans="1:3">
      <c r="A72" s="777"/>
      <c r="B72" s="778"/>
      <c r="C72" s="779"/>
    </row>
    <row r="73" spans="1:3">
      <c r="A73" s="777"/>
      <c r="B73" s="778"/>
      <c r="C73" s="779"/>
    </row>
    <row r="74" spans="1:3">
      <c r="A74" s="780"/>
      <c r="B74" s="781"/>
      <c r="C74" s="782"/>
    </row>
    <row r="75" spans="1:3">
      <c r="A75" s="101"/>
      <c r="B75" s="101"/>
      <c r="C75" s="101"/>
    </row>
    <row r="76" spans="1:3">
      <c r="A76" s="771" t="s">
        <v>192</v>
      </c>
      <c r="B76" s="772"/>
      <c r="C76" s="773"/>
    </row>
    <row r="77" spans="1:3">
      <c r="A77" s="29" t="s">
        <v>193</v>
      </c>
      <c r="B77" s="40">
        <f>+$B$7</f>
        <v>0</v>
      </c>
      <c r="C77" s="65"/>
    </row>
    <row r="78" spans="1:3">
      <c r="A78" s="29" t="s">
        <v>158</v>
      </c>
      <c r="B78" s="29">
        <v>30</v>
      </c>
      <c r="C78" s="65"/>
    </row>
    <row r="79" spans="1:3">
      <c r="A79" s="29" t="s">
        <v>194</v>
      </c>
      <c r="B79" s="29">
        <v>12</v>
      </c>
      <c r="C79" s="65"/>
    </row>
    <row r="80" spans="1:3">
      <c r="A80" s="92" t="s">
        <v>195</v>
      </c>
      <c r="B80" s="92"/>
      <c r="C80" s="65"/>
    </row>
    <row r="81" spans="1:3">
      <c r="A81" s="769" t="s">
        <v>196</v>
      </c>
      <c r="B81" s="770"/>
      <c r="C81" s="58">
        <f>+ROUND((B77/B78/B79)*B80,2)</f>
        <v>0</v>
      </c>
    </row>
    <row r="83" spans="1:3">
      <c r="A83" s="771" t="s">
        <v>197</v>
      </c>
      <c r="B83" s="772"/>
      <c r="C83" s="773"/>
    </row>
    <row r="84" spans="1:3">
      <c r="A84" s="29" t="s">
        <v>193</v>
      </c>
      <c r="B84" s="40">
        <f>+$B$7</f>
        <v>0</v>
      </c>
      <c r="C84" s="65"/>
    </row>
    <row r="85" spans="1:3">
      <c r="A85" s="29" t="s">
        <v>158</v>
      </c>
      <c r="B85" s="29">
        <v>30</v>
      </c>
      <c r="C85" s="65"/>
    </row>
    <row r="86" spans="1:3">
      <c r="A86" s="29" t="s">
        <v>194</v>
      </c>
      <c r="B86" s="29">
        <v>12</v>
      </c>
      <c r="C86" s="65"/>
    </row>
    <row r="87" spans="1:3">
      <c r="A87" s="49" t="s">
        <v>198</v>
      </c>
      <c r="B87" s="29">
        <v>5</v>
      </c>
      <c r="C87" s="65"/>
    </row>
    <row r="88" spans="1:3">
      <c r="A88" s="92" t="s">
        <v>199</v>
      </c>
      <c r="B88" s="93"/>
      <c r="C88" s="65"/>
    </row>
    <row r="89" spans="1:3">
      <c r="A89" s="92" t="s">
        <v>200</v>
      </c>
      <c r="B89" s="93"/>
      <c r="C89" s="65"/>
    </row>
    <row r="90" spans="1:3">
      <c r="A90" s="769" t="s">
        <v>201</v>
      </c>
      <c r="B90" s="770"/>
      <c r="C90" s="85">
        <f>ROUND(+B84/B85/B86*B87*B88*B89,2)</f>
        <v>0</v>
      </c>
    </row>
    <row r="92" spans="1:3">
      <c r="A92" s="771" t="s">
        <v>202</v>
      </c>
      <c r="B92" s="772"/>
      <c r="C92" s="773"/>
    </row>
    <row r="93" spans="1:3">
      <c r="A93" s="29" t="s">
        <v>193</v>
      </c>
      <c r="B93" s="40">
        <f>+$B$7</f>
        <v>0</v>
      </c>
      <c r="C93" s="65"/>
    </row>
    <row r="94" spans="1:3">
      <c r="A94" s="29" t="s">
        <v>158</v>
      </c>
      <c r="B94" s="29">
        <v>30</v>
      </c>
      <c r="C94" s="65"/>
    </row>
    <row r="95" spans="1:3">
      <c r="A95" s="29" t="s">
        <v>194</v>
      </c>
      <c r="B95" s="29">
        <v>12</v>
      </c>
      <c r="C95" s="65"/>
    </row>
    <row r="96" spans="1:3">
      <c r="A96" s="49" t="s">
        <v>203</v>
      </c>
      <c r="B96" s="29">
        <v>15</v>
      </c>
      <c r="C96" s="65"/>
    </row>
    <row r="97" spans="1:3">
      <c r="A97" s="92" t="s">
        <v>204</v>
      </c>
      <c r="B97" s="93"/>
      <c r="C97" s="65"/>
    </row>
    <row r="98" spans="1:3">
      <c r="A98" s="769" t="s">
        <v>205</v>
      </c>
      <c r="B98" s="770"/>
      <c r="C98" s="85">
        <f>ROUND(+B93/B94/B95*B96*B97,2)</f>
        <v>0</v>
      </c>
    </row>
    <row r="100" spans="1:3">
      <c r="A100" s="771" t="s">
        <v>206</v>
      </c>
      <c r="B100" s="772"/>
      <c r="C100" s="773"/>
    </row>
    <row r="101" spans="1:3">
      <c r="A101" s="29" t="s">
        <v>193</v>
      </c>
      <c r="B101" s="40">
        <f>+$B$7</f>
        <v>0</v>
      </c>
      <c r="C101" s="65"/>
    </row>
    <row r="102" spans="1:3">
      <c r="A102" s="29" t="s">
        <v>158</v>
      </c>
      <c r="B102" s="29">
        <v>30</v>
      </c>
      <c r="C102" s="65"/>
    </row>
    <row r="103" spans="1:3">
      <c r="A103" s="29" t="s">
        <v>194</v>
      </c>
      <c r="B103" s="29">
        <v>12</v>
      </c>
      <c r="C103" s="65"/>
    </row>
    <row r="104" spans="1:3">
      <c r="A104" s="49" t="s">
        <v>203</v>
      </c>
      <c r="B104" s="29">
        <v>5</v>
      </c>
      <c r="C104" s="65"/>
    </row>
    <row r="105" spans="1:3">
      <c r="A105" s="92" t="s">
        <v>207</v>
      </c>
      <c r="B105" s="93"/>
      <c r="C105" s="65"/>
    </row>
    <row r="106" spans="1:3">
      <c r="A106" s="769" t="s">
        <v>208</v>
      </c>
      <c r="B106" s="770"/>
      <c r="C106" s="85">
        <f>ROUND(+B101/B102/B103*B104*B105,2)</f>
        <v>0</v>
      </c>
    </row>
    <row r="109" spans="1:3">
      <c r="A109" s="771" t="s">
        <v>209</v>
      </c>
      <c r="B109" s="772"/>
      <c r="C109" s="773"/>
    </row>
    <row r="110" spans="1:3">
      <c r="A110" s="783" t="s">
        <v>210</v>
      </c>
      <c r="B110" s="784"/>
      <c r="C110" s="785"/>
    </row>
    <row r="111" spans="1:3">
      <c r="A111" s="29" t="s">
        <v>193</v>
      </c>
      <c r="B111" s="40">
        <f>+$B$7</f>
        <v>0</v>
      </c>
      <c r="C111" s="65"/>
    </row>
    <row r="112" spans="1:3">
      <c r="A112" s="29" t="s">
        <v>211</v>
      </c>
      <c r="B112" s="40">
        <f>+B111*(1/3)</f>
        <v>0</v>
      </c>
      <c r="C112" s="65"/>
    </row>
    <row r="113" spans="1:3">
      <c r="A113" s="96" t="s">
        <v>175</v>
      </c>
      <c r="B113" s="97">
        <f>SUM(B111:B112)</f>
        <v>0</v>
      </c>
      <c r="C113" s="65"/>
    </row>
    <row r="114" spans="1:3">
      <c r="A114" s="29" t="s">
        <v>212</v>
      </c>
      <c r="B114" s="29">
        <v>4</v>
      </c>
      <c r="C114" s="65"/>
    </row>
    <row r="115" spans="1:3">
      <c r="A115" s="29" t="s">
        <v>194</v>
      </c>
      <c r="B115" s="29">
        <v>12</v>
      </c>
      <c r="C115" s="65"/>
    </row>
    <row r="116" spans="1:3">
      <c r="A116" s="92" t="s">
        <v>213</v>
      </c>
      <c r="B116" s="93"/>
      <c r="C116" s="65"/>
    </row>
    <row r="117" spans="1:3">
      <c r="A117" s="92" t="s">
        <v>214</v>
      </c>
      <c r="B117" s="93"/>
      <c r="C117" s="65"/>
    </row>
    <row r="118" spans="1:3">
      <c r="A118" s="769" t="s">
        <v>215</v>
      </c>
      <c r="B118" s="770"/>
      <c r="C118" s="85">
        <f>ROUND((((+B113*(B114/B115)/B115)*B116)*B117),2)</f>
        <v>0</v>
      </c>
    </row>
    <row r="119" spans="1:3">
      <c r="A119" s="769" t="s">
        <v>216</v>
      </c>
      <c r="B119" s="786"/>
      <c r="C119" s="770"/>
    </row>
    <row r="120" spans="1:3">
      <c r="A120" s="29" t="s">
        <v>193</v>
      </c>
      <c r="B120" s="40">
        <f>+'Encarregado 12 36 Diurno'!D24</f>
        <v>0</v>
      </c>
      <c r="C120" s="65"/>
    </row>
    <row r="121" spans="1:3">
      <c r="A121" s="29" t="s">
        <v>55</v>
      </c>
      <c r="B121" s="40">
        <f>+'Encarregado 12 36 Diurno'!D30</f>
        <v>0</v>
      </c>
      <c r="C121" s="65"/>
    </row>
    <row r="122" spans="1:3">
      <c r="A122" s="96" t="s">
        <v>175</v>
      </c>
      <c r="B122" s="97">
        <f>SUM(B120:B121)</f>
        <v>0</v>
      </c>
      <c r="C122" s="65"/>
    </row>
    <row r="123" spans="1:3">
      <c r="A123" s="29" t="s">
        <v>212</v>
      </c>
      <c r="B123" s="29">
        <v>4</v>
      </c>
      <c r="C123" s="65"/>
    </row>
    <row r="124" spans="1:3">
      <c r="A124" s="29" t="s">
        <v>194</v>
      </c>
      <c r="B124" s="29">
        <v>12</v>
      </c>
      <c r="C124" s="65"/>
    </row>
    <row r="125" spans="1:3">
      <c r="A125" s="92" t="s">
        <v>213</v>
      </c>
      <c r="B125" s="93">
        <f>+B116</f>
        <v>0</v>
      </c>
      <c r="C125" s="65"/>
    </row>
    <row r="126" spans="1:3">
      <c r="A126" s="92" t="s">
        <v>214</v>
      </c>
      <c r="B126" s="93">
        <f>+B117</f>
        <v>0</v>
      </c>
      <c r="C126" s="65"/>
    </row>
    <row r="127" spans="1:3">
      <c r="A127" s="49" t="s">
        <v>217</v>
      </c>
      <c r="B127" s="39">
        <f>+'Encarregado 12 36 Diurno'!C46</f>
        <v>0.36800000000000005</v>
      </c>
      <c r="C127" s="65"/>
    </row>
    <row r="128" spans="1:3">
      <c r="A128" s="769" t="s">
        <v>218</v>
      </c>
      <c r="B128" s="770"/>
      <c r="C128" s="77">
        <f>ROUND((((B122*(B123/B124)*B125)*B126)*B127),2)</f>
        <v>0</v>
      </c>
    </row>
    <row r="130" spans="1:3" ht="39.75" customHeight="1">
      <c r="A130" s="787" t="s">
        <v>257</v>
      </c>
      <c r="B130" s="787"/>
      <c r="C130" s="787"/>
    </row>
  </sheetData>
  <mergeCells count="33">
    <mergeCell ref="A119:C119"/>
    <mergeCell ref="A128:B128"/>
    <mergeCell ref="A130:C130"/>
    <mergeCell ref="A98:B98"/>
    <mergeCell ref="A100:C100"/>
    <mergeCell ref="A106:B106"/>
    <mergeCell ref="A109:C109"/>
    <mergeCell ref="A110:C110"/>
    <mergeCell ref="A118:B118"/>
    <mergeCell ref="A92:C92"/>
    <mergeCell ref="A54:B54"/>
    <mergeCell ref="A56:C56"/>
    <mergeCell ref="A65:B65"/>
    <mergeCell ref="A67:B67"/>
    <mergeCell ref="A68:B68"/>
    <mergeCell ref="A70:C70"/>
    <mergeCell ref="A71:C74"/>
    <mergeCell ref="A76:C76"/>
    <mergeCell ref="A81:B81"/>
    <mergeCell ref="A83:C83"/>
    <mergeCell ref="A90:B90"/>
    <mergeCell ref="A48:C48"/>
    <mergeCell ref="A1:C1"/>
    <mergeCell ref="A10:C10"/>
    <mergeCell ref="A17:B17"/>
    <mergeCell ref="A19:C19"/>
    <mergeCell ref="A26:B26"/>
    <mergeCell ref="A28:C28"/>
    <mergeCell ref="A32:B32"/>
    <mergeCell ref="A34:C34"/>
    <mergeCell ref="A43:B43"/>
    <mergeCell ref="A45:B45"/>
    <mergeCell ref="A46:B46"/>
  </mergeCells>
  <pageMargins left="1.1299999999999999" right="0.25" top="0.78740157480314965" bottom="0.57999999999999996" header="0.31496062992125984" footer="0.31496062992125984"/>
  <pageSetup paperSize="9" scale="85" orientation="portrait" r:id="rId1"/>
  <headerFooter>
    <oddFoote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174"/>
  <sheetViews>
    <sheetView topLeftCell="A153" workbookViewId="0">
      <selection activeCell="A156" sqref="A156:XFD166"/>
    </sheetView>
  </sheetViews>
  <sheetFormatPr defaultRowHeight="13.2"/>
  <cols>
    <col min="1" max="1" width="5.6328125" customWidth="1"/>
    <col min="2" max="2" width="50.453125" customWidth="1"/>
    <col min="3" max="3" width="9.36328125" bestFit="1" customWidth="1"/>
    <col min="4" max="4" width="15.6328125" customWidth="1"/>
    <col min="5" max="5" width="11.7265625" bestFit="1" customWidth="1"/>
  </cols>
  <sheetData>
    <row r="1" spans="1:6">
      <c r="A1" s="718" t="s">
        <v>22</v>
      </c>
      <c r="B1" s="719"/>
      <c r="C1" s="719"/>
      <c r="D1" s="720"/>
      <c r="E1" s="6"/>
      <c r="F1" s="6"/>
    </row>
    <row r="3" spans="1:6">
      <c r="A3" s="721" t="s">
        <v>23</v>
      </c>
      <c r="B3" s="722"/>
      <c r="C3" s="722"/>
      <c r="D3" s="723"/>
    </row>
    <row r="4" spans="1:6" s="9" customFormat="1" ht="27.75" customHeight="1">
      <c r="A4" s="153">
        <v>1</v>
      </c>
      <c r="B4" s="154" t="s">
        <v>24</v>
      </c>
      <c r="C4" s="819" t="s">
        <v>457</v>
      </c>
      <c r="D4" s="820"/>
    </row>
    <row r="5" spans="1:6" s="9" customFormat="1">
      <c r="A5" s="153">
        <v>2</v>
      </c>
      <c r="B5" s="154" t="s">
        <v>25</v>
      </c>
      <c r="C5" s="821" t="s">
        <v>254</v>
      </c>
      <c r="D5" s="822"/>
      <c r="F5" s="132"/>
    </row>
    <row r="6" spans="1:6" s="9" customFormat="1">
      <c r="A6" s="153">
        <v>3</v>
      </c>
      <c r="B6" s="154" t="s">
        <v>255</v>
      </c>
      <c r="C6" s="823">
        <f>+Resumo!H19</f>
        <v>0</v>
      </c>
      <c r="D6" s="823"/>
      <c r="F6" s="132"/>
    </row>
    <row r="7" spans="1:6" s="9" customFormat="1">
      <c r="A7" s="153">
        <v>5</v>
      </c>
      <c r="B7" s="154" t="s">
        <v>26</v>
      </c>
      <c r="C7" s="823">
        <f>+Resumo!H21</f>
        <v>0</v>
      </c>
      <c r="D7" s="823"/>
      <c r="F7" s="133"/>
    </row>
    <row r="8" spans="1:6" s="9" customFormat="1">
      <c r="A8" s="153">
        <v>5</v>
      </c>
      <c r="B8" s="154" t="s">
        <v>27</v>
      </c>
      <c r="C8" s="824" t="s">
        <v>256</v>
      </c>
      <c r="D8" s="825"/>
    </row>
    <row r="9" spans="1:6" s="9" customFormat="1">
      <c r="A9" s="153">
        <v>6</v>
      </c>
      <c r="B9" s="154" t="s">
        <v>28</v>
      </c>
      <c r="C9" s="826">
        <v>43524</v>
      </c>
      <c r="D9" s="822"/>
    </row>
    <row r="10" spans="1:6">
      <c r="D10" s="10"/>
    </row>
    <row r="11" spans="1:6">
      <c r="A11" s="732" t="s">
        <v>29</v>
      </c>
      <c r="B11" s="733"/>
      <c r="C11" s="733"/>
      <c r="D11" s="733"/>
    </row>
    <row r="12" spans="1:6">
      <c r="A12" s="11">
        <v>1</v>
      </c>
      <c r="B12" s="12" t="s">
        <v>30</v>
      </c>
      <c r="C12" s="13" t="s">
        <v>31</v>
      </c>
      <c r="D12" s="14" t="s">
        <v>32</v>
      </c>
    </row>
    <row r="13" spans="1:6">
      <c r="A13" s="233" t="s">
        <v>4</v>
      </c>
      <c r="B13" s="734" t="s">
        <v>33</v>
      </c>
      <c r="C13" s="734"/>
      <c r="D13" s="17">
        <f>+C7</f>
        <v>0</v>
      </c>
    </row>
    <row r="14" spans="1:6">
      <c r="A14" s="233" t="s">
        <v>6</v>
      </c>
      <c r="B14" s="18" t="s">
        <v>34</v>
      </c>
      <c r="C14" s="19"/>
      <c r="D14" s="17"/>
      <c r="E14" s="20"/>
    </row>
    <row r="15" spans="1:6">
      <c r="A15" s="233" t="s">
        <v>9</v>
      </c>
      <c r="B15" s="18" t="s">
        <v>35</v>
      </c>
      <c r="C15" s="19">
        <v>0.2</v>
      </c>
      <c r="D15" s="17">
        <f>+C15*D13</f>
        <v>0</v>
      </c>
    </row>
    <row r="16" spans="1:6">
      <c r="A16" s="233" t="s">
        <v>11</v>
      </c>
      <c r="B16" s="734" t="s">
        <v>36</v>
      </c>
      <c r="C16" s="734"/>
      <c r="D16" s="17">
        <f>+'Men Cal Enc 12 36 Noturno'!C143</f>
        <v>0</v>
      </c>
    </row>
    <row r="17" spans="1:6">
      <c r="A17" s="233" t="s">
        <v>37</v>
      </c>
      <c r="B17" s="734" t="s">
        <v>38</v>
      </c>
      <c r="C17" s="734"/>
      <c r="D17" s="17">
        <f>+'Men Cal Enc 12 36 Noturno'!C164</f>
        <v>0</v>
      </c>
    </row>
    <row r="18" spans="1:6">
      <c r="A18" s="233" t="s">
        <v>39</v>
      </c>
      <c r="B18" s="716" t="s">
        <v>40</v>
      </c>
      <c r="C18" s="717"/>
      <c r="D18" s="17"/>
    </row>
    <row r="19" spans="1:6">
      <c r="A19" s="233" t="s">
        <v>41</v>
      </c>
      <c r="B19" s="734" t="s">
        <v>42</v>
      </c>
      <c r="C19" s="734"/>
      <c r="D19" s="17"/>
    </row>
    <row r="20" spans="1:6">
      <c r="A20" s="233" t="s">
        <v>43</v>
      </c>
      <c r="B20" s="716" t="s">
        <v>44</v>
      </c>
      <c r="C20" s="717"/>
      <c r="D20" s="21"/>
    </row>
    <row r="21" spans="1:6">
      <c r="A21" s="233" t="s">
        <v>45</v>
      </c>
      <c r="B21" s="18" t="s">
        <v>46</v>
      </c>
      <c r="C21" s="19">
        <v>0.25</v>
      </c>
      <c r="D21" s="17">
        <f>+C6*C21</f>
        <v>0</v>
      </c>
    </row>
    <row r="22" spans="1:6">
      <c r="A22" s="233" t="s">
        <v>47</v>
      </c>
      <c r="B22" s="734" t="s">
        <v>48</v>
      </c>
      <c r="C22" s="734"/>
      <c r="D22" s="22"/>
      <c r="F22" s="23"/>
    </row>
    <row r="23" spans="1:6">
      <c r="A23" s="233" t="s">
        <v>49</v>
      </c>
      <c r="B23" s="734" t="s">
        <v>50</v>
      </c>
      <c r="C23" s="734"/>
      <c r="D23" s="22"/>
    </row>
    <row r="24" spans="1:6">
      <c r="A24" s="736" t="s">
        <v>21</v>
      </c>
      <c r="B24" s="736"/>
      <c r="C24" s="736"/>
      <c r="D24" s="24">
        <f>SUM(D13:D23)</f>
        <v>0</v>
      </c>
    </row>
    <row r="26" spans="1:6">
      <c r="A26" s="732" t="s">
        <v>51</v>
      </c>
      <c r="B26" s="733"/>
      <c r="C26" s="733"/>
      <c r="D26" s="733"/>
    </row>
    <row r="28" spans="1:6">
      <c r="A28" s="732" t="s">
        <v>52</v>
      </c>
      <c r="B28" s="733"/>
      <c r="C28" s="733"/>
      <c r="D28" s="733"/>
    </row>
    <row r="29" spans="1:6">
      <c r="A29" s="25" t="s">
        <v>53</v>
      </c>
      <c r="B29" s="26" t="s">
        <v>54</v>
      </c>
      <c r="C29" s="27" t="s">
        <v>31</v>
      </c>
      <c r="D29" s="28" t="s">
        <v>32</v>
      </c>
    </row>
    <row r="30" spans="1:6">
      <c r="A30" s="233" t="s">
        <v>4</v>
      </c>
      <c r="B30" s="29" t="s">
        <v>55</v>
      </c>
      <c r="C30" s="30" t="e">
        <f>ROUND(+D30/$D$24,4)</f>
        <v>#DIV/0!</v>
      </c>
      <c r="D30" s="22">
        <f>ROUND(+D24/12,2)</f>
        <v>0</v>
      </c>
    </row>
    <row r="31" spans="1:6">
      <c r="A31" s="31" t="s">
        <v>6</v>
      </c>
      <c r="B31" s="32" t="s">
        <v>56</v>
      </c>
      <c r="C31" s="33" t="e">
        <f>ROUND(+D31/$D$24,4)</f>
        <v>#DIV/0!</v>
      </c>
      <c r="D31" s="34">
        <f>+D32+D33</f>
        <v>0</v>
      </c>
    </row>
    <row r="32" spans="1:6">
      <c r="A32" s="233" t="s">
        <v>57</v>
      </c>
      <c r="B32" s="35" t="s">
        <v>58</v>
      </c>
      <c r="C32" s="36" t="e">
        <f>ROUND(+D32/$D$24,4)</f>
        <v>#DIV/0!</v>
      </c>
      <c r="D32" s="37">
        <f>ROUND(+D24/12,2)</f>
        <v>0</v>
      </c>
    </row>
    <row r="33" spans="1:4">
      <c r="A33" s="233" t="s">
        <v>59</v>
      </c>
      <c r="B33" s="35" t="s">
        <v>60</v>
      </c>
      <c r="C33" s="36" t="e">
        <f>ROUND(+D33/$D$24,4)</f>
        <v>#DIV/0!</v>
      </c>
      <c r="D33" s="37">
        <f>ROUND(+(D24*1/3)/12,2)</f>
        <v>0</v>
      </c>
    </row>
    <row r="34" spans="1:4">
      <c r="A34" s="736" t="s">
        <v>21</v>
      </c>
      <c r="B34" s="736"/>
      <c r="C34" s="736"/>
      <c r="D34" s="24">
        <f>+D31+D30</f>
        <v>0</v>
      </c>
    </row>
    <row r="36" spans="1:4">
      <c r="A36" s="737" t="s">
        <v>61</v>
      </c>
      <c r="B36" s="738"/>
      <c r="C36" s="738"/>
      <c r="D36" s="738"/>
    </row>
    <row r="37" spans="1:4">
      <c r="A37" s="25" t="s">
        <v>62</v>
      </c>
      <c r="B37" s="38" t="s">
        <v>63</v>
      </c>
      <c r="C37" s="27" t="s">
        <v>31</v>
      </c>
      <c r="D37" s="28" t="s">
        <v>32</v>
      </c>
    </row>
    <row r="38" spans="1:4">
      <c r="A38" s="233" t="s">
        <v>4</v>
      </c>
      <c r="B38" s="29" t="s">
        <v>64</v>
      </c>
      <c r="C38" s="39">
        <v>0.2</v>
      </c>
      <c r="D38" s="40">
        <f>ROUND(C38*($D$24+$D$34),2)</f>
        <v>0</v>
      </c>
    </row>
    <row r="39" spans="1:4">
      <c r="A39" s="233" t="s">
        <v>6</v>
      </c>
      <c r="B39" s="29" t="s">
        <v>65</v>
      </c>
      <c r="C39" s="39">
        <v>2.5000000000000001E-2</v>
      </c>
      <c r="D39" s="40">
        <f t="shared" ref="D39:D44" si="0">ROUND(C39*($D$24+$D$34),2)</f>
        <v>0</v>
      </c>
    </row>
    <row r="40" spans="1:4">
      <c r="A40" s="233" t="s">
        <v>9</v>
      </c>
      <c r="B40" s="29" t="s">
        <v>66</v>
      </c>
      <c r="C40" s="39">
        <f>3%</f>
        <v>0.03</v>
      </c>
      <c r="D40" s="40">
        <f t="shared" si="0"/>
        <v>0</v>
      </c>
    </row>
    <row r="41" spans="1:4">
      <c r="A41" s="233" t="s">
        <v>11</v>
      </c>
      <c r="B41" s="29" t="s">
        <v>67</v>
      </c>
      <c r="C41" s="39">
        <v>1.4999999999999999E-2</v>
      </c>
      <c r="D41" s="40">
        <f t="shared" si="0"/>
        <v>0</v>
      </c>
    </row>
    <row r="42" spans="1:4">
      <c r="A42" s="233" t="s">
        <v>37</v>
      </c>
      <c r="B42" s="29" t="s">
        <v>68</v>
      </c>
      <c r="C42" s="39">
        <v>0.01</v>
      </c>
      <c r="D42" s="40">
        <f t="shared" si="0"/>
        <v>0</v>
      </c>
    </row>
    <row r="43" spans="1:4">
      <c r="A43" s="233" t="s">
        <v>39</v>
      </c>
      <c r="B43" s="29" t="s">
        <v>69</v>
      </c>
      <c r="C43" s="39">
        <v>6.0000000000000001E-3</v>
      </c>
      <c r="D43" s="40">
        <f t="shared" si="0"/>
        <v>0</v>
      </c>
    </row>
    <row r="44" spans="1:4">
      <c r="A44" s="233" t="s">
        <v>41</v>
      </c>
      <c r="B44" s="29" t="s">
        <v>70</v>
      </c>
      <c r="C44" s="39">
        <v>2E-3</v>
      </c>
      <c r="D44" s="40">
        <f t="shared" si="0"/>
        <v>0</v>
      </c>
    </row>
    <row r="45" spans="1:4">
      <c r="A45" s="233" t="s">
        <v>43</v>
      </c>
      <c r="B45" s="29" t="s">
        <v>71</v>
      </c>
      <c r="C45" s="39">
        <v>0.08</v>
      </c>
      <c r="D45" s="40">
        <f>ROUND(C45*($D$24+$D$34),2)</f>
        <v>0</v>
      </c>
    </row>
    <row r="46" spans="1:4">
      <c r="A46" s="234" t="s">
        <v>21</v>
      </c>
      <c r="B46" s="235"/>
      <c r="C46" s="43">
        <f>SUM(C38:C45)</f>
        <v>0.36800000000000005</v>
      </c>
      <c r="D46" s="44">
        <f>SUM(D38:D45)</f>
        <v>0</v>
      </c>
    </row>
    <row r="47" spans="1:4">
      <c r="A47" s="45"/>
      <c r="B47" s="45"/>
      <c r="C47" s="45"/>
      <c r="D47" s="45"/>
    </row>
    <row r="48" spans="1:4">
      <c r="A48" s="737" t="s">
        <v>72</v>
      </c>
      <c r="B48" s="738"/>
      <c r="C48" s="738"/>
      <c r="D48" s="738"/>
    </row>
    <row r="49" spans="1:6">
      <c r="A49" s="25" t="s">
        <v>73</v>
      </c>
      <c r="B49" s="38" t="s">
        <v>74</v>
      </c>
      <c r="C49" s="27"/>
      <c r="D49" s="28" t="s">
        <v>32</v>
      </c>
    </row>
    <row r="50" spans="1:6">
      <c r="A50" s="46" t="s">
        <v>4</v>
      </c>
      <c r="B50" s="29" t="s">
        <v>75</v>
      </c>
      <c r="C50" s="47"/>
      <c r="D50" s="40">
        <f>+'Men Cal Enc 12 36 Noturno'!C17</f>
        <v>0</v>
      </c>
    </row>
    <row r="51" spans="1:6" s="51" customFormat="1">
      <c r="A51" s="48" t="s">
        <v>76</v>
      </c>
      <c r="B51" s="49" t="s">
        <v>77</v>
      </c>
      <c r="C51" s="30">
        <f>+$C$136+$C$137</f>
        <v>9.2499999999999999E-2</v>
      </c>
      <c r="D51" s="50">
        <f>+(C51*D50)*-1</f>
        <v>0</v>
      </c>
      <c r="F51" s="52"/>
    </row>
    <row r="52" spans="1:6">
      <c r="A52" s="46" t="s">
        <v>6</v>
      </c>
      <c r="B52" s="29" t="s">
        <v>78</v>
      </c>
      <c r="C52" s="47"/>
      <c r="D52" s="40">
        <f>+'Men Cal Enc 12 36 Noturno'!C26</f>
        <v>0</v>
      </c>
      <c r="F52" s="53"/>
    </row>
    <row r="53" spans="1:6" s="51" customFormat="1">
      <c r="A53" s="48" t="s">
        <v>57</v>
      </c>
      <c r="B53" s="49" t="s">
        <v>77</v>
      </c>
      <c r="C53" s="30">
        <f>+$C$136+$C$137</f>
        <v>9.2499999999999999E-2</v>
      </c>
      <c r="D53" s="50">
        <f>+(C53*D52)*-1</f>
        <v>0</v>
      </c>
      <c r="F53" s="54"/>
    </row>
    <row r="54" spans="1:6">
      <c r="A54" s="92" t="s">
        <v>9</v>
      </c>
      <c r="B54" s="92" t="s">
        <v>79</v>
      </c>
      <c r="C54" s="47"/>
      <c r="D54" s="230"/>
      <c r="F54" s="53"/>
    </row>
    <row r="55" spans="1:6">
      <c r="A55" s="48" t="s">
        <v>80</v>
      </c>
      <c r="B55" s="49" t="s">
        <v>77</v>
      </c>
      <c r="C55" s="30">
        <f>+$C$136+$C$137</f>
        <v>9.2499999999999999E-2</v>
      </c>
      <c r="D55" s="50">
        <f>+(C55*D54)*-1</f>
        <v>0</v>
      </c>
      <c r="F55" s="53"/>
    </row>
    <row r="56" spans="1:6">
      <c r="A56" s="92" t="s">
        <v>11</v>
      </c>
      <c r="B56" s="90" t="s">
        <v>676</v>
      </c>
      <c r="C56" s="47"/>
      <c r="D56" s="230"/>
      <c r="F56" s="53"/>
    </row>
    <row r="57" spans="1:6">
      <c r="A57" s="48" t="s">
        <v>81</v>
      </c>
      <c r="B57" s="49" t="s">
        <v>77</v>
      </c>
      <c r="C57" s="30">
        <f>+$C$136+$C$137</f>
        <v>9.2499999999999999E-2</v>
      </c>
      <c r="D57" s="50">
        <f>+(C57*D56)*-1</f>
        <v>0</v>
      </c>
      <c r="F57" s="53"/>
    </row>
    <row r="58" spans="1:6" ht="26.4">
      <c r="A58" s="92" t="s">
        <v>37</v>
      </c>
      <c r="B58" s="558" t="s">
        <v>677</v>
      </c>
      <c r="C58" s="47"/>
      <c r="D58" s="231"/>
      <c r="F58" s="55"/>
    </row>
    <row r="59" spans="1:6">
      <c r="A59" s="48" t="s">
        <v>82</v>
      </c>
      <c r="B59" s="49" t="s">
        <v>77</v>
      </c>
      <c r="C59" s="30">
        <f>+$C$136+$C$137</f>
        <v>9.2499999999999999E-2</v>
      </c>
      <c r="D59" s="50">
        <f>+(C59*D58)*-1</f>
        <v>0</v>
      </c>
    </row>
    <row r="60" spans="1:6">
      <c r="A60" s="92" t="s">
        <v>39</v>
      </c>
      <c r="B60" s="739" t="s">
        <v>83</v>
      </c>
      <c r="C60" s="739"/>
      <c r="D60" s="230"/>
    </row>
    <row r="61" spans="1:6">
      <c r="A61" s="48" t="s">
        <v>84</v>
      </c>
      <c r="B61" s="49" t="s">
        <v>77</v>
      </c>
      <c r="C61" s="30">
        <f>+$C$136+$C$137</f>
        <v>9.2499999999999999E-2</v>
      </c>
      <c r="D61" s="50">
        <f>+(C61*D60)*-1</f>
        <v>0</v>
      </c>
    </row>
    <row r="62" spans="1:6">
      <c r="A62" s="721" t="s">
        <v>21</v>
      </c>
      <c r="B62" s="723"/>
      <c r="C62" s="56"/>
      <c r="D62" s="57">
        <f>SUM(D50:D61)</f>
        <v>0</v>
      </c>
    </row>
    <row r="64" spans="1:6">
      <c r="A64" s="732" t="s">
        <v>85</v>
      </c>
      <c r="B64" s="733"/>
      <c r="C64" s="733"/>
      <c r="D64" s="733"/>
    </row>
    <row r="65" spans="1:4">
      <c r="A65" s="58">
        <v>2</v>
      </c>
      <c r="B65" s="742" t="s">
        <v>86</v>
      </c>
      <c r="C65" s="742"/>
      <c r="D65" s="59" t="s">
        <v>32</v>
      </c>
    </row>
    <row r="66" spans="1:4">
      <c r="A66" s="60" t="s">
        <v>53</v>
      </c>
      <c r="B66" s="743" t="s">
        <v>54</v>
      </c>
      <c r="C66" s="743"/>
      <c r="D66" s="40">
        <f>+D34</f>
        <v>0</v>
      </c>
    </row>
    <row r="67" spans="1:4">
      <c r="A67" s="60" t="s">
        <v>62</v>
      </c>
      <c r="B67" s="743" t="s">
        <v>63</v>
      </c>
      <c r="C67" s="743"/>
      <c r="D67" s="40">
        <f>+D46</f>
        <v>0</v>
      </c>
    </row>
    <row r="68" spans="1:4">
      <c r="A68" s="60" t="s">
        <v>73</v>
      </c>
      <c r="B68" s="743" t="s">
        <v>74</v>
      </c>
      <c r="C68" s="743"/>
      <c r="D68" s="61">
        <f>+D62</f>
        <v>0</v>
      </c>
    </row>
    <row r="69" spans="1:4">
      <c r="A69" s="742" t="s">
        <v>21</v>
      </c>
      <c r="B69" s="742"/>
      <c r="C69" s="742"/>
      <c r="D69" s="62">
        <f>SUM(D66:D68)</f>
        <v>0</v>
      </c>
    </row>
    <row r="71" spans="1:4">
      <c r="A71" s="732" t="s">
        <v>87</v>
      </c>
      <c r="B71" s="733"/>
      <c r="C71" s="733"/>
      <c r="D71" s="733"/>
    </row>
    <row r="73" spans="1:4">
      <c r="A73" s="63">
        <v>3</v>
      </c>
      <c r="B73" s="26" t="s">
        <v>88</v>
      </c>
      <c r="C73" s="13" t="s">
        <v>31</v>
      </c>
      <c r="D73" s="13" t="s">
        <v>32</v>
      </c>
    </row>
    <row r="74" spans="1:4">
      <c r="A74" s="233" t="s">
        <v>4</v>
      </c>
      <c r="B74" s="49" t="s">
        <v>89</v>
      </c>
      <c r="C74" s="30" t="e">
        <f>+D74/$D$24</f>
        <v>#DIV/0!</v>
      </c>
      <c r="D74" s="64">
        <f>+'Men Cal Enc 12 36 Noturno'!C32</f>
        <v>0</v>
      </c>
    </row>
    <row r="75" spans="1:4">
      <c r="A75" s="233" t="s">
        <v>6</v>
      </c>
      <c r="B75" s="29" t="s">
        <v>90</v>
      </c>
      <c r="C75" s="65"/>
      <c r="D75" s="22">
        <f>ROUND(+D74*$C$45,2)</f>
        <v>0</v>
      </c>
    </row>
    <row r="76" spans="1:4" ht="26.4">
      <c r="A76" s="233" t="s">
        <v>9</v>
      </c>
      <c r="B76" s="5" t="s">
        <v>91</v>
      </c>
      <c r="C76" s="39" t="e">
        <f>+D76/$D$24</f>
        <v>#DIV/0!</v>
      </c>
      <c r="D76" s="22">
        <f>+'Men Cal Enc 12 36 Noturno'!C46</f>
        <v>0</v>
      </c>
    </row>
    <row r="77" spans="1:4">
      <c r="A77" s="66" t="s">
        <v>11</v>
      </c>
      <c r="B77" s="29" t="s">
        <v>92</v>
      </c>
      <c r="C77" s="39" t="e">
        <f>+D77/$D$24</f>
        <v>#DIV/0!</v>
      </c>
      <c r="D77" s="22">
        <f>+'Men Cal Enc 12 36 Noturno'!C54</f>
        <v>0</v>
      </c>
    </row>
    <row r="78" spans="1:4" ht="26.4">
      <c r="A78" s="66" t="s">
        <v>37</v>
      </c>
      <c r="B78" s="5" t="s">
        <v>93</v>
      </c>
      <c r="C78" s="65"/>
      <c r="D78" s="67"/>
    </row>
    <row r="79" spans="1:4" ht="26.4">
      <c r="A79" s="66" t="s">
        <v>39</v>
      </c>
      <c r="B79" s="5" t="s">
        <v>94</v>
      </c>
      <c r="C79" s="39" t="e">
        <f>+D79/$D$24</f>
        <v>#DIV/0!</v>
      </c>
      <c r="D79" s="40">
        <f>+'Men Cal Enc 12 36 Noturno'!C68</f>
        <v>0</v>
      </c>
    </row>
    <row r="80" spans="1:4">
      <c r="A80" s="721" t="s">
        <v>21</v>
      </c>
      <c r="B80" s="722"/>
      <c r="C80" s="723"/>
      <c r="D80" s="68">
        <f>SUM(D74:D79)</f>
        <v>0</v>
      </c>
    </row>
    <row r="82" spans="1:4">
      <c r="A82" s="732" t="s">
        <v>95</v>
      </c>
      <c r="B82" s="733"/>
      <c r="C82" s="733"/>
      <c r="D82" s="733"/>
    </row>
    <row r="84" spans="1:4">
      <c r="A84" s="744" t="s">
        <v>96</v>
      </c>
      <c r="B84" s="744"/>
      <c r="C84" s="744"/>
      <c r="D84" s="744"/>
    </row>
    <row r="85" spans="1:4">
      <c r="A85" s="63" t="s">
        <v>97</v>
      </c>
      <c r="B85" s="721" t="s">
        <v>98</v>
      </c>
      <c r="C85" s="723"/>
      <c r="D85" s="13" t="s">
        <v>32</v>
      </c>
    </row>
    <row r="86" spans="1:4">
      <c r="A86" s="29" t="s">
        <v>4</v>
      </c>
      <c r="B86" s="740" t="s">
        <v>99</v>
      </c>
      <c r="C86" s="741"/>
      <c r="D86" s="22"/>
    </row>
    <row r="87" spans="1:4">
      <c r="A87" s="49" t="s">
        <v>6</v>
      </c>
      <c r="B87" s="747" t="s">
        <v>98</v>
      </c>
      <c r="C87" s="748"/>
      <c r="D87" s="69">
        <f>+'Men Cal Enc 12 36 Noturno'!C81</f>
        <v>0</v>
      </c>
    </row>
    <row r="88" spans="1:4" s="51" customFormat="1">
      <c r="A88" s="49" t="s">
        <v>9</v>
      </c>
      <c r="B88" s="747" t="s">
        <v>100</v>
      </c>
      <c r="C88" s="748"/>
      <c r="D88" s="69">
        <f>+'Men Cal Enc 12 36 Noturno'!C90</f>
        <v>0</v>
      </c>
    </row>
    <row r="89" spans="1:4" s="51" customFormat="1">
      <c r="A89" s="49" t="s">
        <v>11</v>
      </c>
      <c r="B89" s="747" t="s">
        <v>101</v>
      </c>
      <c r="C89" s="748"/>
      <c r="D89" s="69">
        <f>+'Men Cal Enc 12 36 Noturno'!C98</f>
        <v>0</v>
      </c>
    </row>
    <row r="90" spans="1:4" s="51" customFormat="1">
      <c r="A90" s="49" t="s">
        <v>37</v>
      </c>
      <c r="B90" s="747" t="s">
        <v>102</v>
      </c>
      <c r="C90" s="748"/>
      <c r="D90" s="69"/>
    </row>
    <row r="91" spans="1:4" s="51" customFormat="1">
      <c r="A91" s="49" t="s">
        <v>39</v>
      </c>
      <c r="B91" s="747" t="s">
        <v>103</v>
      </c>
      <c r="C91" s="748"/>
      <c r="D91" s="69">
        <f>+'Men Cal Enc 12 36 Noturno'!C106</f>
        <v>0</v>
      </c>
    </row>
    <row r="92" spans="1:4">
      <c r="A92" s="29" t="s">
        <v>41</v>
      </c>
      <c r="B92" s="740" t="s">
        <v>50</v>
      </c>
      <c r="C92" s="741"/>
      <c r="D92" s="22"/>
    </row>
    <row r="93" spans="1:4">
      <c r="A93" s="29" t="s">
        <v>43</v>
      </c>
      <c r="B93" s="740" t="s">
        <v>104</v>
      </c>
      <c r="C93" s="741"/>
      <c r="D93" s="67"/>
    </row>
    <row r="94" spans="1:4">
      <c r="A94" s="736" t="s">
        <v>21</v>
      </c>
      <c r="B94" s="736"/>
      <c r="C94" s="736"/>
      <c r="D94" s="24">
        <f>SUM(D86:D93)</f>
        <v>0</v>
      </c>
    </row>
    <row r="95" spans="1:4">
      <c r="D95" s="70"/>
    </row>
    <row r="96" spans="1:4">
      <c r="A96" s="63" t="s">
        <v>105</v>
      </c>
      <c r="B96" s="721" t="s">
        <v>106</v>
      </c>
      <c r="C96" s="723"/>
      <c r="D96" s="13" t="s">
        <v>32</v>
      </c>
    </row>
    <row r="97" spans="1:4" s="51" customFormat="1">
      <c r="A97" s="49" t="s">
        <v>4</v>
      </c>
      <c r="B97" s="749" t="s">
        <v>107</v>
      </c>
      <c r="C97" s="750"/>
      <c r="D97" s="69">
        <f>+'Men Cal Enc 12 36 Noturno'!C118</f>
        <v>0</v>
      </c>
    </row>
    <row r="98" spans="1:4" s="51" customFormat="1">
      <c r="A98" s="49" t="s">
        <v>6</v>
      </c>
      <c r="B98" s="745" t="s">
        <v>108</v>
      </c>
      <c r="C98" s="746"/>
      <c r="D98" s="67"/>
    </row>
    <row r="99" spans="1:4" s="51" customFormat="1">
      <c r="A99" s="49" t="s">
        <v>9</v>
      </c>
      <c r="B99" s="745" t="s">
        <v>109</v>
      </c>
      <c r="C99" s="746"/>
      <c r="D99" s="67"/>
    </row>
    <row r="100" spans="1:4">
      <c r="A100" s="29" t="s">
        <v>11</v>
      </c>
      <c r="B100" s="740" t="s">
        <v>50</v>
      </c>
      <c r="C100" s="741"/>
      <c r="D100" s="22"/>
    </row>
    <row r="101" spans="1:4">
      <c r="A101" s="736" t="s">
        <v>21</v>
      </c>
      <c r="B101" s="736"/>
      <c r="C101" s="736"/>
      <c r="D101" s="24">
        <f>SUM(D97:D100)</f>
        <v>0</v>
      </c>
    </row>
    <row r="102" spans="1:4">
      <c r="D102" s="70"/>
    </row>
    <row r="103" spans="1:4">
      <c r="A103" s="63" t="s">
        <v>110</v>
      </c>
      <c r="B103" s="736" t="s">
        <v>111</v>
      </c>
      <c r="C103" s="736"/>
      <c r="D103" s="13" t="s">
        <v>32</v>
      </c>
    </row>
    <row r="104" spans="1:4" s="72" customFormat="1">
      <c r="A104" s="66" t="s">
        <v>4</v>
      </c>
      <c r="B104" s="751" t="s">
        <v>112</v>
      </c>
      <c r="C104" s="751"/>
      <c r="D104" s="71"/>
    </row>
    <row r="105" spans="1:4">
      <c r="A105" s="736" t="s">
        <v>21</v>
      </c>
      <c r="B105" s="736"/>
      <c r="C105" s="736"/>
      <c r="D105" s="24">
        <f>SUM(D104:D104)</f>
        <v>0</v>
      </c>
    </row>
    <row r="107" spans="1:4">
      <c r="A107" s="236" t="s">
        <v>113</v>
      </c>
      <c r="B107" s="236"/>
      <c r="C107" s="236"/>
      <c r="D107" s="236"/>
    </row>
    <row r="108" spans="1:4">
      <c r="A108" s="29" t="s">
        <v>97</v>
      </c>
      <c r="B108" s="740" t="s">
        <v>98</v>
      </c>
      <c r="C108" s="741"/>
      <c r="D108" s="40">
        <f>+D94</f>
        <v>0</v>
      </c>
    </row>
    <row r="109" spans="1:4">
      <c r="A109" s="29" t="s">
        <v>105</v>
      </c>
      <c r="B109" s="740" t="s">
        <v>106</v>
      </c>
      <c r="C109" s="741"/>
      <c r="D109" s="40">
        <f>+D101</f>
        <v>0</v>
      </c>
    </row>
    <row r="110" spans="1:4">
      <c r="A110" s="74"/>
      <c r="B110" s="752" t="s">
        <v>114</v>
      </c>
      <c r="C110" s="753"/>
      <c r="D110" s="75">
        <f>+D109+D108</f>
        <v>0</v>
      </c>
    </row>
    <row r="111" spans="1:4">
      <c r="A111" s="29" t="s">
        <v>110</v>
      </c>
      <c r="B111" s="740" t="s">
        <v>111</v>
      </c>
      <c r="C111" s="741"/>
      <c r="D111" s="40">
        <f>+D105</f>
        <v>0</v>
      </c>
    </row>
    <row r="112" spans="1:4">
      <c r="A112" s="754" t="s">
        <v>21</v>
      </c>
      <c r="B112" s="754"/>
      <c r="C112" s="754"/>
      <c r="D112" s="77">
        <f>+D111+D110</f>
        <v>0</v>
      </c>
    </row>
    <row r="114" spans="1:4">
      <c r="A114" s="732" t="s">
        <v>115</v>
      </c>
      <c r="B114" s="733"/>
      <c r="C114" s="733"/>
      <c r="D114" s="733"/>
    </row>
    <row r="116" spans="1:4">
      <c r="A116" s="63">
        <v>5</v>
      </c>
      <c r="B116" s="721" t="s">
        <v>116</v>
      </c>
      <c r="C116" s="723"/>
      <c r="D116" s="13" t="s">
        <v>32</v>
      </c>
    </row>
    <row r="117" spans="1:4">
      <c r="A117" s="29" t="s">
        <v>4</v>
      </c>
      <c r="B117" s="734" t="s">
        <v>117</v>
      </c>
      <c r="C117" s="734"/>
      <c r="D117" s="22">
        <f>+Uniforme!F17</f>
        <v>0</v>
      </c>
    </row>
    <row r="118" spans="1:4">
      <c r="A118" s="29" t="s">
        <v>76</v>
      </c>
      <c r="B118" s="49" t="s">
        <v>77</v>
      </c>
      <c r="C118" s="30">
        <f>+$C$136+$C$137</f>
        <v>9.2499999999999999E-2</v>
      </c>
      <c r="D118" s="50">
        <f>+(C118*D117)*-1</f>
        <v>0</v>
      </c>
    </row>
    <row r="119" spans="1:4">
      <c r="A119" s="29" t="s">
        <v>6</v>
      </c>
      <c r="B119" s="734" t="s">
        <v>118</v>
      </c>
      <c r="C119" s="734"/>
      <c r="D119" s="22"/>
    </row>
    <row r="120" spans="1:4">
      <c r="A120" s="29" t="s">
        <v>57</v>
      </c>
      <c r="B120" s="49" t="s">
        <v>77</v>
      </c>
      <c r="C120" s="30">
        <f>+$C$136+$C$137</f>
        <v>9.2499999999999999E-2</v>
      </c>
      <c r="D120" s="50">
        <f>+(C120*D119)*-1</f>
        <v>0</v>
      </c>
    </row>
    <row r="121" spans="1:4">
      <c r="A121" s="29" t="s">
        <v>9</v>
      </c>
      <c r="B121" s="734" t="s">
        <v>119</v>
      </c>
      <c r="C121" s="734"/>
      <c r="D121" s="22"/>
    </row>
    <row r="122" spans="1:4">
      <c r="A122" s="29" t="s">
        <v>80</v>
      </c>
      <c r="B122" s="49" t="s">
        <v>77</v>
      </c>
      <c r="C122" s="30">
        <f>+$C$136+$C$137</f>
        <v>9.2499999999999999E-2</v>
      </c>
      <c r="D122" s="50">
        <f>+(C122*D121)*-1</f>
        <v>0</v>
      </c>
    </row>
    <row r="123" spans="1:4">
      <c r="A123" s="29" t="s">
        <v>11</v>
      </c>
      <c r="B123" s="734" t="s">
        <v>50</v>
      </c>
      <c r="C123" s="734"/>
      <c r="D123" s="22"/>
    </row>
    <row r="124" spans="1:4">
      <c r="A124" s="29" t="s">
        <v>81</v>
      </c>
      <c r="B124" s="49" t="s">
        <v>77</v>
      </c>
      <c r="C124" s="30">
        <f>+$C$136+$C$137</f>
        <v>9.2499999999999999E-2</v>
      </c>
      <c r="D124" s="50">
        <f>+(C124*D123)*-1</f>
        <v>0</v>
      </c>
    </row>
    <row r="125" spans="1:4">
      <c r="A125" s="736" t="s">
        <v>21</v>
      </c>
      <c r="B125" s="736"/>
      <c r="C125" s="736"/>
      <c r="D125" s="24">
        <f>SUM(D117:D123)</f>
        <v>0</v>
      </c>
    </row>
    <row r="127" spans="1:4">
      <c r="A127" s="732" t="s">
        <v>120</v>
      </c>
      <c r="B127" s="733"/>
      <c r="C127" s="733"/>
      <c r="D127" s="733"/>
    </row>
    <row r="129" spans="1:7">
      <c r="A129" s="63">
        <v>6</v>
      </c>
      <c r="B129" s="26" t="s">
        <v>121</v>
      </c>
      <c r="C129" s="237" t="s">
        <v>31</v>
      </c>
      <c r="D129" s="13" t="s">
        <v>32</v>
      </c>
    </row>
    <row r="130" spans="1:7">
      <c r="A130" s="322" t="s">
        <v>4</v>
      </c>
      <c r="B130" s="322" t="s">
        <v>122</v>
      </c>
      <c r="C130" s="323">
        <v>0.03</v>
      </c>
      <c r="D130" s="324">
        <f>($D$125+$D$112+$D$80+$D$69+$D$24)*C130</f>
        <v>0</v>
      </c>
    </row>
    <row r="131" spans="1:7">
      <c r="A131" s="322" t="s">
        <v>6</v>
      </c>
      <c r="B131" s="322" t="s">
        <v>123</v>
      </c>
      <c r="C131" s="323">
        <v>0.03</v>
      </c>
      <c r="D131" s="324">
        <f>($D$125+$D$112+$D$80+$D$69+$D$24+D130)*C131</f>
        <v>0</v>
      </c>
    </row>
    <row r="132" spans="1:7" s="80" customFormat="1">
      <c r="A132" s="756" t="s">
        <v>124</v>
      </c>
      <c r="B132" s="757"/>
      <c r="C132" s="758"/>
      <c r="D132" s="79">
        <f>++D131+D130+D125+D112+D80+D69+D24</f>
        <v>0</v>
      </c>
    </row>
    <row r="133" spans="1:7" s="80" customFormat="1">
      <c r="A133" s="759" t="s">
        <v>125</v>
      </c>
      <c r="B133" s="760"/>
      <c r="C133" s="761"/>
      <c r="D133" s="79">
        <f>ROUND(D132/(1-(C136+C137+C139+C141+C142)),2)</f>
        <v>0</v>
      </c>
    </row>
    <row r="134" spans="1:7">
      <c r="A134" s="29" t="s">
        <v>9</v>
      </c>
      <c r="B134" s="29" t="s">
        <v>126</v>
      </c>
      <c r="C134" s="39"/>
      <c r="D134" s="29"/>
    </row>
    <row r="135" spans="1:7">
      <c r="A135" s="29" t="s">
        <v>80</v>
      </c>
      <c r="B135" s="29" t="s">
        <v>127</v>
      </c>
      <c r="C135" s="39"/>
      <c r="D135" s="29"/>
    </row>
    <row r="136" spans="1:7">
      <c r="A136" s="322" t="s">
        <v>128</v>
      </c>
      <c r="B136" s="322" t="s">
        <v>129</v>
      </c>
      <c r="C136" s="323">
        <v>1.6500000000000001E-2</v>
      </c>
      <c r="D136" s="324">
        <f>ROUND(C136*$D$133,2)</f>
        <v>0</v>
      </c>
      <c r="G136" s="81"/>
    </row>
    <row r="137" spans="1:7">
      <c r="A137" s="322" t="s">
        <v>130</v>
      </c>
      <c r="B137" s="322" t="s">
        <v>131</v>
      </c>
      <c r="C137" s="323">
        <v>7.5999999999999998E-2</v>
      </c>
      <c r="D137" s="324">
        <f>ROUND(C137*$D$133,2)</f>
        <v>0</v>
      </c>
      <c r="G137" s="81"/>
    </row>
    <row r="138" spans="1:7">
      <c r="A138" s="29" t="s">
        <v>132</v>
      </c>
      <c r="B138" s="29" t="s">
        <v>133</v>
      </c>
      <c r="C138" s="39"/>
      <c r="D138" s="40"/>
      <c r="G138" s="81"/>
    </row>
    <row r="139" spans="1:7">
      <c r="A139" s="29" t="s">
        <v>134</v>
      </c>
      <c r="B139" s="29" t="s">
        <v>135</v>
      </c>
      <c r="C139" s="39"/>
      <c r="D139" s="29"/>
      <c r="G139" s="81"/>
    </row>
    <row r="140" spans="1:7">
      <c r="A140" s="29" t="s">
        <v>136</v>
      </c>
      <c r="B140" s="29" t="s">
        <v>137</v>
      </c>
      <c r="C140" s="39"/>
      <c r="D140" s="29"/>
    </row>
    <row r="141" spans="1:7">
      <c r="A141" s="322" t="s">
        <v>138</v>
      </c>
      <c r="B141" s="322" t="s">
        <v>139</v>
      </c>
      <c r="C141" s="323">
        <v>0.05</v>
      </c>
      <c r="D141" s="324">
        <f>ROUND(C141*$D$133,2)</f>
        <v>0</v>
      </c>
    </row>
    <row r="142" spans="1:7">
      <c r="A142" s="29" t="s">
        <v>140</v>
      </c>
      <c r="B142" s="29" t="s">
        <v>141</v>
      </c>
      <c r="C142" s="39"/>
      <c r="D142" s="29"/>
    </row>
    <row r="143" spans="1:7">
      <c r="A143" s="721" t="s">
        <v>21</v>
      </c>
      <c r="B143" s="722"/>
      <c r="C143" s="82">
        <f>+C142+C141+C139+C137+C136+C131+C130</f>
        <v>0.20250000000000001</v>
      </c>
      <c r="D143" s="24">
        <f>+D141+D139+D137+D136+D131+D130</f>
        <v>0</v>
      </c>
    </row>
    <row r="145" spans="1:5">
      <c r="A145" s="762" t="s">
        <v>142</v>
      </c>
      <c r="B145" s="762"/>
      <c r="C145" s="762"/>
      <c r="D145" s="762"/>
    </row>
    <row r="146" spans="1:5">
      <c r="A146" s="29" t="s">
        <v>4</v>
      </c>
      <c r="B146" s="755" t="s">
        <v>143</v>
      </c>
      <c r="C146" s="755"/>
      <c r="D146" s="22">
        <f>+D24</f>
        <v>0</v>
      </c>
    </row>
    <row r="147" spans="1:5">
      <c r="A147" s="29" t="s">
        <v>144</v>
      </c>
      <c r="B147" s="755" t="s">
        <v>145</v>
      </c>
      <c r="C147" s="755"/>
      <c r="D147" s="22">
        <f>+D69</f>
        <v>0</v>
      </c>
    </row>
    <row r="148" spans="1:5">
      <c r="A148" s="29" t="s">
        <v>9</v>
      </c>
      <c r="B148" s="755" t="s">
        <v>146</v>
      </c>
      <c r="C148" s="755"/>
      <c r="D148" s="22">
        <f>+D80</f>
        <v>0</v>
      </c>
    </row>
    <row r="149" spans="1:5">
      <c r="A149" s="29" t="s">
        <v>11</v>
      </c>
      <c r="B149" s="755" t="s">
        <v>147</v>
      </c>
      <c r="C149" s="755"/>
      <c r="D149" s="22">
        <f>+D112</f>
        <v>0</v>
      </c>
    </row>
    <row r="150" spans="1:5">
      <c r="A150" s="29" t="s">
        <v>37</v>
      </c>
      <c r="B150" s="755" t="s">
        <v>148</v>
      </c>
      <c r="C150" s="755"/>
      <c r="D150" s="22">
        <f>+D125</f>
        <v>0</v>
      </c>
    </row>
    <row r="151" spans="1:5">
      <c r="B151" s="763" t="s">
        <v>149</v>
      </c>
      <c r="C151" s="763"/>
      <c r="D151" s="83">
        <f>SUM(D146:D150)</f>
        <v>0</v>
      </c>
    </row>
    <row r="152" spans="1:5">
      <c r="A152" s="29" t="s">
        <v>39</v>
      </c>
      <c r="B152" s="755" t="s">
        <v>150</v>
      </c>
      <c r="C152" s="755"/>
      <c r="D152" s="22">
        <f>+D143</f>
        <v>0</v>
      </c>
    </row>
    <row r="154" spans="1:5">
      <c r="A154" s="764" t="s">
        <v>151</v>
      </c>
      <c r="B154" s="764"/>
      <c r="C154" s="764"/>
      <c r="D154" s="84">
        <f>ROUND(+D152+D151,2)</f>
        <v>0</v>
      </c>
    </row>
    <row r="156" spans="1:5">
      <c r="B156" s="86"/>
      <c r="C156" s="86"/>
      <c r="D156" s="86"/>
    </row>
    <row r="157" spans="1:5" s="135" customFormat="1">
      <c r="A157" s="800"/>
      <c r="B157" s="800"/>
      <c r="C157" s="800"/>
      <c r="D157" s="800"/>
      <c r="E157" s="134"/>
    </row>
    <row r="158" spans="1:5">
      <c r="A158" s="87"/>
      <c r="B158" s="87"/>
      <c r="C158" s="87"/>
      <c r="D158" s="87"/>
      <c r="E158" s="87"/>
    </row>
    <row r="159" spans="1:5">
      <c r="A159" s="787"/>
      <c r="B159" s="787"/>
      <c r="C159" s="787"/>
      <c r="D159" s="787"/>
      <c r="E159" s="87"/>
    </row>
    <row r="160" spans="1:5">
      <c r="A160" s="87"/>
      <c r="B160" s="87"/>
      <c r="C160" s="87"/>
      <c r="D160" s="87"/>
      <c r="E160" s="87"/>
    </row>
    <row r="161" spans="1:5">
      <c r="A161" s="799"/>
      <c r="B161" s="799"/>
      <c r="C161" s="799"/>
      <c r="D161" s="799"/>
      <c r="E161" s="87"/>
    </row>
    <row r="162" spans="1:5">
      <c r="A162" s="87"/>
      <c r="B162" s="87"/>
      <c r="C162" s="87"/>
      <c r="D162" s="87"/>
      <c r="E162" s="87"/>
    </row>
    <row r="163" spans="1:5">
      <c r="A163" s="87"/>
      <c r="B163" s="87"/>
      <c r="C163" s="87"/>
      <c r="D163" s="87"/>
      <c r="E163" s="87"/>
    </row>
    <row r="164" spans="1:5">
      <c r="A164" s="87"/>
      <c r="B164" s="87"/>
      <c r="C164" s="87"/>
      <c r="D164" s="87"/>
      <c r="E164" s="87"/>
    </row>
    <row r="165" spans="1:5">
      <c r="A165" s="87"/>
      <c r="B165" s="87"/>
      <c r="C165" s="87"/>
      <c r="D165" s="87"/>
      <c r="E165" s="87"/>
    </row>
    <row r="166" spans="1:5">
      <c r="A166" s="87"/>
      <c r="B166" s="87"/>
      <c r="C166" s="87"/>
      <c r="D166" s="87"/>
      <c r="E166" s="87"/>
    </row>
    <row r="167" spans="1:5">
      <c r="A167" s="87"/>
      <c r="B167" s="87"/>
      <c r="C167" s="87"/>
      <c r="D167" s="87"/>
      <c r="E167" s="87"/>
    </row>
    <row r="168" spans="1:5">
      <c r="A168" s="87"/>
      <c r="B168" s="87"/>
      <c r="C168" s="87"/>
      <c r="D168" s="87"/>
      <c r="E168" s="87"/>
    </row>
    <row r="169" spans="1:5">
      <c r="A169" s="87"/>
      <c r="B169" s="87"/>
      <c r="C169" s="87"/>
      <c r="D169" s="87"/>
      <c r="E169" s="87"/>
    </row>
    <row r="170" spans="1:5">
      <c r="A170" s="87"/>
      <c r="B170" s="87"/>
      <c r="C170" s="87"/>
      <c r="D170" s="87"/>
      <c r="E170" s="87"/>
    </row>
    <row r="171" spans="1:5">
      <c r="A171" s="87"/>
      <c r="B171" s="87"/>
      <c r="C171" s="87"/>
      <c r="D171" s="87"/>
      <c r="E171" s="87"/>
    </row>
    <row r="172" spans="1:5">
      <c r="A172" s="87"/>
      <c r="B172" s="87"/>
      <c r="C172" s="87"/>
      <c r="D172" s="87"/>
      <c r="E172" s="87"/>
    </row>
    <row r="173" spans="1:5">
      <c r="A173" s="87"/>
      <c r="B173" s="87"/>
      <c r="C173" s="87"/>
      <c r="D173" s="87"/>
      <c r="E173" s="87"/>
    </row>
    <row r="174" spans="1:5">
      <c r="A174" s="87"/>
      <c r="B174" s="87"/>
      <c r="C174" s="87"/>
      <c r="D174" s="87"/>
      <c r="E174" s="87"/>
    </row>
  </sheetData>
  <mergeCells count="82">
    <mergeCell ref="A161:D161"/>
    <mergeCell ref="A154:C154"/>
    <mergeCell ref="A157:D157"/>
    <mergeCell ref="A159:D159"/>
    <mergeCell ref="B152:C152"/>
    <mergeCell ref="A127:D127"/>
    <mergeCell ref="A132:C132"/>
    <mergeCell ref="A133:C133"/>
    <mergeCell ref="A143:B143"/>
    <mergeCell ref="A145:D145"/>
    <mergeCell ref="B146:C146"/>
    <mergeCell ref="B147:C147"/>
    <mergeCell ref="B148:C148"/>
    <mergeCell ref="B149:C149"/>
    <mergeCell ref="B150:C150"/>
    <mergeCell ref="B151:C151"/>
    <mergeCell ref="A125:C125"/>
    <mergeCell ref="B108:C108"/>
    <mergeCell ref="B109:C109"/>
    <mergeCell ref="B110:C110"/>
    <mergeCell ref="B111:C111"/>
    <mergeCell ref="A112:C112"/>
    <mergeCell ref="A114:D114"/>
    <mergeCell ref="B116:C116"/>
    <mergeCell ref="B117:C117"/>
    <mergeCell ref="B119:C119"/>
    <mergeCell ref="B121:C121"/>
    <mergeCell ref="B123:C123"/>
    <mergeCell ref="A105:C105"/>
    <mergeCell ref="B92:C92"/>
    <mergeCell ref="B93:C93"/>
    <mergeCell ref="A94:C94"/>
    <mergeCell ref="B96:C96"/>
    <mergeCell ref="B97:C97"/>
    <mergeCell ref="B98:C98"/>
    <mergeCell ref="B99:C99"/>
    <mergeCell ref="B100:C100"/>
    <mergeCell ref="A101:C101"/>
    <mergeCell ref="B103:C103"/>
    <mergeCell ref="B104:C104"/>
    <mergeCell ref="B91:C91"/>
    <mergeCell ref="A69:C69"/>
    <mergeCell ref="A71:D71"/>
    <mergeCell ref="A80:C80"/>
    <mergeCell ref="A82:D82"/>
    <mergeCell ref="A84:D84"/>
    <mergeCell ref="B85:C85"/>
    <mergeCell ref="B86:C86"/>
    <mergeCell ref="B87:C87"/>
    <mergeCell ref="B88:C88"/>
    <mergeCell ref="B89:C89"/>
    <mergeCell ref="B90:C90"/>
    <mergeCell ref="B68:C68"/>
    <mergeCell ref="A26:D26"/>
    <mergeCell ref="A28:D28"/>
    <mergeCell ref="A34:C34"/>
    <mergeCell ref="A36:D36"/>
    <mergeCell ref="A48:D48"/>
    <mergeCell ref="B60:C60"/>
    <mergeCell ref="A62:B62"/>
    <mergeCell ref="A64:D64"/>
    <mergeCell ref="B65:C65"/>
    <mergeCell ref="B66:C66"/>
    <mergeCell ref="B67:C67"/>
    <mergeCell ref="A24:C24"/>
    <mergeCell ref="C8:D8"/>
    <mergeCell ref="C9:D9"/>
    <mergeCell ref="A11:D11"/>
    <mergeCell ref="B13:C13"/>
    <mergeCell ref="B16:C16"/>
    <mergeCell ref="B17:C17"/>
    <mergeCell ref="B18:C18"/>
    <mergeCell ref="B19:C19"/>
    <mergeCell ref="B20:C20"/>
    <mergeCell ref="B22:C22"/>
    <mergeCell ref="B23:C23"/>
    <mergeCell ref="C7:D7"/>
    <mergeCell ref="A1:D1"/>
    <mergeCell ref="A3:D3"/>
    <mergeCell ref="C4:D4"/>
    <mergeCell ref="C5:D5"/>
    <mergeCell ref="C6:D6"/>
  </mergeCells>
  <pageMargins left="1.2" right="0.51181102362204722" top="0.38" bottom="0.56000000000000005" header="0.31496062992125984" footer="0.31496062992125984"/>
  <pageSetup paperSize="9" scale="85" orientation="portrait" r:id="rId1"/>
  <headerFooter>
    <oddFoote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C166"/>
  <sheetViews>
    <sheetView workbookViewId="0">
      <selection activeCell="A19" sqref="A19:C19"/>
    </sheetView>
  </sheetViews>
  <sheetFormatPr defaultRowHeight="13.2"/>
  <cols>
    <col min="1" max="1" width="64.453125" customWidth="1"/>
    <col min="2" max="3" width="12.26953125" bestFit="1" customWidth="1"/>
    <col min="4" max="4" width="9.36328125" bestFit="1" customWidth="1"/>
    <col min="5" max="5" width="69.08984375" customWidth="1"/>
  </cols>
  <sheetData>
    <row r="1" spans="1:3" ht="25.5" customHeight="1">
      <c r="A1" s="845" t="s">
        <v>458</v>
      </c>
      <c r="B1" s="845"/>
      <c r="C1" s="845"/>
    </row>
    <row r="3" spans="1:3">
      <c r="A3" s="29" t="s">
        <v>152</v>
      </c>
      <c r="B3" s="29">
        <v>220</v>
      </c>
    </row>
    <row r="4" spans="1:3">
      <c r="A4" s="29" t="s">
        <v>153</v>
      </c>
      <c r="B4" s="29">
        <v>365.25</v>
      </c>
    </row>
    <row r="5" spans="1:3">
      <c r="A5" s="29" t="s">
        <v>154</v>
      </c>
      <c r="B5" s="88">
        <f>(365.25/12)/(7/7)/2</f>
        <v>15.21875</v>
      </c>
    </row>
    <row r="6" spans="1:3">
      <c r="A6" s="49" t="s">
        <v>33</v>
      </c>
      <c r="B6" s="40">
        <f>+'Encarregado 12 36 Noturno'!D13</f>
        <v>0</v>
      </c>
    </row>
    <row r="7" spans="1:3">
      <c r="A7" s="49" t="s">
        <v>155</v>
      </c>
      <c r="B7" s="40">
        <f>+'Encarregado 12 36 Noturno'!D24</f>
        <v>0</v>
      </c>
    </row>
    <row r="10" spans="1:3">
      <c r="A10" s="765" t="s">
        <v>156</v>
      </c>
      <c r="B10" s="766"/>
      <c r="C10" s="767"/>
    </row>
    <row r="11" spans="1:3">
      <c r="A11" s="29" t="s">
        <v>157</v>
      </c>
      <c r="B11" s="29">
        <f>+$B$4</f>
        <v>365.25</v>
      </c>
      <c r="C11" s="65"/>
    </row>
    <row r="12" spans="1:3">
      <c r="A12" s="29" t="s">
        <v>158</v>
      </c>
      <c r="B12" s="49">
        <v>12</v>
      </c>
      <c r="C12" s="65"/>
    </row>
    <row r="13" spans="1:3">
      <c r="A13" s="29" t="s">
        <v>159</v>
      </c>
      <c r="B13" s="39">
        <v>1</v>
      </c>
      <c r="C13" s="65"/>
    </row>
    <row r="14" spans="1:3">
      <c r="A14" s="49" t="s">
        <v>160</v>
      </c>
      <c r="B14" s="88">
        <f>(365.25/12)/(7/7)/2</f>
        <v>15.21875</v>
      </c>
      <c r="C14" s="65"/>
    </row>
    <row r="15" spans="1:3">
      <c r="A15" s="90" t="s">
        <v>161</v>
      </c>
      <c r="B15" s="91"/>
      <c r="C15" s="65"/>
    </row>
    <row r="16" spans="1:3">
      <c r="A16" s="29" t="s">
        <v>162</v>
      </c>
      <c r="B16" s="39">
        <v>0.06</v>
      </c>
      <c r="C16" s="65"/>
    </row>
    <row r="17" spans="1:3">
      <c r="A17" s="769" t="s">
        <v>163</v>
      </c>
      <c r="B17" s="770"/>
      <c r="C17" s="85">
        <f>ROUND((B14*(B15*2)-($B$6*B16)),2)</f>
        <v>0</v>
      </c>
    </row>
    <row r="19" spans="1:3">
      <c r="A19" s="765" t="s">
        <v>164</v>
      </c>
      <c r="B19" s="766"/>
      <c r="C19" s="767"/>
    </row>
    <row r="20" spans="1:3">
      <c r="A20" s="29" t="s">
        <v>157</v>
      </c>
      <c r="B20" s="29">
        <f>+$B$4</f>
        <v>365.25</v>
      </c>
      <c r="C20" s="65"/>
    </row>
    <row r="21" spans="1:3">
      <c r="A21" s="29" t="s">
        <v>158</v>
      </c>
      <c r="B21" s="49">
        <v>12</v>
      </c>
      <c r="C21" s="65"/>
    </row>
    <row r="22" spans="1:3">
      <c r="A22" s="29" t="s">
        <v>159</v>
      </c>
      <c r="B22" s="39">
        <v>1</v>
      </c>
      <c r="C22" s="65"/>
    </row>
    <row r="23" spans="1:3">
      <c r="A23" s="49" t="s">
        <v>160</v>
      </c>
      <c r="B23" s="88">
        <f>(365.25/12)/(7/7)/2</f>
        <v>15.21875</v>
      </c>
      <c r="C23" s="65"/>
    </row>
    <row r="24" spans="1:3">
      <c r="A24" s="90" t="s">
        <v>165</v>
      </c>
      <c r="B24" s="91"/>
      <c r="C24" s="65"/>
    </row>
    <row r="25" spans="1:3">
      <c r="A25" s="29" t="s">
        <v>166</v>
      </c>
      <c r="B25" s="39">
        <v>0.1</v>
      </c>
      <c r="C25" s="65"/>
    </row>
    <row r="26" spans="1:3">
      <c r="A26" s="769" t="s">
        <v>165</v>
      </c>
      <c r="B26" s="770"/>
      <c r="C26" s="85">
        <f>ROUND((B23*(B24)-((B23*B24)*B25)),2)</f>
        <v>0</v>
      </c>
    </row>
    <row r="28" spans="1:3">
      <c r="A28" s="765" t="s">
        <v>167</v>
      </c>
      <c r="B28" s="766"/>
      <c r="C28" s="767"/>
    </row>
    <row r="29" spans="1:3">
      <c r="A29" s="29" t="s">
        <v>168</v>
      </c>
      <c r="B29" s="40">
        <f>+B7</f>
        <v>0</v>
      </c>
      <c r="C29" s="65"/>
    </row>
    <row r="30" spans="1:3">
      <c r="A30" s="29" t="s">
        <v>169</v>
      </c>
      <c r="B30" s="29">
        <v>12</v>
      </c>
      <c r="C30" s="65"/>
    </row>
    <row r="31" spans="1:3">
      <c r="A31" s="92" t="s">
        <v>170</v>
      </c>
      <c r="B31" s="93"/>
      <c r="C31" s="65"/>
    </row>
    <row r="32" spans="1:3">
      <c r="A32" s="769" t="s">
        <v>171</v>
      </c>
      <c r="B32" s="770"/>
      <c r="C32" s="85">
        <f>ROUND(+(B29/B30)*B31,2)</f>
        <v>0</v>
      </c>
    </row>
    <row r="34" spans="1:3">
      <c r="A34" s="771" t="s">
        <v>172</v>
      </c>
      <c r="B34" s="772"/>
      <c r="C34" s="773"/>
    </row>
    <row r="35" spans="1:3" s="51" customFormat="1">
      <c r="A35" s="94" t="s">
        <v>173</v>
      </c>
      <c r="B35" s="93">
        <f>+B31</f>
        <v>0</v>
      </c>
      <c r="C35" s="65"/>
    </row>
    <row r="36" spans="1:3">
      <c r="A36" s="29" t="s">
        <v>174</v>
      </c>
      <c r="B36" s="40">
        <f>+'Encarregado 12 36 Noturno'!$D$24</f>
        <v>0</v>
      </c>
      <c r="C36" s="65"/>
    </row>
    <row r="37" spans="1:3">
      <c r="A37" s="29" t="s">
        <v>55</v>
      </c>
      <c r="B37" s="40">
        <f>+'Encarregado 12 36 Noturno'!$D$30</f>
        <v>0</v>
      </c>
      <c r="C37" s="65"/>
    </row>
    <row r="38" spans="1:3">
      <c r="A38" s="95" t="s">
        <v>58</v>
      </c>
      <c r="B38" s="40">
        <f>+'Encarregado 12 36 Noturno'!$D$32</f>
        <v>0</v>
      </c>
      <c r="C38" s="65"/>
    </row>
    <row r="39" spans="1:3">
      <c r="A39" s="95" t="s">
        <v>60</v>
      </c>
      <c r="B39" s="40">
        <f>+'Encarregado 12 36 Noturno'!$D$33</f>
        <v>0</v>
      </c>
      <c r="C39" s="65"/>
    </row>
    <row r="40" spans="1:3">
      <c r="A40" s="96" t="s">
        <v>175</v>
      </c>
      <c r="B40" s="97">
        <f>SUM(B36:B39)</f>
        <v>0</v>
      </c>
      <c r="C40" s="65"/>
    </row>
    <row r="41" spans="1:3">
      <c r="A41" s="60" t="s">
        <v>176</v>
      </c>
      <c r="B41" s="39">
        <v>0.4</v>
      </c>
      <c r="C41" s="65"/>
    </row>
    <row r="42" spans="1:3">
      <c r="A42" s="60" t="s">
        <v>177</v>
      </c>
      <c r="B42" s="39">
        <f>+'Encarregado 12 36 Noturno'!$C$45</f>
        <v>0.08</v>
      </c>
      <c r="C42" s="65"/>
    </row>
    <row r="43" spans="1:3">
      <c r="A43" s="752" t="s">
        <v>178</v>
      </c>
      <c r="B43" s="753"/>
      <c r="C43" s="75">
        <f>ROUND(+B40*B41*B42*B35,2)</f>
        <v>0</v>
      </c>
    </row>
    <row r="44" spans="1:3">
      <c r="A44" s="60" t="s">
        <v>179</v>
      </c>
      <c r="B44" s="39"/>
      <c r="C44" s="65"/>
    </row>
    <row r="45" spans="1:3">
      <c r="A45" s="752" t="s">
        <v>180</v>
      </c>
      <c r="B45" s="753"/>
      <c r="C45" s="98">
        <f>ROUND(B44*B42*B40*B35,2)</f>
        <v>0</v>
      </c>
    </row>
    <row r="46" spans="1:3">
      <c r="A46" s="769" t="s">
        <v>181</v>
      </c>
      <c r="B46" s="770"/>
      <c r="C46" s="77">
        <f>+C45+C43</f>
        <v>0</v>
      </c>
    </row>
    <row r="48" spans="1:3">
      <c r="A48" s="765" t="s">
        <v>182</v>
      </c>
      <c r="B48" s="766"/>
      <c r="C48" s="767"/>
    </row>
    <row r="49" spans="1:3">
      <c r="A49" s="29" t="s">
        <v>168</v>
      </c>
      <c r="B49" s="40">
        <f>+B7</f>
        <v>0</v>
      </c>
      <c r="C49" s="65"/>
    </row>
    <row r="50" spans="1:3">
      <c r="A50" s="29" t="s">
        <v>183</v>
      </c>
      <c r="B50" s="99">
        <v>30</v>
      </c>
      <c r="C50" s="65"/>
    </row>
    <row r="51" spans="1:3">
      <c r="A51" s="29" t="s">
        <v>169</v>
      </c>
      <c r="B51" s="29">
        <v>12</v>
      </c>
      <c r="C51" s="65"/>
    </row>
    <row r="52" spans="1:3">
      <c r="A52" s="29" t="s">
        <v>184</v>
      </c>
      <c r="B52" s="29">
        <v>7</v>
      </c>
      <c r="C52" s="65"/>
    </row>
    <row r="53" spans="1:3">
      <c r="A53" s="92" t="s">
        <v>185</v>
      </c>
      <c r="B53" s="93"/>
      <c r="C53" s="65"/>
    </row>
    <row r="54" spans="1:3">
      <c r="A54" s="769" t="s">
        <v>186</v>
      </c>
      <c r="B54" s="770"/>
      <c r="C54" s="85">
        <f>+ROUND(((B49/B50/B51)*B52)*B53,2)</f>
        <v>0</v>
      </c>
    </row>
    <row r="56" spans="1:3">
      <c r="A56" s="771" t="s">
        <v>187</v>
      </c>
      <c r="B56" s="772"/>
      <c r="C56" s="773"/>
    </row>
    <row r="57" spans="1:3">
      <c r="A57" s="100" t="s">
        <v>188</v>
      </c>
      <c r="B57" s="93">
        <f>+B53</f>
        <v>0</v>
      </c>
      <c r="C57" s="65"/>
    </row>
    <row r="58" spans="1:3">
      <c r="A58" s="29" t="s">
        <v>174</v>
      </c>
      <c r="B58" s="40">
        <f>+'Encarregado 12 36 Noturno'!$D$24</f>
        <v>0</v>
      </c>
      <c r="C58" s="65"/>
    </row>
    <row r="59" spans="1:3">
      <c r="A59" s="29" t="s">
        <v>55</v>
      </c>
      <c r="B59" s="40">
        <f>+'Encarregado 12 36 Noturno'!$D$30</f>
        <v>0</v>
      </c>
      <c r="C59" s="65"/>
    </row>
    <row r="60" spans="1:3">
      <c r="A60" s="95" t="s">
        <v>58</v>
      </c>
      <c r="B60" s="40">
        <f>+'Encarregado 12 36 Noturno'!$D$32</f>
        <v>0</v>
      </c>
      <c r="C60" s="65"/>
    </row>
    <row r="61" spans="1:3">
      <c r="A61" s="95" t="s">
        <v>60</v>
      </c>
      <c r="B61" s="40">
        <f>+'Encarregado 12 36 Noturno'!$D$33</f>
        <v>0</v>
      </c>
      <c r="C61" s="65"/>
    </row>
    <row r="62" spans="1:3">
      <c r="A62" s="96" t="s">
        <v>175</v>
      </c>
      <c r="B62" s="97">
        <f>SUM(B58:B61)</f>
        <v>0</v>
      </c>
      <c r="C62" s="65"/>
    </row>
    <row r="63" spans="1:3">
      <c r="A63" s="60" t="s">
        <v>176</v>
      </c>
      <c r="B63" s="39">
        <v>0.4</v>
      </c>
      <c r="C63" s="65"/>
    </row>
    <row r="64" spans="1:3">
      <c r="A64" s="60" t="s">
        <v>177</v>
      </c>
      <c r="B64" s="39">
        <f>+'Encarregado 12 36 Noturno'!$C$45</f>
        <v>0.08</v>
      </c>
      <c r="C64" s="65"/>
    </row>
    <row r="65" spans="1:3">
      <c r="A65" s="752" t="s">
        <v>178</v>
      </c>
      <c r="B65" s="753"/>
      <c r="C65" s="75">
        <f>ROUND(+B62*B63*B64*B57,2)</f>
        <v>0</v>
      </c>
    </row>
    <row r="66" spans="1:3">
      <c r="A66" s="60" t="s">
        <v>179</v>
      </c>
      <c r="B66" s="39"/>
      <c r="C66" s="65"/>
    </row>
    <row r="67" spans="1:3">
      <c r="A67" s="752" t="s">
        <v>180</v>
      </c>
      <c r="B67" s="753"/>
      <c r="C67" s="98">
        <f>ROUND(B66*B64*B62*B57,2)</f>
        <v>0</v>
      </c>
    </row>
    <row r="68" spans="1:3">
      <c r="A68" s="769" t="s">
        <v>189</v>
      </c>
      <c r="B68" s="770"/>
      <c r="C68" s="77">
        <f>+C67+C65</f>
        <v>0</v>
      </c>
    </row>
    <row r="70" spans="1:3">
      <c r="A70" s="771" t="s">
        <v>190</v>
      </c>
      <c r="B70" s="772"/>
      <c r="C70" s="773"/>
    </row>
    <row r="71" spans="1:3">
      <c r="A71" s="774" t="s">
        <v>191</v>
      </c>
      <c r="B71" s="775"/>
      <c r="C71" s="776"/>
    </row>
    <row r="72" spans="1:3">
      <c r="A72" s="777"/>
      <c r="B72" s="778"/>
      <c r="C72" s="779"/>
    </row>
    <row r="73" spans="1:3">
      <c r="A73" s="777"/>
      <c r="B73" s="778"/>
      <c r="C73" s="779"/>
    </row>
    <row r="74" spans="1:3">
      <c r="A74" s="780"/>
      <c r="B74" s="781"/>
      <c r="C74" s="782"/>
    </row>
    <row r="75" spans="1:3">
      <c r="A75" s="101"/>
      <c r="B75" s="101"/>
      <c r="C75" s="101"/>
    </row>
    <row r="76" spans="1:3">
      <c r="A76" s="771" t="s">
        <v>192</v>
      </c>
      <c r="B76" s="772"/>
      <c r="C76" s="773"/>
    </row>
    <row r="77" spans="1:3">
      <c r="A77" s="29" t="s">
        <v>193</v>
      </c>
      <c r="B77" s="40">
        <f>+$B$7</f>
        <v>0</v>
      </c>
      <c r="C77" s="65"/>
    </row>
    <row r="78" spans="1:3">
      <c r="A78" s="29" t="s">
        <v>158</v>
      </c>
      <c r="B78" s="29">
        <v>30</v>
      </c>
      <c r="C78" s="65"/>
    </row>
    <row r="79" spans="1:3">
      <c r="A79" s="29" t="s">
        <v>194</v>
      </c>
      <c r="B79" s="29">
        <v>12</v>
      </c>
      <c r="C79" s="65"/>
    </row>
    <row r="80" spans="1:3">
      <c r="A80" s="92" t="s">
        <v>195</v>
      </c>
      <c r="B80" s="92"/>
      <c r="C80" s="65"/>
    </row>
    <row r="81" spans="1:3">
      <c r="A81" s="769" t="s">
        <v>196</v>
      </c>
      <c r="B81" s="770"/>
      <c r="C81" s="58">
        <f>+ROUND((B77/B78/B79)*B80,2)</f>
        <v>0</v>
      </c>
    </row>
    <row r="83" spans="1:3">
      <c r="A83" s="771" t="s">
        <v>197</v>
      </c>
      <c r="B83" s="772"/>
      <c r="C83" s="773"/>
    </row>
    <row r="84" spans="1:3">
      <c r="A84" s="29" t="s">
        <v>193</v>
      </c>
      <c r="B84" s="40">
        <f>+$B$7</f>
        <v>0</v>
      </c>
      <c r="C84" s="65"/>
    </row>
    <row r="85" spans="1:3">
      <c r="A85" s="29" t="s">
        <v>158</v>
      </c>
      <c r="B85" s="29">
        <v>30</v>
      </c>
      <c r="C85" s="65"/>
    </row>
    <row r="86" spans="1:3">
      <c r="A86" s="29" t="s">
        <v>194</v>
      </c>
      <c r="B86" s="29">
        <v>12</v>
      </c>
      <c r="C86" s="65"/>
    </row>
    <row r="87" spans="1:3">
      <c r="A87" s="49" t="s">
        <v>198</v>
      </c>
      <c r="B87" s="29">
        <v>5</v>
      </c>
      <c r="C87" s="65"/>
    </row>
    <row r="88" spans="1:3">
      <c r="A88" s="92" t="s">
        <v>199</v>
      </c>
      <c r="B88" s="93"/>
      <c r="C88" s="65"/>
    </row>
    <row r="89" spans="1:3">
      <c r="A89" s="92" t="s">
        <v>200</v>
      </c>
      <c r="B89" s="93"/>
      <c r="C89" s="65"/>
    </row>
    <row r="90" spans="1:3">
      <c r="A90" s="769" t="s">
        <v>201</v>
      </c>
      <c r="B90" s="770"/>
      <c r="C90" s="85">
        <f>ROUND(+B84/B85/B86*B87*B88*B89,2)</f>
        <v>0</v>
      </c>
    </row>
    <row r="92" spans="1:3">
      <c r="A92" s="771" t="s">
        <v>202</v>
      </c>
      <c r="B92" s="772"/>
      <c r="C92" s="773"/>
    </row>
    <row r="93" spans="1:3">
      <c r="A93" s="29" t="s">
        <v>193</v>
      </c>
      <c r="B93" s="40">
        <f>+$B$7</f>
        <v>0</v>
      </c>
      <c r="C93" s="65"/>
    </row>
    <row r="94" spans="1:3">
      <c r="A94" s="29" t="s">
        <v>158</v>
      </c>
      <c r="B94" s="29">
        <v>30</v>
      </c>
      <c r="C94" s="65"/>
    </row>
    <row r="95" spans="1:3">
      <c r="A95" s="29" t="s">
        <v>194</v>
      </c>
      <c r="B95" s="29">
        <v>12</v>
      </c>
      <c r="C95" s="65"/>
    </row>
    <row r="96" spans="1:3">
      <c r="A96" s="49" t="s">
        <v>203</v>
      </c>
      <c r="B96" s="29">
        <v>15</v>
      </c>
      <c r="C96" s="65"/>
    </row>
    <row r="97" spans="1:3">
      <c r="A97" s="92" t="s">
        <v>204</v>
      </c>
      <c r="B97" s="93"/>
      <c r="C97" s="65"/>
    </row>
    <row r="98" spans="1:3">
      <c r="A98" s="769" t="s">
        <v>205</v>
      </c>
      <c r="B98" s="770"/>
      <c r="C98" s="85">
        <f>ROUND(+B93/B94/B95*B96*B97,2)</f>
        <v>0</v>
      </c>
    </row>
    <row r="100" spans="1:3">
      <c r="A100" s="771" t="s">
        <v>206</v>
      </c>
      <c r="B100" s="772"/>
      <c r="C100" s="773"/>
    </row>
    <row r="101" spans="1:3">
      <c r="A101" s="29" t="s">
        <v>193</v>
      </c>
      <c r="B101" s="40">
        <f>+$B$7</f>
        <v>0</v>
      </c>
      <c r="C101" s="65"/>
    </row>
    <row r="102" spans="1:3">
      <c r="A102" s="29" t="s">
        <v>158</v>
      </c>
      <c r="B102" s="29">
        <v>30</v>
      </c>
      <c r="C102" s="65"/>
    </row>
    <row r="103" spans="1:3">
      <c r="A103" s="29" t="s">
        <v>194</v>
      </c>
      <c r="B103" s="29">
        <v>12</v>
      </c>
      <c r="C103" s="65"/>
    </row>
    <row r="104" spans="1:3">
      <c r="A104" s="49" t="s">
        <v>203</v>
      </c>
      <c r="B104" s="29">
        <v>5</v>
      </c>
      <c r="C104" s="65"/>
    </row>
    <row r="105" spans="1:3">
      <c r="A105" s="92" t="s">
        <v>207</v>
      </c>
      <c r="B105" s="93"/>
      <c r="C105" s="65"/>
    </row>
    <row r="106" spans="1:3">
      <c r="A106" s="769" t="s">
        <v>208</v>
      </c>
      <c r="B106" s="770"/>
      <c r="C106" s="85">
        <f>ROUND(+B101/B102/B103*B104*B105,2)</f>
        <v>0</v>
      </c>
    </row>
    <row r="109" spans="1:3">
      <c r="A109" s="771" t="s">
        <v>209</v>
      </c>
      <c r="B109" s="772"/>
      <c r="C109" s="773"/>
    </row>
    <row r="110" spans="1:3">
      <c r="A110" s="783" t="s">
        <v>210</v>
      </c>
      <c r="B110" s="784"/>
      <c r="C110" s="785"/>
    </row>
    <row r="111" spans="1:3">
      <c r="A111" s="29" t="s">
        <v>193</v>
      </c>
      <c r="B111" s="40">
        <f>+$B$7</f>
        <v>0</v>
      </c>
      <c r="C111" s="65"/>
    </row>
    <row r="112" spans="1:3">
      <c r="A112" s="29" t="s">
        <v>211</v>
      </c>
      <c r="B112" s="40">
        <f>+B111*(1/3)</f>
        <v>0</v>
      </c>
      <c r="C112" s="65"/>
    </row>
    <row r="113" spans="1:3">
      <c r="A113" s="96" t="s">
        <v>175</v>
      </c>
      <c r="B113" s="97">
        <f>SUM(B111:B112)</f>
        <v>0</v>
      </c>
      <c r="C113" s="65"/>
    </row>
    <row r="114" spans="1:3">
      <c r="A114" s="29" t="s">
        <v>212</v>
      </c>
      <c r="B114" s="29">
        <v>4</v>
      </c>
      <c r="C114" s="65"/>
    </row>
    <row r="115" spans="1:3">
      <c r="A115" s="29" t="s">
        <v>194</v>
      </c>
      <c r="B115" s="29">
        <v>12</v>
      </c>
      <c r="C115" s="65"/>
    </row>
    <row r="116" spans="1:3">
      <c r="A116" s="92" t="s">
        <v>213</v>
      </c>
      <c r="B116" s="93"/>
      <c r="C116" s="65"/>
    </row>
    <row r="117" spans="1:3">
      <c r="A117" s="92" t="s">
        <v>214</v>
      </c>
      <c r="B117" s="93"/>
      <c r="C117" s="65"/>
    </row>
    <row r="118" spans="1:3">
      <c r="A118" s="769" t="s">
        <v>215</v>
      </c>
      <c r="B118" s="770"/>
      <c r="C118" s="85">
        <f>ROUND((((+B113*(B114/B115)/B115)*B116)*B117),2)</f>
        <v>0</v>
      </c>
    </row>
    <row r="119" spans="1:3">
      <c r="A119" s="769" t="s">
        <v>216</v>
      </c>
      <c r="B119" s="786"/>
      <c r="C119" s="770"/>
    </row>
    <row r="120" spans="1:3">
      <c r="A120" s="29" t="s">
        <v>193</v>
      </c>
      <c r="B120" s="40">
        <f>+'Encarregado 12 36 Noturno'!D24</f>
        <v>0</v>
      </c>
      <c r="C120" s="65"/>
    </row>
    <row r="121" spans="1:3">
      <c r="A121" s="29" t="s">
        <v>55</v>
      </c>
      <c r="B121" s="40">
        <f>+'Encarregado 12 36 Noturno'!D30</f>
        <v>0</v>
      </c>
      <c r="C121" s="65"/>
    </row>
    <row r="122" spans="1:3">
      <c r="A122" s="96" t="s">
        <v>175</v>
      </c>
      <c r="B122" s="97">
        <f>SUM(B120:B121)</f>
        <v>0</v>
      </c>
      <c r="C122" s="65"/>
    </row>
    <row r="123" spans="1:3">
      <c r="A123" s="29" t="s">
        <v>212</v>
      </c>
      <c r="B123" s="29">
        <v>4</v>
      </c>
      <c r="C123" s="65"/>
    </row>
    <row r="124" spans="1:3">
      <c r="A124" s="29" t="s">
        <v>194</v>
      </c>
      <c r="B124" s="29">
        <v>12</v>
      </c>
      <c r="C124" s="65"/>
    </row>
    <row r="125" spans="1:3">
      <c r="A125" s="92" t="s">
        <v>213</v>
      </c>
      <c r="B125" s="93">
        <f>+B116</f>
        <v>0</v>
      </c>
      <c r="C125" s="65"/>
    </row>
    <row r="126" spans="1:3">
      <c r="A126" s="92" t="s">
        <v>214</v>
      </c>
      <c r="B126" s="93">
        <f>+B117</f>
        <v>0</v>
      </c>
      <c r="C126" s="65"/>
    </row>
    <row r="127" spans="1:3">
      <c r="A127" s="49" t="s">
        <v>217</v>
      </c>
      <c r="B127" s="39">
        <f>+'Encarregado 12 36 Noturno'!C46</f>
        <v>0.36800000000000005</v>
      </c>
      <c r="C127" s="65"/>
    </row>
    <row r="128" spans="1:3">
      <c r="A128" s="769" t="s">
        <v>218</v>
      </c>
      <c r="B128" s="770"/>
      <c r="C128" s="77">
        <f>ROUND((((B122*(B123/B124)*B125)*B126)*B127),2)</f>
        <v>0</v>
      </c>
    </row>
    <row r="130" spans="1:3">
      <c r="A130" s="788" t="s">
        <v>220</v>
      </c>
      <c r="B130" s="788"/>
      <c r="C130" s="788"/>
    </row>
    <row r="131" spans="1:3">
      <c r="A131" s="29" t="s">
        <v>157</v>
      </c>
      <c r="B131" s="29">
        <v>365.25</v>
      </c>
      <c r="C131" s="65"/>
    </row>
    <row r="132" spans="1:3">
      <c r="A132" s="29" t="s">
        <v>158</v>
      </c>
      <c r="B132" s="49">
        <v>12</v>
      </c>
      <c r="C132" s="65"/>
    </row>
    <row r="133" spans="1:3">
      <c r="A133" s="29" t="s">
        <v>159</v>
      </c>
      <c r="B133" s="39">
        <v>0.5</v>
      </c>
      <c r="C133" s="65"/>
    </row>
    <row r="134" spans="1:3">
      <c r="A134" s="102" t="s">
        <v>221</v>
      </c>
      <c r="B134" s="49">
        <v>7</v>
      </c>
      <c r="C134" s="65"/>
    </row>
    <row r="135" spans="1:3">
      <c r="A135" s="49" t="s">
        <v>222</v>
      </c>
      <c r="B135" s="65"/>
      <c r="C135" s="40">
        <f>+'Encarregado 12 36 Noturno'!D13</f>
        <v>0</v>
      </c>
    </row>
    <row r="136" spans="1:3">
      <c r="A136" s="49" t="s">
        <v>34</v>
      </c>
      <c r="B136" s="65"/>
      <c r="C136" s="40">
        <f>+'Encarregado 12 36 Noturno'!D14</f>
        <v>0</v>
      </c>
    </row>
    <row r="137" spans="1:3">
      <c r="A137" s="49" t="s">
        <v>35</v>
      </c>
      <c r="B137" s="65"/>
      <c r="C137" s="40">
        <f>+'Encarregado 12 36 Noturno'!D15</f>
        <v>0</v>
      </c>
    </row>
    <row r="138" spans="1:3">
      <c r="A138" s="96" t="s">
        <v>223</v>
      </c>
      <c r="B138" s="65"/>
      <c r="C138" s="97">
        <f>SUM(C135:C137)</f>
        <v>0</v>
      </c>
    </row>
    <row r="139" spans="1:3">
      <c r="A139" s="29" t="s">
        <v>152</v>
      </c>
      <c r="B139" s="103">
        <f>+B3</f>
        <v>220</v>
      </c>
      <c r="C139" s="65"/>
    </row>
    <row r="140" spans="1:3">
      <c r="A140" s="49" t="s">
        <v>224</v>
      </c>
      <c r="B140" s="39">
        <v>0.2</v>
      </c>
      <c r="C140" s="65"/>
    </row>
    <row r="141" spans="1:3">
      <c r="A141" s="49" t="s">
        <v>225</v>
      </c>
      <c r="B141" s="65"/>
      <c r="C141" s="104">
        <f>ROUND((C138/B139)*B140,2)</f>
        <v>0</v>
      </c>
    </row>
    <row r="142" spans="1:3">
      <c r="A142" s="49" t="s">
        <v>226</v>
      </c>
      <c r="B142" s="29">
        <f>ROUND(+B131/B132*B133*B134,0)</f>
        <v>107</v>
      </c>
      <c r="C142" s="105"/>
    </row>
    <row r="143" spans="1:3">
      <c r="A143" s="789" t="s">
        <v>227</v>
      </c>
      <c r="B143" s="789"/>
      <c r="C143" s="68">
        <f>ROUND(+B142*C141,2)</f>
        <v>0</v>
      </c>
    </row>
    <row r="145" spans="1:3">
      <c r="A145" s="788" t="s">
        <v>228</v>
      </c>
      <c r="B145" s="788"/>
      <c r="C145" s="788"/>
    </row>
    <row r="146" spans="1:3">
      <c r="A146" s="29" t="s">
        <v>157</v>
      </c>
      <c r="B146" s="29">
        <f>+$B$4</f>
        <v>365.25</v>
      </c>
      <c r="C146" s="65"/>
    </row>
    <row r="147" spans="1:3">
      <c r="A147" s="29" t="s">
        <v>158</v>
      </c>
      <c r="B147" s="49">
        <v>12</v>
      </c>
      <c r="C147" s="65"/>
    </row>
    <row r="148" spans="1:3">
      <c r="A148" s="29" t="s">
        <v>159</v>
      </c>
      <c r="B148" s="39">
        <v>0.5</v>
      </c>
      <c r="C148" s="65"/>
    </row>
    <row r="149" spans="1:3">
      <c r="A149" s="102" t="s">
        <v>221</v>
      </c>
      <c r="B149" s="49">
        <v>7</v>
      </c>
      <c r="C149" s="65"/>
    </row>
    <row r="150" spans="1:3">
      <c r="A150" s="49" t="s">
        <v>229</v>
      </c>
      <c r="B150" s="88">
        <f>(365.25/12/2)/(7/7)</f>
        <v>15.21875</v>
      </c>
      <c r="C150" s="29"/>
    </row>
    <row r="151" spans="1:3">
      <c r="A151" s="49" t="s">
        <v>230</v>
      </c>
      <c r="B151" s="29">
        <f>ROUND(+B150*B149,2)</f>
        <v>106.53</v>
      </c>
      <c r="C151" s="29"/>
    </row>
    <row r="152" spans="1:3">
      <c r="A152" s="49" t="s">
        <v>222</v>
      </c>
      <c r="B152" s="65"/>
      <c r="C152" s="40">
        <f>+'Encarregado 12 36 Noturno'!D13</f>
        <v>0</v>
      </c>
    </row>
    <row r="153" spans="1:3">
      <c r="A153" s="49" t="s">
        <v>34</v>
      </c>
      <c r="B153" s="65"/>
      <c r="C153" s="40">
        <f>+'Encarregado 12 36 Noturno'!D14</f>
        <v>0</v>
      </c>
    </row>
    <row r="154" spans="1:3">
      <c r="A154" s="49" t="s">
        <v>35</v>
      </c>
      <c r="B154" s="65"/>
      <c r="C154" s="40">
        <f>+'Encarregado 12 36 Noturno'!D15</f>
        <v>0</v>
      </c>
    </row>
    <row r="155" spans="1:3">
      <c r="A155" s="96" t="s">
        <v>223</v>
      </c>
      <c r="B155" s="65"/>
      <c r="C155" s="97">
        <f>SUM(C152:C154)</f>
        <v>0</v>
      </c>
    </row>
    <row r="156" spans="1:3">
      <c r="A156" s="29" t="s">
        <v>152</v>
      </c>
      <c r="B156" s="103">
        <f>+B3</f>
        <v>220</v>
      </c>
      <c r="C156" s="65"/>
    </row>
    <row r="157" spans="1:3">
      <c r="A157" s="49" t="s">
        <v>224</v>
      </c>
      <c r="B157" s="39">
        <v>0.2</v>
      </c>
      <c r="C157" s="65"/>
    </row>
    <row r="158" spans="1:3">
      <c r="A158" s="49" t="s">
        <v>225</v>
      </c>
      <c r="B158" s="65"/>
      <c r="C158" s="104">
        <f>ROUND((C155/B156)*B157,2)</f>
        <v>0</v>
      </c>
    </row>
    <row r="159" spans="1:3">
      <c r="A159" s="49" t="s">
        <v>231</v>
      </c>
      <c r="B159" s="29">
        <v>60</v>
      </c>
      <c r="C159" s="65"/>
    </row>
    <row r="160" spans="1:3">
      <c r="A160" s="49" t="s">
        <v>232</v>
      </c>
      <c r="B160" s="29">
        <v>52.5</v>
      </c>
      <c r="C160" s="65"/>
    </row>
    <row r="161" spans="1:3">
      <c r="A161" s="49" t="s">
        <v>233</v>
      </c>
      <c r="B161" s="29">
        <f>+B159/B160</f>
        <v>1.1428571428571428</v>
      </c>
      <c r="C161" s="65"/>
    </row>
    <row r="162" spans="1:3">
      <c r="A162" s="49" t="s">
        <v>234</v>
      </c>
      <c r="B162" s="29">
        <f>ROUND(+B161*B151,2)</f>
        <v>121.75</v>
      </c>
      <c r="C162" s="65"/>
    </row>
    <row r="163" spans="1:3">
      <c r="A163" s="49" t="s">
        <v>235</v>
      </c>
      <c r="B163" s="29">
        <f>ROUND(B162-B151,2)</f>
        <v>15.22</v>
      </c>
      <c r="C163" s="105"/>
    </row>
    <row r="164" spans="1:3">
      <c r="A164" s="754" t="s">
        <v>236</v>
      </c>
      <c r="B164" s="754"/>
      <c r="C164" s="77">
        <f>+B163*C158</f>
        <v>0</v>
      </c>
    </row>
    <row r="166" spans="1:3" ht="39.75" customHeight="1">
      <c r="A166" s="787" t="s">
        <v>257</v>
      </c>
      <c r="B166" s="787"/>
      <c r="C166" s="787"/>
    </row>
  </sheetData>
  <mergeCells count="37">
    <mergeCell ref="A164:B164"/>
    <mergeCell ref="A119:C119"/>
    <mergeCell ref="A128:B128"/>
    <mergeCell ref="A166:C166"/>
    <mergeCell ref="A130:C130"/>
    <mergeCell ref="A143:B143"/>
    <mergeCell ref="A145:C145"/>
    <mergeCell ref="A118:B118"/>
    <mergeCell ref="A71:C74"/>
    <mergeCell ref="A76:C76"/>
    <mergeCell ref="A81:B81"/>
    <mergeCell ref="A83:C83"/>
    <mergeCell ref="A90:B90"/>
    <mergeCell ref="A92:C92"/>
    <mergeCell ref="A98:B98"/>
    <mergeCell ref="A100:C100"/>
    <mergeCell ref="A106:B106"/>
    <mergeCell ref="A109:C109"/>
    <mergeCell ref="A110:C110"/>
    <mergeCell ref="A70:C70"/>
    <mergeCell ref="A32:B32"/>
    <mergeCell ref="A34:C34"/>
    <mergeCell ref="A43:B43"/>
    <mergeCell ref="A45:B45"/>
    <mergeCell ref="A46:B46"/>
    <mergeCell ref="A48:C48"/>
    <mergeCell ref="A54:B54"/>
    <mergeCell ref="A56:C56"/>
    <mergeCell ref="A65:B65"/>
    <mergeCell ref="A67:B67"/>
    <mergeCell ref="A68:B68"/>
    <mergeCell ref="A28:C28"/>
    <mergeCell ref="A1:C1"/>
    <mergeCell ref="A10:C10"/>
    <mergeCell ref="A17:B17"/>
    <mergeCell ref="A19:C19"/>
    <mergeCell ref="A26:B26"/>
  </mergeCells>
  <pageMargins left="1.1599999999999999" right="0.15" top="0.78740157480314965" bottom="0.52" header="0.31496062992125984" footer="0.31496062992125984"/>
  <pageSetup paperSize="9" scale="85" orientation="portrait" r:id="rId1"/>
  <headerFooter>
    <oddFoote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G167"/>
  <sheetViews>
    <sheetView topLeftCell="A151" workbookViewId="0">
      <selection activeCell="B178" sqref="B178"/>
    </sheetView>
  </sheetViews>
  <sheetFormatPr defaultRowHeight="13.2"/>
  <cols>
    <col min="1" max="1" width="5.6328125" customWidth="1"/>
    <col min="2" max="2" width="50.453125" customWidth="1"/>
    <col min="3" max="3" width="9.36328125" bestFit="1" customWidth="1"/>
    <col min="4" max="4" width="15.6328125" customWidth="1"/>
    <col min="5" max="5" width="11.7265625" bestFit="1" customWidth="1"/>
  </cols>
  <sheetData>
    <row r="1" spans="1:6">
      <c r="A1" s="718" t="s">
        <v>22</v>
      </c>
      <c r="B1" s="719"/>
      <c r="C1" s="719"/>
      <c r="D1" s="720"/>
      <c r="E1" s="6"/>
      <c r="F1" s="6"/>
    </row>
    <row r="3" spans="1:6">
      <c r="A3" s="721" t="s">
        <v>23</v>
      </c>
      <c r="B3" s="722"/>
      <c r="C3" s="722"/>
      <c r="D3" s="723"/>
    </row>
    <row r="4" spans="1:6" s="9" customFormat="1">
      <c r="A4" s="114">
        <v>1</v>
      </c>
      <c r="B4" s="115" t="s">
        <v>24</v>
      </c>
      <c r="C4" s="810" t="s">
        <v>274</v>
      </c>
      <c r="D4" s="811"/>
    </row>
    <row r="5" spans="1:6" s="9" customFormat="1">
      <c r="A5" s="114">
        <v>2</v>
      </c>
      <c r="B5" s="115" t="s">
        <v>25</v>
      </c>
      <c r="C5" s="812" t="s">
        <v>483</v>
      </c>
      <c r="D5" s="813"/>
    </row>
    <row r="6" spans="1:6" s="9" customFormat="1">
      <c r="A6" s="114">
        <v>3</v>
      </c>
      <c r="B6" s="115" t="s">
        <v>26</v>
      </c>
      <c r="C6" s="814">
        <f>+Resumo!H19</f>
        <v>0</v>
      </c>
      <c r="D6" s="814"/>
    </row>
    <row r="7" spans="1:6" s="9" customFormat="1" ht="31.5" customHeight="1">
      <c r="A7" s="114">
        <v>4</v>
      </c>
      <c r="B7" s="115" t="s">
        <v>27</v>
      </c>
      <c r="C7" s="815" t="s">
        <v>256</v>
      </c>
      <c r="D7" s="816"/>
    </row>
    <row r="8" spans="1:6" s="9" customFormat="1">
      <c r="A8" s="114">
        <v>5</v>
      </c>
      <c r="B8" s="115" t="s">
        <v>28</v>
      </c>
      <c r="C8" s="817">
        <v>43524</v>
      </c>
      <c r="D8" s="813"/>
    </row>
    <row r="9" spans="1:6">
      <c r="D9" s="10"/>
    </row>
    <row r="10" spans="1:6">
      <c r="A10" s="732" t="s">
        <v>29</v>
      </c>
      <c r="B10" s="733"/>
      <c r="C10" s="733"/>
      <c r="D10" s="733"/>
    </row>
    <row r="11" spans="1:6">
      <c r="A11" s="11">
        <v>1</v>
      </c>
      <c r="B11" s="12" t="s">
        <v>30</v>
      </c>
      <c r="C11" s="13" t="s">
        <v>31</v>
      </c>
      <c r="D11" s="14" t="s">
        <v>32</v>
      </c>
    </row>
    <row r="12" spans="1:6">
      <c r="A12" s="241" t="s">
        <v>4</v>
      </c>
      <c r="B12" s="734" t="s">
        <v>33</v>
      </c>
      <c r="C12" s="734"/>
      <c r="D12" s="17">
        <f>+C6</f>
        <v>0</v>
      </c>
    </row>
    <row r="13" spans="1:6">
      <c r="A13" s="241" t="s">
        <v>6</v>
      </c>
      <c r="B13" s="18" t="s">
        <v>34</v>
      </c>
      <c r="C13" s="19">
        <v>0.3</v>
      </c>
      <c r="D13" s="17">
        <f>+C13*D12</f>
        <v>0</v>
      </c>
      <c r="E13" s="20"/>
    </row>
    <row r="14" spans="1:6">
      <c r="A14" s="66" t="s">
        <v>9</v>
      </c>
      <c r="B14" s="338" t="s">
        <v>35</v>
      </c>
      <c r="C14" s="339"/>
      <c r="D14" s="21">
        <f>+C14*D12</f>
        <v>0</v>
      </c>
    </row>
    <row r="15" spans="1:6">
      <c r="A15" s="241" t="s">
        <v>11</v>
      </c>
      <c r="B15" s="734" t="s">
        <v>36</v>
      </c>
      <c r="C15" s="734"/>
      <c r="D15" s="17"/>
    </row>
    <row r="16" spans="1:6">
      <c r="A16" s="241" t="s">
        <v>37</v>
      </c>
      <c r="B16" s="734" t="s">
        <v>38</v>
      </c>
      <c r="C16" s="734"/>
      <c r="D16" s="17"/>
    </row>
    <row r="17" spans="1:6">
      <c r="A17" s="241" t="s">
        <v>39</v>
      </c>
      <c r="B17" s="716" t="s">
        <v>40</v>
      </c>
      <c r="C17" s="717"/>
      <c r="D17" s="17"/>
    </row>
    <row r="18" spans="1:6">
      <c r="A18" s="241" t="s">
        <v>41</v>
      </c>
      <c r="B18" s="734" t="s">
        <v>42</v>
      </c>
      <c r="C18" s="734"/>
      <c r="D18" s="17"/>
    </row>
    <row r="19" spans="1:6">
      <c r="A19" s="241" t="s">
        <v>43</v>
      </c>
      <c r="B19" s="716" t="s">
        <v>44</v>
      </c>
      <c r="C19" s="717"/>
      <c r="D19" s="21"/>
    </row>
    <row r="20" spans="1:6">
      <c r="A20" s="241" t="s">
        <v>45</v>
      </c>
      <c r="B20" s="18" t="s">
        <v>46</v>
      </c>
      <c r="C20" s="19"/>
      <c r="D20" s="17"/>
    </row>
    <row r="21" spans="1:6">
      <c r="A21" s="241" t="s">
        <v>47</v>
      </c>
      <c r="B21" s="735" t="s">
        <v>48</v>
      </c>
      <c r="C21" s="653"/>
      <c r="D21" s="22"/>
      <c r="F21" s="23"/>
    </row>
    <row r="22" spans="1:6">
      <c r="A22" s="241" t="s">
        <v>49</v>
      </c>
      <c r="B22" s="734" t="s">
        <v>50</v>
      </c>
      <c r="C22" s="734"/>
      <c r="D22" s="22"/>
    </row>
    <row r="23" spans="1:6">
      <c r="A23" s="736" t="s">
        <v>21</v>
      </c>
      <c r="B23" s="736"/>
      <c r="C23" s="736"/>
      <c r="D23" s="24">
        <f>SUM(D12:D22)</f>
        <v>0</v>
      </c>
    </row>
    <row r="25" spans="1:6">
      <c r="A25" s="732" t="s">
        <v>51</v>
      </c>
      <c r="B25" s="733"/>
      <c r="C25" s="733"/>
      <c r="D25" s="733"/>
    </row>
    <row r="27" spans="1:6">
      <c r="A27" s="732" t="s">
        <v>52</v>
      </c>
      <c r="B27" s="733"/>
      <c r="C27" s="733"/>
      <c r="D27" s="733"/>
    </row>
    <row r="28" spans="1:6">
      <c r="A28" s="25" t="s">
        <v>53</v>
      </c>
      <c r="B28" s="26" t="s">
        <v>54</v>
      </c>
      <c r="C28" s="27" t="s">
        <v>31</v>
      </c>
      <c r="D28" s="28" t="s">
        <v>32</v>
      </c>
    </row>
    <row r="29" spans="1:6">
      <c r="A29" s="241" t="s">
        <v>4</v>
      </c>
      <c r="B29" s="29" t="s">
        <v>55</v>
      </c>
      <c r="C29" s="30" t="e">
        <f>ROUND(+D29/$D$23,4)</f>
        <v>#DIV/0!</v>
      </c>
      <c r="D29" s="22">
        <f>ROUND(+D23/12,2)</f>
        <v>0</v>
      </c>
    </row>
    <row r="30" spans="1:6">
      <c r="A30" s="31" t="s">
        <v>6</v>
      </c>
      <c r="B30" s="32" t="s">
        <v>56</v>
      </c>
      <c r="C30" s="33" t="e">
        <f>ROUND(+D30/$D$23,4)</f>
        <v>#DIV/0!</v>
      </c>
      <c r="D30" s="34">
        <f>+D31+D32</f>
        <v>0</v>
      </c>
    </row>
    <row r="31" spans="1:6">
      <c r="A31" s="241" t="s">
        <v>57</v>
      </c>
      <c r="B31" s="35" t="s">
        <v>58</v>
      </c>
      <c r="C31" s="36" t="e">
        <f>ROUND(+D31/$D$23,4)</f>
        <v>#DIV/0!</v>
      </c>
      <c r="D31" s="37">
        <f>ROUND(+D23/12,2)</f>
        <v>0</v>
      </c>
    </row>
    <row r="32" spans="1:6">
      <c r="A32" s="241" t="s">
        <v>59</v>
      </c>
      <c r="B32" s="35" t="s">
        <v>60</v>
      </c>
      <c r="C32" s="36" t="e">
        <f>ROUND(+D32/$D$23,4)</f>
        <v>#DIV/0!</v>
      </c>
      <c r="D32" s="37">
        <f>ROUND(+(D23*1/3)/12,2)</f>
        <v>0</v>
      </c>
    </row>
    <row r="33" spans="1:4">
      <c r="A33" s="736" t="s">
        <v>21</v>
      </c>
      <c r="B33" s="736"/>
      <c r="C33" s="736"/>
      <c r="D33" s="24">
        <f>+D30+D29</f>
        <v>0</v>
      </c>
    </row>
    <row r="35" spans="1:4">
      <c r="A35" s="737" t="s">
        <v>61</v>
      </c>
      <c r="B35" s="738"/>
      <c r="C35" s="738"/>
      <c r="D35" s="738"/>
    </row>
    <row r="36" spans="1:4">
      <c r="A36" s="25" t="s">
        <v>62</v>
      </c>
      <c r="B36" s="38" t="s">
        <v>63</v>
      </c>
      <c r="C36" s="27" t="s">
        <v>31</v>
      </c>
      <c r="D36" s="28" t="s">
        <v>32</v>
      </c>
    </row>
    <row r="37" spans="1:4">
      <c r="A37" s="241" t="s">
        <v>4</v>
      </c>
      <c r="B37" s="29" t="s">
        <v>64</v>
      </c>
      <c r="C37" s="39">
        <v>0.2</v>
      </c>
      <c r="D37" s="40">
        <f>ROUND(C37*($D$23+$D$33),2)</f>
        <v>0</v>
      </c>
    </row>
    <row r="38" spans="1:4">
      <c r="A38" s="241" t="s">
        <v>6</v>
      </c>
      <c r="B38" s="29" t="s">
        <v>65</v>
      </c>
      <c r="C38" s="39">
        <v>2.5000000000000001E-2</v>
      </c>
      <c r="D38" s="40">
        <f>ROUND(C38*($D$23+$D$33),2)</f>
        <v>0</v>
      </c>
    </row>
    <row r="39" spans="1:4">
      <c r="A39" s="241" t="s">
        <v>9</v>
      </c>
      <c r="B39" s="29" t="s">
        <v>66</v>
      </c>
      <c r="C39" s="39">
        <f>3%</f>
        <v>0.03</v>
      </c>
      <c r="D39" s="40">
        <f t="shared" ref="D39:D43" si="0">ROUND(C39*($D$23+$D$33),2)</f>
        <v>0</v>
      </c>
    </row>
    <row r="40" spans="1:4">
      <c r="A40" s="241" t="s">
        <v>11</v>
      </c>
      <c r="B40" s="29" t="s">
        <v>67</v>
      </c>
      <c r="C40" s="39">
        <v>1.4999999999999999E-2</v>
      </c>
      <c r="D40" s="40">
        <f t="shared" si="0"/>
        <v>0</v>
      </c>
    </row>
    <row r="41" spans="1:4">
      <c r="A41" s="241" t="s">
        <v>37</v>
      </c>
      <c r="B41" s="29" t="s">
        <v>68</v>
      </c>
      <c r="C41" s="39">
        <v>0.01</v>
      </c>
      <c r="D41" s="40">
        <f t="shared" si="0"/>
        <v>0</v>
      </c>
    </row>
    <row r="42" spans="1:4">
      <c r="A42" s="241" t="s">
        <v>39</v>
      </c>
      <c r="B42" s="29" t="s">
        <v>69</v>
      </c>
      <c r="C42" s="39">
        <v>6.0000000000000001E-3</v>
      </c>
      <c r="D42" s="40">
        <f t="shared" si="0"/>
        <v>0</v>
      </c>
    </row>
    <row r="43" spans="1:4">
      <c r="A43" s="241" t="s">
        <v>41</v>
      </c>
      <c r="B43" s="29" t="s">
        <v>70</v>
      </c>
      <c r="C43" s="39">
        <v>2E-3</v>
      </c>
      <c r="D43" s="40">
        <f t="shared" si="0"/>
        <v>0</v>
      </c>
    </row>
    <row r="44" spans="1:4">
      <c r="A44" s="241" t="s">
        <v>43</v>
      </c>
      <c r="B44" s="29" t="s">
        <v>71</v>
      </c>
      <c r="C44" s="39">
        <v>0.08</v>
      </c>
      <c r="D44" s="40">
        <f>ROUND(C44*($D$23+$D$33),2)</f>
        <v>0</v>
      </c>
    </row>
    <row r="45" spans="1:4">
      <c r="A45" s="239" t="s">
        <v>21</v>
      </c>
      <c r="B45" s="240"/>
      <c r="C45" s="43">
        <f>SUM(C37:C44)</f>
        <v>0.36800000000000005</v>
      </c>
      <c r="D45" s="44">
        <f>SUM(D37:D44)</f>
        <v>0</v>
      </c>
    </row>
    <row r="46" spans="1:4">
      <c r="A46" s="45"/>
      <c r="B46" s="45"/>
      <c r="C46" s="45"/>
      <c r="D46" s="45"/>
    </row>
    <row r="47" spans="1:4">
      <c r="A47" s="737" t="s">
        <v>72</v>
      </c>
      <c r="B47" s="738"/>
      <c r="C47" s="738"/>
      <c r="D47" s="738"/>
    </row>
    <row r="48" spans="1:4">
      <c r="A48" s="25" t="s">
        <v>73</v>
      </c>
      <c r="B48" s="38" t="s">
        <v>74</v>
      </c>
      <c r="C48" s="27"/>
      <c r="D48" s="28" t="s">
        <v>32</v>
      </c>
    </row>
    <row r="49" spans="1:6">
      <c r="A49" s="46" t="s">
        <v>4</v>
      </c>
      <c r="B49" s="29" t="s">
        <v>75</v>
      </c>
      <c r="C49" s="47"/>
      <c r="D49" s="40">
        <f>+'Men Cal Limpador 44h'!C16</f>
        <v>0</v>
      </c>
    </row>
    <row r="50" spans="1:6" s="51" customFormat="1">
      <c r="A50" s="48" t="s">
        <v>76</v>
      </c>
      <c r="B50" s="49" t="s">
        <v>77</v>
      </c>
      <c r="C50" s="30">
        <f>+$C$135+$C$136</f>
        <v>9.2499999999999999E-2</v>
      </c>
      <c r="D50" s="50">
        <f>+(C50*D49)*-1</f>
        <v>0</v>
      </c>
      <c r="F50" s="52"/>
    </row>
    <row r="51" spans="1:6">
      <c r="A51" s="46" t="s">
        <v>6</v>
      </c>
      <c r="B51" s="29" t="s">
        <v>78</v>
      </c>
      <c r="C51" s="47"/>
      <c r="D51" s="40">
        <f>+'Men Cal Limpador 44h'!C25</f>
        <v>0</v>
      </c>
      <c r="F51" s="53"/>
    </row>
    <row r="52" spans="1:6" s="51" customFormat="1">
      <c r="A52" s="48" t="s">
        <v>57</v>
      </c>
      <c r="B52" s="49" t="s">
        <v>77</v>
      </c>
      <c r="C52" s="30">
        <f>+$C$135+$C$136</f>
        <v>9.2499999999999999E-2</v>
      </c>
      <c r="D52" s="50">
        <f>+(C52*D51)*-1</f>
        <v>0</v>
      </c>
      <c r="F52" s="54"/>
    </row>
    <row r="53" spans="1:6">
      <c r="A53" s="92" t="s">
        <v>9</v>
      </c>
      <c r="B53" s="92" t="s">
        <v>79</v>
      </c>
      <c r="C53" s="47"/>
      <c r="D53" s="230"/>
      <c r="F53" s="53"/>
    </row>
    <row r="54" spans="1:6">
      <c r="A54" s="48" t="s">
        <v>80</v>
      </c>
      <c r="B54" s="49" t="s">
        <v>77</v>
      </c>
      <c r="C54" s="30">
        <f>+$C$135+$C$136</f>
        <v>9.2499999999999999E-2</v>
      </c>
      <c r="D54" s="50">
        <f>+(C54*D53)*-1</f>
        <v>0</v>
      </c>
      <c r="F54" s="53"/>
    </row>
    <row r="55" spans="1:6">
      <c r="A55" s="92" t="s">
        <v>11</v>
      </c>
      <c r="B55" s="90" t="s">
        <v>676</v>
      </c>
      <c r="C55" s="47"/>
      <c r="D55" s="230"/>
      <c r="F55" s="53"/>
    </row>
    <row r="56" spans="1:6">
      <c r="A56" s="48" t="s">
        <v>81</v>
      </c>
      <c r="B56" s="49" t="s">
        <v>77</v>
      </c>
      <c r="C56" s="30">
        <f>+$C$135+$C$136</f>
        <v>9.2499999999999999E-2</v>
      </c>
      <c r="D56" s="50">
        <f>+(C56*D55)*-1</f>
        <v>0</v>
      </c>
      <c r="F56" s="53"/>
    </row>
    <row r="57" spans="1:6" ht="26.4">
      <c r="A57" s="92" t="s">
        <v>37</v>
      </c>
      <c r="B57" s="558" t="s">
        <v>677</v>
      </c>
      <c r="C57" s="47"/>
      <c r="D57" s="231"/>
      <c r="F57" s="55"/>
    </row>
    <row r="58" spans="1:6">
      <c r="A58" s="48" t="s">
        <v>82</v>
      </c>
      <c r="B58" s="49" t="s">
        <v>77</v>
      </c>
      <c r="C58" s="30">
        <f>+$C$135+$C$136</f>
        <v>9.2499999999999999E-2</v>
      </c>
      <c r="D58" s="50">
        <f>+(C58*D57)*-1</f>
        <v>0</v>
      </c>
    </row>
    <row r="59" spans="1:6">
      <c r="A59" s="92" t="s">
        <v>39</v>
      </c>
      <c r="B59" s="739" t="s">
        <v>83</v>
      </c>
      <c r="C59" s="739"/>
      <c r="D59" s="230"/>
    </row>
    <row r="60" spans="1:6">
      <c r="A60" s="48" t="s">
        <v>84</v>
      </c>
      <c r="B60" s="49" t="s">
        <v>77</v>
      </c>
      <c r="C60" s="30">
        <f>+$C$135+$C$136</f>
        <v>9.2499999999999999E-2</v>
      </c>
      <c r="D60" s="50">
        <f>+(C60*D59)*-1</f>
        <v>0</v>
      </c>
    </row>
    <row r="61" spans="1:6">
      <c r="A61" s="721" t="s">
        <v>21</v>
      </c>
      <c r="B61" s="723"/>
      <c r="C61" s="56"/>
      <c r="D61" s="57">
        <f>SUM(D49:D60)</f>
        <v>0</v>
      </c>
    </row>
    <row r="63" spans="1:6">
      <c r="A63" s="732" t="s">
        <v>85</v>
      </c>
      <c r="B63" s="733"/>
      <c r="C63" s="733"/>
      <c r="D63" s="733"/>
    </row>
    <row r="64" spans="1:6">
      <c r="A64" s="58">
        <v>2</v>
      </c>
      <c r="B64" s="742" t="s">
        <v>86</v>
      </c>
      <c r="C64" s="742"/>
      <c r="D64" s="59" t="s">
        <v>32</v>
      </c>
    </row>
    <row r="65" spans="1:4">
      <c r="A65" s="60" t="s">
        <v>53</v>
      </c>
      <c r="B65" s="743" t="s">
        <v>54</v>
      </c>
      <c r="C65" s="743"/>
      <c r="D65" s="40">
        <f>+D33</f>
        <v>0</v>
      </c>
    </row>
    <row r="66" spans="1:4">
      <c r="A66" s="60" t="s">
        <v>62</v>
      </c>
      <c r="B66" s="743" t="s">
        <v>63</v>
      </c>
      <c r="C66" s="743"/>
      <c r="D66" s="40">
        <f>+D45</f>
        <v>0</v>
      </c>
    </row>
    <row r="67" spans="1:4">
      <c r="A67" s="60" t="s">
        <v>73</v>
      </c>
      <c r="B67" s="743" t="s">
        <v>74</v>
      </c>
      <c r="C67" s="743"/>
      <c r="D67" s="61">
        <f>+D61</f>
        <v>0</v>
      </c>
    </row>
    <row r="68" spans="1:4">
      <c r="A68" s="742" t="s">
        <v>21</v>
      </c>
      <c r="B68" s="742"/>
      <c r="C68" s="742"/>
      <c r="D68" s="62">
        <f>SUM(D65:D67)</f>
        <v>0</v>
      </c>
    </row>
    <row r="70" spans="1:4">
      <c r="A70" s="732" t="s">
        <v>87</v>
      </c>
      <c r="B70" s="733"/>
      <c r="C70" s="733"/>
      <c r="D70" s="733"/>
    </row>
    <row r="72" spans="1:4">
      <c r="A72" s="63">
        <v>3</v>
      </c>
      <c r="B72" s="26" t="s">
        <v>88</v>
      </c>
      <c r="C72" s="13" t="s">
        <v>31</v>
      </c>
      <c r="D72" s="13" t="s">
        <v>32</v>
      </c>
    </row>
    <row r="73" spans="1:4">
      <c r="A73" s="241" t="s">
        <v>4</v>
      </c>
      <c r="B73" s="49" t="s">
        <v>89</v>
      </c>
      <c r="C73" s="30" t="e">
        <f>+D73/$D$23</f>
        <v>#DIV/0!</v>
      </c>
      <c r="D73" s="64">
        <f>+'Men Cal Limpador 44h'!C31</f>
        <v>0</v>
      </c>
    </row>
    <row r="74" spans="1:4">
      <c r="A74" s="241" t="s">
        <v>6</v>
      </c>
      <c r="B74" s="29" t="s">
        <v>90</v>
      </c>
      <c r="C74" s="65"/>
      <c r="D74" s="22">
        <f>ROUND(+D73*$C$44,2)</f>
        <v>0</v>
      </c>
    </row>
    <row r="75" spans="1:4" ht="26.4">
      <c r="A75" s="241" t="s">
        <v>9</v>
      </c>
      <c r="B75" s="5" t="s">
        <v>91</v>
      </c>
      <c r="C75" s="39" t="e">
        <f>+D75/$D$23</f>
        <v>#DIV/0!</v>
      </c>
      <c r="D75" s="22">
        <f>+'Men Cal Limpador 44h'!C45</f>
        <v>0</v>
      </c>
    </row>
    <row r="76" spans="1:4">
      <c r="A76" s="66" t="s">
        <v>11</v>
      </c>
      <c r="B76" s="29" t="s">
        <v>92</v>
      </c>
      <c r="C76" s="39" t="e">
        <f>+D76/$D$23</f>
        <v>#DIV/0!</v>
      </c>
      <c r="D76" s="22">
        <f>+'Men Cal Limpador 44h'!C53</f>
        <v>0</v>
      </c>
    </row>
    <row r="77" spans="1:4" ht="26.4">
      <c r="A77" s="66" t="s">
        <v>37</v>
      </c>
      <c r="B77" s="5" t="s">
        <v>93</v>
      </c>
      <c r="C77" s="65"/>
      <c r="D77" s="67"/>
    </row>
    <row r="78" spans="1:4" ht="26.4">
      <c r="A78" s="66" t="s">
        <v>39</v>
      </c>
      <c r="B78" s="5" t="s">
        <v>94</v>
      </c>
      <c r="C78" s="39" t="e">
        <f>+D78/$D$23</f>
        <v>#DIV/0!</v>
      </c>
      <c r="D78" s="40">
        <f>+'Men Cal Limpador 44h'!C67</f>
        <v>0</v>
      </c>
    </row>
    <row r="79" spans="1:4">
      <c r="A79" s="721" t="s">
        <v>21</v>
      </c>
      <c r="B79" s="722"/>
      <c r="C79" s="723"/>
      <c r="D79" s="68">
        <f>SUM(D73:D78)</f>
        <v>0</v>
      </c>
    </row>
    <row r="81" spans="1:4">
      <c r="A81" s="732" t="s">
        <v>95</v>
      </c>
      <c r="B81" s="733"/>
      <c r="C81" s="733"/>
      <c r="D81" s="733"/>
    </row>
    <row r="83" spans="1:4">
      <c r="A83" s="744" t="s">
        <v>96</v>
      </c>
      <c r="B83" s="744"/>
      <c r="C83" s="744"/>
      <c r="D83" s="744"/>
    </row>
    <row r="84" spans="1:4">
      <c r="A84" s="63" t="s">
        <v>97</v>
      </c>
      <c r="B84" s="721" t="s">
        <v>98</v>
      </c>
      <c r="C84" s="723"/>
      <c r="D84" s="13" t="s">
        <v>32</v>
      </c>
    </row>
    <row r="85" spans="1:4">
      <c r="A85" s="29" t="s">
        <v>4</v>
      </c>
      <c r="B85" s="740" t="s">
        <v>99</v>
      </c>
      <c r="C85" s="741"/>
      <c r="D85" s="22"/>
    </row>
    <row r="86" spans="1:4">
      <c r="A86" s="49" t="s">
        <v>6</v>
      </c>
      <c r="B86" s="747" t="s">
        <v>98</v>
      </c>
      <c r="C86" s="748"/>
      <c r="D86" s="69">
        <f>+'Men Cal Limpador 44h'!C80</f>
        <v>0</v>
      </c>
    </row>
    <row r="87" spans="1:4" s="51" customFormat="1">
      <c r="A87" s="49" t="s">
        <v>9</v>
      </c>
      <c r="B87" s="747" t="s">
        <v>100</v>
      </c>
      <c r="C87" s="748"/>
      <c r="D87" s="69">
        <f>+'Men Cal Limpador 44h'!C89</f>
        <v>0</v>
      </c>
    </row>
    <row r="88" spans="1:4" s="51" customFormat="1">
      <c r="A88" s="49" t="s">
        <v>11</v>
      </c>
      <c r="B88" s="747" t="s">
        <v>101</v>
      </c>
      <c r="C88" s="748"/>
      <c r="D88" s="69">
        <f>+'Men Cal Limpador 44h'!C97</f>
        <v>0</v>
      </c>
    </row>
    <row r="89" spans="1:4" s="51" customFormat="1">
      <c r="A89" s="49" t="s">
        <v>37</v>
      </c>
      <c r="B89" s="747" t="s">
        <v>102</v>
      </c>
      <c r="C89" s="748"/>
      <c r="D89" s="69"/>
    </row>
    <row r="90" spans="1:4" s="51" customFormat="1">
      <c r="A90" s="49" t="s">
        <v>39</v>
      </c>
      <c r="B90" s="747" t="s">
        <v>103</v>
      </c>
      <c r="C90" s="748"/>
      <c r="D90" s="69">
        <f>+'Men Cal Limpador 44h'!C105</f>
        <v>0</v>
      </c>
    </row>
    <row r="91" spans="1:4">
      <c r="A91" s="29" t="s">
        <v>41</v>
      </c>
      <c r="B91" s="740" t="s">
        <v>50</v>
      </c>
      <c r="C91" s="741"/>
      <c r="D91" s="22"/>
    </row>
    <row r="92" spans="1:4">
      <c r="A92" s="29" t="s">
        <v>43</v>
      </c>
      <c r="B92" s="740" t="s">
        <v>104</v>
      </c>
      <c r="C92" s="741"/>
      <c r="D92" s="67"/>
    </row>
    <row r="93" spans="1:4">
      <c r="A93" s="736" t="s">
        <v>21</v>
      </c>
      <c r="B93" s="736"/>
      <c r="C93" s="736"/>
      <c r="D93" s="24">
        <f>SUM(D85:D92)</f>
        <v>0</v>
      </c>
    </row>
    <row r="94" spans="1:4">
      <c r="D94" s="70"/>
    </row>
    <row r="95" spans="1:4">
      <c r="A95" s="63" t="s">
        <v>105</v>
      </c>
      <c r="B95" s="721" t="s">
        <v>106</v>
      </c>
      <c r="C95" s="723"/>
      <c r="D95" s="13" t="s">
        <v>32</v>
      </c>
    </row>
    <row r="96" spans="1:4" s="51" customFormat="1">
      <c r="A96" s="49" t="s">
        <v>4</v>
      </c>
      <c r="B96" s="749" t="s">
        <v>107</v>
      </c>
      <c r="C96" s="750"/>
      <c r="D96" s="69">
        <f>+'Men Cal Limpador 44h'!C116</f>
        <v>0</v>
      </c>
    </row>
    <row r="97" spans="1:4" s="51" customFormat="1">
      <c r="A97" s="49" t="s">
        <v>6</v>
      </c>
      <c r="B97" s="745" t="s">
        <v>108</v>
      </c>
      <c r="C97" s="746"/>
      <c r="D97" s="67"/>
    </row>
    <row r="98" spans="1:4" s="51" customFormat="1">
      <c r="A98" s="49" t="s">
        <v>9</v>
      </c>
      <c r="B98" s="745" t="s">
        <v>109</v>
      </c>
      <c r="C98" s="746"/>
      <c r="D98" s="67"/>
    </row>
    <row r="99" spans="1:4">
      <c r="A99" s="29" t="s">
        <v>11</v>
      </c>
      <c r="B99" s="740" t="s">
        <v>50</v>
      </c>
      <c r="C99" s="741"/>
      <c r="D99" s="22"/>
    </row>
    <row r="100" spans="1:4">
      <c r="A100" s="736" t="s">
        <v>21</v>
      </c>
      <c r="B100" s="736"/>
      <c r="C100" s="736"/>
      <c r="D100" s="24">
        <f>SUM(D96:D99)</f>
        <v>0</v>
      </c>
    </row>
    <row r="101" spans="1:4">
      <c r="D101" s="70"/>
    </row>
    <row r="102" spans="1:4">
      <c r="A102" s="63" t="s">
        <v>110</v>
      </c>
      <c r="B102" s="736" t="s">
        <v>111</v>
      </c>
      <c r="C102" s="736"/>
      <c r="D102" s="13" t="s">
        <v>32</v>
      </c>
    </row>
    <row r="103" spans="1:4" s="72" customFormat="1">
      <c r="A103" s="66" t="s">
        <v>4</v>
      </c>
      <c r="B103" s="751" t="s">
        <v>112</v>
      </c>
      <c r="C103" s="751"/>
      <c r="D103" s="71"/>
    </row>
    <row r="104" spans="1:4">
      <c r="A104" s="736" t="s">
        <v>21</v>
      </c>
      <c r="B104" s="736"/>
      <c r="C104" s="736"/>
      <c r="D104" s="24">
        <f>SUM(D103:D103)</f>
        <v>0</v>
      </c>
    </row>
    <row r="106" spans="1:4">
      <c r="A106" s="242" t="s">
        <v>113</v>
      </c>
      <c r="B106" s="242"/>
      <c r="C106" s="242"/>
      <c r="D106" s="242"/>
    </row>
    <row r="107" spans="1:4">
      <c r="A107" s="29" t="s">
        <v>97</v>
      </c>
      <c r="B107" s="740" t="s">
        <v>98</v>
      </c>
      <c r="C107" s="741"/>
      <c r="D107" s="40">
        <f>+D93</f>
        <v>0</v>
      </c>
    </row>
    <row r="108" spans="1:4">
      <c r="A108" s="29" t="s">
        <v>105</v>
      </c>
      <c r="B108" s="740" t="s">
        <v>106</v>
      </c>
      <c r="C108" s="741"/>
      <c r="D108" s="40">
        <f>+D100</f>
        <v>0</v>
      </c>
    </row>
    <row r="109" spans="1:4">
      <c r="A109" s="74"/>
      <c r="B109" s="752" t="s">
        <v>114</v>
      </c>
      <c r="C109" s="753"/>
      <c r="D109" s="75">
        <f>+D108+D107</f>
        <v>0</v>
      </c>
    </row>
    <row r="110" spans="1:4">
      <c r="A110" s="29" t="s">
        <v>110</v>
      </c>
      <c r="B110" s="740" t="s">
        <v>111</v>
      </c>
      <c r="C110" s="741"/>
      <c r="D110" s="40">
        <f>+D104</f>
        <v>0</v>
      </c>
    </row>
    <row r="111" spans="1:4">
      <c r="A111" s="754" t="s">
        <v>21</v>
      </c>
      <c r="B111" s="754"/>
      <c r="C111" s="754"/>
      <c r="D111" s="77">
        <f>+D110+D109</f>
        <v>0</v>
      </c>
    </row>
    <row r="113" spans="1:4">
      <c r="A113" s="732" t="s">
        <v>115</v>
      </c>
      <c r="B113" s="733"/>
      <c r="C113" s="733"/>
      <c r="D113" s="733"/>
    </row>
    <row r="115" spans="1:4">
      <c r="A115" s="63">
        <v>5</v>
      </c>
      <c r="B115" s="721" t="s">
        <v>116</v>
      </c>
      <c r="C115" s="723"/>
      <c r="D115" s="13" t="s">
        <v>32</v>
      </c>
    </row>
    <row r="116" spans="1:4">
      <c r="A116" s="29" t="s">
        <v>4</v>
      </c>
      <c r="B116" s="734" t="s">
        <v>117</v>
      </c>
      <c r="C116" s="734"/>
      <c r="D116" s="22">
        <f>+Uniforme!F8</f>
        <v>0</v>
      </c>
    </row>
    <row r="117" spans="1:4">
      <c r="A117" s="29" t="s">
        <v>76</v>
      </c>
      <c r="B117" s="49" t="s">
        <v>77</v>
      </c>
      <c r="C117" s="30">
        <f>+$C$135+$C$136</f>
        <v>9.2499999999999999E-2</v>
      </c>
      <c r="D117" s="50">
        <f>+(C117*D116)*-1</f>
        <v>0</v>
      </c>
    </row>
    <row r="118" spans="1:4">
      <c r="A118" s="29" t="s">
        <v>6</v>
      </c>
      <c r="B118" s="734" t="s">
        <v>118</v>
      </c>
      <c r="C118" s="734"/>
      <c r="D118" s="22"/>
    </row>
    <row r="119" spans="1:4">
      <c r="A119" s="29" t="s">
        <v>57</v>
      </c>
      <c r="B119" s="49" t="s">
        <v>77</v>
      </c>
      <c r="C119" s="30">
        <f>+$C$135+$C$136</f>
        <v>9.2499999999999999E-2</v>
      </c>
      <c r="D119" s="50">
        <f>+(C119*D118)*-1</f>
        <v>0</v>
      </c>
    </row>
    <row r="120" spans="1:4">
      <c r="A120" s="29" t="s">
        <v>9</v>
      </c>
      <c r="B120" s="734" t="s">
        <v>119</v>
      </c>
      <c r="C120" s="734"/>
      <c r="D120" s="22"/>
    </row>
    <row r="121" spans="1:4">
      <c r="A121" s="29" t="s">
        <v>80</v>
      </c>
      <c r="B121" s="49" t="s">
        <v>77</v>
      </c>
      <c r="C121" s="30">
        <f>+$C$135+$C$136</f>
        <v>9.2499999999999999E-2</v>
      </c>
      <c r="D121" s="50">
        <f>+(C121*D120)*-1</f>
        <v>0</v>
      </c>
    </row>
    <row r="122" spans="1:4">
      <c r="A122" s="29" t="s">
        <v>11</v>
      </c>
      <c r="B122" s="734" t="s">
        <v>50</v>
      </c>
      <c r="C122" s="734"/>
      <c r="D122" s="22"/>
    </row>
    <row r="123" spans="1:4">
      <c r="A123" s="29" t="s">
        <v>81</v>
      </c>
      <c r="B123" s="49" t="s">
        <v>77</v>
      </c>
      <c r="C123" s="30">
        <f>+$C$135+$C$136</f>
        <v>9.2499999999999999E-2</v>
      </c>
      <c r="D123" s="50">
        <f>+(C123*D122)*-1</f>
        <v>0</v>
      </c>
    </row>
    <row r="124" spans="1:4">
      <c r="A124" s="736" t="s">
        <v>21</v>
      </c>
      <c r="B124" s="736"/>
      <c r="C124" s="736"/>
      <c r="D124" s="24">
        <f>SUM(D116:D122)</f>
        <v>0</v>
      </c>
    </row>
    <row r="126" spans="1:4">
      <c r="A126" s="732" t="s">
        <v>120</v>
      </c>
      <c r="B126" s="733"/>
      <c r="C126" s="733"/>
      <c r="D126" s="733"/>
    </row>
    <row r="128" spans="1:4">
      <c r="A128" s="63">
        <v>6</v>
      </c>
      <c r="B128" s="26" t="s">
        <v>121</v>
      </c>
      <c r="C128" s="238" t="s">
        <v>31</v>
      </c>
      <c r="D128" s="13" t="s">
        <v>32</v>
      </c>
    </row>
    <row r="129" spans="1:7">
      <c r="A129" s="322" t="s">
        <v>4</v>
      </c>
      <c r="B129" s="322" t="s">
        <v>122</v>
      </c>
      <c r="C129" s="323">
        <v>0.03</v>
      </c>
      <c r="D129" s="324">
        <f>($D$124+$D$111+$D$79+$D$68+$D$23)*C129</f>
        <v>0</v>
      </c>
    </row>
    <row r="130" spans="1:7">
      <c r="A130" s="322" t="s">
        <v>6</v>
      </c>
      <c r="B130" s="322" t="s">
        <v>123</v>
      </c>
      <c r="C130" s="323">
        <v>0.03</v>
      </c>
      <c r="D130" s="324">
        <f>($D$124+$D$111+$D$79+$D$68+$D$23+D129)*C130</f>
        <v>0</v>
      </c>
    </row>
    <row r="131" spans="1:7" s="80" customFormat="1">
      <c r="A131" s="756" t="s">
        <v>124</v>
      </c>
      <c r="B131" s="757"/>
      <c r="C131" s="758"/>
      <c r="D131" s="79">
        <f>++D130+D129+D124+D111+D79+D68+D23</f>
        <v>0</v>
      </c>
    </row>
    <row r="132" spans="1:7" s="80" customFormat="1" ht="33" customHeight="1">
      <c r="A132" s="759" t="s">
        <v>125</v>
      </c>
      <c r="B132" s="760"/>
      <c r="C132" s="761"/>
      <c r="D132" s="79">
        <f>ROUND(D131/(1-(C135+C136+C138+C140+C141)),2)</f>
        <v>0</v>
      </c>
    </row>
    <row r="133" spans="1:7">
      <c r="A133" s="29" t="s">
        <v>9</v>
      </c>
      <c r="B133" s="29" t="s">
        <v>126</v>
      </c>
      <c r="C133" s="39"/>
      <c r="D133" s="29"/>
    </row>
    <row r="134" spans="1:7">
      <c r="A134" s="29" t="s">
        <v>80</v>
      </c>
      <c r="B134" s="29" t="s">
        <v>127</v>
      </c>
      <c r="C134" s="39"/>
      <c r="D134" s="29"/>
    </row>
    <row r="135" spans="1:7">
      <c r="A135" s="322" t="s">
        <v>128</v>
      </c>
      <c r="B135" s="322" t="s">
        <v>129</v>
      </c>
      <c r="C135" s="323">
        <v>1.6500000000000001E-2</v>
      </c>
      <c r="D135" s="324">
        <f>ROUND(C135*$D$132,2)</f>
        <v>0</v>
      </c>
      <c r="G135" s="81"/>
    </row>
    <row r="136" spans="1:7">
      <c r="A136" s="322" t="s">
        <v>130</v>
      </c>
      <c r="B136" s="322" t="s">
        <v>131</v>
      </c>
      <c r="C136" s="323">
        <v>7.5999999999999998E-2</v>
      </c>
      <c r="D136" s="324">
        <f>ROUND(C136*$D$132,2)</f>
        <v>0</v>
      </c>
      <c r="G136" s="81"/>
    </row>
    <row r="137" spans="1:7">
      <c r="A137" s="29" t="s">
        <v>132</v>
      </c>
      <c r="B137" s="29" t="s">
        <v>133</v>
      </c>
      <c r="C137" s="39"/>
      <c r="D137" s="40"/>
      <c r="G137" s="81"/>
    </row>
    <row r="138" spans="1:7">
      <c r="A138" s="29" t="s">
        <v>134</v>
      </c>
      <c r="B138" s="29" t="s">
        <v>135</v>
      </c>
      <c r="C138" s="39"/>
      <c r="D138" s="29"/>
      <c r="G138" s="81"/>
    </row>
    <row r="139" spans="1:7">
      <c r="A139" s="29" t="s">
        <v>136</v>
      </c>
      <c r="B139" s="29" t="s">
        <v>137</v>
      </c>
      <c r="C139" s="39"/>
      <c r="D139" s="29"/>
    </row>
    <row r="140" spans="1:7">
      <c r="A140" s="322" t="s">
        <v>138</v>
      </c>
      <c r="B140" s="322" t="s">
        <v>139</v>
      </c>
      <c r="C140" s="323">
        <v>0.05</v>
      </c>
      <c r="D140" s="324">
        <f>ROUND(C140*$D$132,2)</f>
        <v>0</v>
      </c>
    </row>
    <row r="141" spans="1:7">
      <c r="A141" s="29" t="s">
        <v>140</v>
      </c>
      <c r="B141" s="29" t="s">
        <v>141</v>
      </c>
      <c r="C141" s="39"/>
      <c r="D141" s="29"/>
    </row>
    <row r="142" spans="1:7">
      <c r="A142" s="721" t="s">
        <v>21</v>
      </c>
      <c r="B142" s="722"/>
      <c r="C142" s="82">
        <f>+C141+C140+C138+C136+C135+C130+C129</f>
        <v>0.20250000000000001</v>
      </c>
      <c r="D142" s="24">
        <f>+D140+D138+D136+D135+D130+D129</f>
        <v>0</v>
      </c>
    </row>
    <row r="144" spans="1:7">
      <c r="A144" s="762" t="s">
        <v>142</v>
      </c>
      <c r="B144" s="762"/>
      <c r="C144" s="762"/>
      <c r="D144" s="762"/>
    </row>
    <row r="145" spans="1:5">
      <c r="A145" s="29" t="s">
        <v>4</v>
      </c>
      <c r="B145" s="755" t="s">
        <v>143</v>
      </c>
      <c r="C145" s="755"/>
      <c r="D145" s="22">
        <f>+D23</f>
        <v>0</v>
      </c>
    </row>
    <row r="146" spans="1:5">
      <c r="A146" s="29" t="s">
        <v>144</v>
      </c>
      <c r="B146" s="755" t="s">
        <v>145</v>
      </c>
      <c r="C146" s="755"/>
      <c r="D146" s="22">
        <f>+D68</f>
        <v>0</v>
      </c>
    </row>
    <row r="147" spans="1:5">
      <c r="A147" s="29" t="s">
        <v>9</v>
      </c>
      <c r="B147" s="755" t="s">
        <v>146</v>
      </c>
      <c r="C147" s="755"/>
      <c r="D147" s="22">
        <f>+D79</f>
        <v>0</v>
      </c>
    </row>
    <row r="148" spans="1:5">
      <c r="A148" s="29" t="s">
        <v>11</v>
      </c>
      <c r="B148" s="755" t="s">
        <v>147</v>
      </c>
      <c r="C148" s="755"/>
      <c r="D148" s="22">
        <f>+D111</f>
        <v>0</v>
      </c>
    </row>
    <row r="149" spans="1:5">
      <c r="A149" s="29" t="s">
        <v>37</v>
      </c>
      <c r="B149" s="755" t="s">
        <v>148</v>
      </c>
      <c r="C149" s="755"/>
      <c r="D149" s="22">
        <f>+D124</f>
        <v>0</v>
      </c>
    </row>
    <row r="150" spans="1:5">
      <c r="B150" s="763" t="s">
        <v>149</v>
      </c>
      <c r="C150" s="763"/>
      <c r="D150" s="83">
        <f>SUM(D145:D149)</f>
        <v>0</v>
      </c>
    </row>
    <row r="151" spans="1:5">
      <c r="A151" s="29" t="s">
        <v>39</v>
      </c>
      <c r="B151" s="755" t="s">
        <v>150</v>
      </c>
      <c r="C151" s="755"/>
      <c r="D151" s="22">
        <f>+D142</f>
        <v>0</v>
      </c>
    </row>
    <row r="153" spans="1:5">
      <c r="A153" s="764" t="s">
        <v>151</v>
      </c>
      <c r="B153" s="764"/>
      <c r="C153" s="764"/>
      <c r="D153" s="84">
        <f>ROUND(+D151+D150,2)</f>
        <v>0</v>
      </c>
    </row>
    <row r="155" spans="1:5">
      <c r="A155" s="87"/>
      <c r="B155" s="87"/>
      <c r="C155" s="87"/>
      <c r="D155" s="87"/>
      <c r="E155" s="87"/>
    </row>
    <row r="156" spans="1:5">
      <c r="A156" s="87"/>
      <c r="B156" s="87"/>
      <c r="C156" s="87"/>
      <c r="D156" s="87"/>
      <c r="E156" s="87"/>
    </row>
    <row r="157" spans="1:5">
      <c r="A157" s="87"/>
      <c r="B157" s="87"/>
      <c r="C157" s="87"/>
      <c r="D157" s="87"/>
      <c r="E157" s="87"/>
    </row>
    <row r="158" spans="1:5">
      <c r="A158" s="87"/>
      <c r="B158" s="87"/>
      <c r="C158" s="87"/>
      <c r="D158" s="87"/>
      <c r="E158" s="87"/>
    </row>
    <row r="159" spans="1:5">
      <c r="A159" s="87"/>
      <c r="B159" s="87"/>
      <c r="C159" s="87"/>
      <c r="D159" s="87"/>
      <c r="E159" s="87"/>
    </row>
    <row r="160" spans="1:5">
      <c r="A160" s="87"/>
      <c r="B160" s="87"/>
      <c r="C160" s="87"/>
      <c r="D160" s="87"/>
      <c r="E160" s="87"/>
    </row>
    <row r="161" spans="1:5">
      <c r="A161" s="87"/>
      <c r="B161" s="87"/>
      <c r="C161" s="87"/>
      <c r="D161" s="87"/>
      <c r="E161" s="87"/>
    </row>
    <row r="162" spans="1:5">
      <c r="A162" s="87"/>
      <c r="B162" s="87"/>
      <c r="C162" s="87"/>
      <c r="D162" s="87"/>
      <c r="E162" s="87"/>
    </row>
    <row r="163" spans="1:5">
      <c r="A163" s="87"/>
      <c r="B163" s="87"/>
      <c r="C163" s="87"/>
      <c r="D163" s="87"/>
      <c r="E163" s="87"/>
    </row>
    <row r="164" spans="1:5">
      <c r="A164" s="87"/>
      <c r="B164" s="87"/>
      <c r="C164" s="87"/>
      <c r="D164" s="87"/>
      <c r="E164" s="87"/>
    </row>
    <row r="165" spans="1:5">
      <c r="A165" s="87"/>
      <c r="B165" s="87"/>
      <c r="C165" s="87"/>
      <c r="D165" s="87"/>
      <c r="E165" s="87"/>
    </row>
    <row r="166" spans="1:5">
      <c r="A166" s="87"/>
      <c r="B166" s="87"/>
      <c r="C166" s="87"/>
      <c r="D166" s="87"/>
      <c r="E166" s="87"/>
    </row>
    <row r="167" spans="1:5">
      <c r="A167" s="87"/>
      <c r="B167" s="87"/>
      <c r="C167" s="87"/>
      <c r="D167" s="87"/>
      <c r="E167" s="87"/>
    </row>
  </sheetData>
  <mergeCells count="78">
    <mergeCell ref="B17:C17"/>
    <mergeCell ref="A1:D1"/>
    <mergeCell ref="A3:D3"/>
    <mergeCell ref="C4:D4"/>
    <mergeCell ref="C5:D5"/>
    <mergeCell ref="C6:D6"/>
    <mergeCell ref="C7:D7"/>
    <mergeCell ref="C8:D8"/>
    <mergeCell ref="A10:D10"/>
    <mergeCell ref="B12:C12"/>
    <mergeCell ref="B15:C15"/>
    <mergeCell ref="B16:C16"/>
    <mergeCell ref="A61:B61"/>
    <mergeCell ref="B18:C18"/>
    <mergeCell ref="B19:C19"/>
    <mergeCell ref="B21:C21"/>
    <mergeCell ref="B22:C22"/>
    <mergeCell ref="A23:C23"/>
    <mergeCell ref="A25:D25"/>
    <mergeCell ref="A27:D27"/>
    <mergeCell ref="A33:C33"/>
    <mergeCell ref="A35:D35"/>
    <mergeCell ref="A47:D47"/>
    <mergeCell ref="B59:C59"/>
    <mergeCell ref="B85:C85"/>
    <mergeCell ref="A63:D63"/>
    <mergeCell ref="B64:C64"/>
    <mergeCell ref="B65:C65"/>
    <mergeCell ref="B66:C66"/>
    <mergeCell ref="B67:C67"/>
    <mergeCell ref="A68:C68"/>
    <mergeCell ref="A70:D70"/>
    <mergeCell ref="A79:C79"/>
    <mergeCell ref="A81:D81"/>
    <mergeCell ref="A83:D83"/>
    <mergeCell ref="B84:C84"/>
    <mergeCell ref="B98:C98"/>
    <mergeCell ref="B86:C86"/>
    <mergeCell ref="B87:C87"/>
    <mergeCell ref="B88:C88"/>
    <mergeCell ref="B89:C89"/>
    <mergeCell ref="B90:C90"/>
    <mergeCell ref="B91:C91"/>
    <mergeCell ref="B92:C92"/>
    <mergeCell ref="A93:C93"/>
    <mergeCell ref="B95:C95"/>
    <mergeCell ref="B96:C96"/>
    <mergeCell ref="B97:C97"/>
    <mergeCell ref="B115:C115"/>
    <mergeCell ref="B99:C99"/>
    <mergeCell ref="A100:C100"/>
    <mergeCell ref="B102:C102"/>
    <mergeCell ref="B103:C103"/>
    <mergeCell ref="A104:C104"/>
    <mergeCell ref="B107:C107"/>
    <mergeCell ref="B108:C108"/>
    <mergeCell ref="B109:C109"/>
    <mergeCell ref="B110:C110"/>
    <mergeCell ref="A111:C111"/>
    <mergeCell ref="A113:D113"/>
    <mergeCell ref="A153:C153"/>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47:C147"/>
    <mergeCell ref="B148:C148"/>
    <mergeCell ref="B149:C149"/>
    <mergeCell ref="B150:C150"/>
    <mergeCell ref="B151:C151"/>
  </mergeCells>
  <pageMargins left="1.17" right="0.24" top="0.43" bottom="0.65" header="0.31496062992125984" footer="0.31496062992125984"/>
  <pageSetup paperSize="9" scale="85" orientation="portrait" r:id="rId1"/>
  <headerFoot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6"/>
  <sheetViews>
    <sheetView tabSelected="1" workbookViewId="0">
      <selection activeCell="A24" sqref="A24"/>
    </sheetView>
  </sheetViews>
  <sheetFormatPr defaultColWidth="9" defaultRowHeight="10.199999999999999"/>
  <cols>
    <col min="1" max="1" width="9" style="119"/>
    <col min="2" max="2" width="10.6328125" style="119" customWidth="1"/>
    <col min="3" max="3" width="27.26953125" style="119" customWidth="1"/>
    <col min="4" max="4" width="13.26953125" style="119" customWidth="1"/>
    <col min="5" max="5" width="11.90625" style="119" customWidth="1"/>
    <col min="6" max="6" width="10" style="119" customWidth="1"/>
    <col min="7" max="7" width="9" style="119"/>
    <col min="8" max="8" width="36.6328125" style="119" customWidth="1"/>
    <col min="9" max="9" width="9" style="119"/>
    <col min="10" max="10" width="10.453125" style="119" bestFit="1" customWidth="1"/>
    <col min="11" max="11" width="12.36328125" style="119" bestFit="1" customWidth="1"/>
    <col min="12" max="14" width="11.36328125" style="119" bestFit="1" customWidth="1"/>
    <col min="15" max="15" width="12.26953125" style="119" bestFit="1" customWidth="1"/>
    <col min="16" max="16" width="10.453125" style="119" bestFit="1" customWidth="1"/>
    <col min="17" max="18" width="11.36328125" style="119" bestFit="1" customWidth="1"/>
    <col min="19" max="19" width="11.26953125" style="119" customWidth="1"/>
    <col min="20" max="20" width="10.453125" style="119" bestFit="1" customWidth="1"/>
    <col min="21" max="21" width="11.6328125" style="119" bestFit="1" customWidth="1"/>
    <col min="22" max="22" width="10.6328125" style="119" bestFit="1" customWidth="1"/>
    <col min="23" max="23" width="15" style="119" customWidth="1"/>
    <col min="24" max="24" width="17.36328125" style="119" customWidth="1"/>
    <col min="25" max="25" width="9" style="119"/>
    <col min="26" max="26" width="10.453125" style="119" bestFit="1" customWidth="1"/>
    <col min="27" max="27" width="9.08984375" style="119" customWidth="1"/>
    <col min="28" max="28" width="11.08984375" style="119" hidden="1" customWidth="1"/>
    <col min="29" max="16384" width="9" style="119"/>
  </cols>
  <sheetData>
    <row r="1" spans="1:24" ht="32.4" thickBot="1">
      <c r="A1" s="164"/>
      <c r="B1" s="165" t="s">
        <v>279</v>
      </c>
      <c r="C1" s="165" t="s">
        <v>280</v>
      </c>
      <c r="D1" s="165" t="s">
        <v>281</v>
      </c>
      <c r="E1" s="165" t="s">
        <v>282</v>
      </c>
      <c r="F1" s="166" t="s">
        <v>283</v>
      </c>
      <c r="H1" s="690" t="s">
        <v>303</v>
      </c>
      <c r="I1" s="691"/>
      <c r="J1" s="691"/>
      <c r="K1" s="691"/>
      <c r="L1" s="691"/>
      <c r="M1" s="691"/>
      <c r="N1" s="691"/>
      <c r="O1" s="691"/>
      <c r="P1" s="691"/>
      <c r="Q1" s="691"/>
      <c r="R1" s="691"/>
      <c r="S1" s="691"/>
      <c r="T1" s="691"/>
      <c r="U1" s="691"/>
      <c r="V1" s="691"/>
      <c r="W1" s="691"/>
      <c r="X1" s="692"/>
    </row>
    <row r="2" spans="1:24" ht="10.8" thickBot="1">
      <c r="A2" s="693" t="s">
        <v>284</v>
      </c>
      <c r="B2" s="202" t="s">
        <v>76</v>
      </c>
      <c r="C2" s="180" t="s">
        <v>315</v>
      </c>
      <c r="D2" s="621">
        <v>600</v>
      </c>
      <c r="E2" s="167">
        <f>+I8+J8+K8+K16+J16+I16+I24+J24+K24</f>
        <v>47541</v>
      </c>
      <c r="F2" s="168">
        <f t="shared" ref="F2:F9" si="0">600/D2</f>
        <v>1</v>
      </c>
      <c r="H2" s="181"/>
      <c r="I2" s="181"/>
      <c r="J2" s="181"/>
      <c r="K2" s="181"/>
      <c r="L2" s="181"/>
      <c r="M2" s="181"/>
      <c r="N2" s="181"/>
      <c r="O2" s="181"/>
      <c r="P2" s="181"/>
      <c r="Q2" s="181"/>
      <c r="R2" s="181"/>
      <c r="S2" s="181"/>
      <c r="T2" s="181"/>
      <c r="U2" s="181"/>
      <c r="V2" s="181"/>
      <c r="W2" s="181"/>
      <c r="X2" s="181"/>
    </row>
    <row r="3" spans="1:24">
      <c r="A3" s="694"/>
      <c r="B3" s="201" t="s">
        <v>285</v>
      </c>
      <c r="C3" s="182" t="s">
        <v>316</v>
      </c>
      <c r="D3" s="622">
        <v>800</v>
      </c>
      <c r="E3" s="169">
        <f>+L8+M8+N8+L16+M16+N16+L24+M24+N24</f>
        <v>5999</v>
      </c>
      <c r="F3" s="168">
        <f t="shared" si="0"/>
        <v>0.75</v>
      </c>
      <c r="H3" s="213" t="s">
        <v>304</v>
      </c>
      <c r="I3" s="682" t="s">
        <v>305</v>
      </c>
      <c r="J3" s="683"/>
      <c r="K3" s="683"/>
      <c r="L3" s="683"/>
      <c r="M3" s="683"/>
      <c r="N3" s="683"/>
      <c r="O3" s="683"/>
      <c r="P3" s="683"/>
      <c r="Q3" s="683"/>
      <c r="R3" s="683"/>
      <c r="S3" s="683"/>
      <c r="T3" s="683"/>
      <c r="U3" s="683"/>
      <c r="V3" s="683"/>
      <c r="W3" s="683"/>
      <c r="X3" s="684"/>
    </row>
    <row r="4" spans="1:24">
      <c r="A4" s="694"/>
      <c r="B4" s="201" t="s">
        <v>286</v>
      </c>
      <c r="C4" s="182" t="s">
        <v>317</v>
      </c>
      <c r="D4" s="622"/>
      <c r="E4" s="169">
        <f>+E5+E6+E7+E8+E9</f>
        <v>34632</v>
      </c>
      <c r="F4" s="168"/>
      <c r="H4" s="214" t="s">
        <v>306</v>
      </c>
      <c r="I4" s="685" t="s">
        <v>337</v>
      </c>
      <c r="J4" s="686"/>
      <c r="K4" s="686"/>
      <c r="L4" s="686"/>
      <c r="M4" s="686"/>
      <c r="N4" s="686"/>
      <c r="O4" s="686"/>
      <c r="P4" s="686"/>
      <c r="Q4" s="686"/>
      <c r="R4" s="686"/>
      <c r="S4" s="686"/>
      <c r="T4" s="686"/>
      <c r="U4" s="686"/>
      <c r="V4" s="686"/>
      <c r="W4" s="686"/>
      <c r="X4" s="687"/>
    </row>
    <row r="5" spans="1:24">
      <c r="A5" s="694"/>
      <c r="B5" s="201" t="s">
        <v>327</v>
      </c>
      <c r="C5" s="182" t="s">
        <v>318</v>
      </c>
      <c r="D5" s="622">
        <v>2000</v>
      </c>
      <c r="E5" s="169">
        <f>+O8+O16+O24</f>
        <v>3041</v>
      </c>
      <c r="F5" s="168">
        <f t="shared" si="0"/>
        <v>0.3</v>
      </c>
      <c r="H5" s="214" t="s">
        <v>308</v>
      </c>
      <c r="I5" s="688" t="s">
        <v>76</v>
      </c>
      <c r="J5" s="660"/>
      <c r="K5" s="660"/>
      <c r="L5" s="660" t="s">
        <v>285</v>
      </c>
      <c r="M5" s="660"/>
      <c r="N5" s="660"/>
      <c r="O5" s="232" t="s">
        <v>322</v>
      </c>
      <c r="P5" s="232" t="s">
        <v>323</v>
      </c>
      <c r="Q5" s="232" t="s">
        <v>326</v>
      </c>
      <c r="R5" s="232" t="s">
        <v>324</v>
      </c>
      <c r="S5" s="232" t="s">
        <v>325</v>
      </c>
      <c r="T5" s="232" t="s">
        <v>57</v>
      </c>
      <c r="U5" s="232" t="s">
        <v>80</v>
      </c>
      <c r="V5" s="232" t="s">
        <v>132</v>
      </c>
      <c r="W5" s="660" t="s">
        <v>332</v>
      </c>
      <c r="X5" s="689" t="s">
        <v>333</v>
      </c>
    </row>
    <row r="6" spans="1:24">
      <c r="A6" s="694"/>
      <c r="B6" s="201" t="s">
        <v>328</v>
      </c>
      <c r="C6" s="182" t="s">
        <v>319</v>
      </c>
      <c r="D6" s="622">
        <v>2500</v>
      </c>
      <c r="E6" s="169">
        <f>+P8+P16+P24</f>
        <v>4649</v>
      </c>
      <c r="F6" s="168">
        <f t="shared" si="0"/>
        <v>0.24</v>
      </c>
      <c r="H6" s="215" t="s">
        <v>309</v>
      </c>
      <c r="I6" s="211" t="s">
        <v>314</v>
      </c>
      <c r="J6" s="207">
        <v>0.2</v>
      </c>
      <c r="K6" s="207">
        <v>0.4</v>
      </c>
      <c r="L6" s="206" t="s">
        <v>314</v>
      </c>
      <c r="M6" s="207">
        <v>0.2</v>
      </c>
      <c r="N6" s="207">
        <v>0.4</v>
      </c>
      <c r="O6" s="206" t="s">
        <v>314</v>
      </c>
      <c r="P6" s="206" t="s">
        <v>314</v>
      </c>
      <c r="Q6" s="206" t="s">
        <v>314</v>
      </c>
      <c r="R6" s="206" t="s">
        <v>314</v>
      </c>
      <c r="S6" s="206" t="s">
        <v>314</v>
      </c>
      <c r="T6" s="206" t="s">
        <v>314</v>
      </c>
      <c r="U6" s="206" t="s">
        <v>314</v>
      </c>
      <c r="V6" s="206" t="s">
        <v>314</v>
      </c>
      <c r="W6" s="660"/>
      <c r="X6" s="689"/>
    </row>
    <row r="7" spans="1:24" ht="12" thickBot="1">
      <c r="A7" s="694"/>
      <c r="B7" s="201" t="s">
        <v>329</v>
      </c>
      <c r="C7" s="182" t="s">
        <v>320</v>
      </c>
      <c r="D7" s="622">
        <v>1800</v>
      </c>
      <c r="E7" s="169">
        <f>+Q8+Q16+Q24</f>
        <v>20998</v>
      </c>
      <c r="F7" s="168">
        <f t="shared" si="0"/>
        <v>0.33333333333333331</v>
      </c>
      <c r="H7" s="216" t="s">
        <v>334</v>
      </c>
      <c r="I7" s="212"/>
      <c r="J7" s="208"/>
      <c r="K7" s="326">
        <f>+N32</f>
        <v>0</v>
      </c>
      <c r="L7" s="208"/>
      <c r="M7" s="326">
        <f>+N39</f>
        <v>0</v>
      </c>
      <c r="N7" s="326">
        <f>+N40</f>
        <v>0</v>
      </c>
      <c r="O7" s="208"/>
      <c r="P7" s="208"/>
      <c r="Q7" s="208"/>
      <c r="R7" s="208"/>
      <c r="S7" s="208"/>
      <c r="T7" s="208"/>
      <c r="U7" s="208"/>
      <c r="V7" s="208"/>
      <c r="W7" s="208"/>
      <c r="X7" s="209"/>
    </row>
    <row r="8" spans="1:24">
      <c r="A8" s="694"/>
      <c r="B8" s="201" t="s">
        <v>330</v>
      </c>
      <c r="C8" s="182" t="s">
        <v>321</v>
      </c>
      <c r="D8" s="622">
        <v>2000</v>
      </c>
      <c r="E8" s="169">
        <f>+R8+R16+R24</f>
        <v>5944</v>
      </c>
      <c r="F8" s="168">
        <f t="shared" si="0"/>
        <v>0.3</v>
      </c>
      <c r="H8" s="334" t="s">
        <v>335</v>
      </c>
      <c r="I8" s="222"/>
      <c r="J8" s="222"/>
      <c r="K8" s="222">
        <v>25149</v>
      </c>
      <c r="L8" s="222"/>
      <c r="M8" s="222">
        <v>5871</v>
      </c>
      <c r="N8" s="222">
        <v>128</v>
      </c>
      <c r="O8" s="222"/>
      <c r="P8" s="222"/>
      <c r="Q8" s="222"/>
      <c r="R8" s="222"/>
      <c r="S8" s="222"/>
      <c r="T8" s="222"/>
      <c r="U8" s="222"/>
      <c r="V8" s="222"/>
      <c r="W8" s="556">
        <f>ROUND(+(K8*K7)+(M8*M7)+(N8*N7),2)</f>
        <v>0</v>
      </c>
      <c r="X8" s="335">
        <f>+W8*12</f>
        <v>0</v>
      </c>
    </row>
    <row r="9" spans="1:24" ht="10.8" thickBot="1">
      <c r="A9" s="694"/>
      <c r="B9" s="201" t="s">
        <v>331</v>
      </c>
      <c r="C9" s="182" t="s">
        <v>287</v>
      </c>
      <c r="D9" s="622">
        <v>2500</v>
      </c>
      <c r="E9" s="169">
        <f>+S8+S16+S24</f>
        <v>0</v>
      </c>
      <c r="F9" s="168">
        <f t="shared" si="0"/>
        <v>0.24</v>
      </c>
      <c r="H9" s="331"/>
      <c r="I9" s="208"/>
      <c r="J9" s="208"/>
      <c r="K9" s="326">
        <f>+K8*K7</f>
        <v>0</v>
      </c>
      <c r="L9" s="326"/>
      <c r="M9" s="326">
        <f>+M8*M7</f>
        <v>0</v>
      </c>
      <c r="N9" s="326">
        <f>+N8*N7</f>
        <v>0</v>
      </c>
      <c r="O9" s="208"/>
      <c r="P9" s="208"/>
      <c r="Q9" s="208"/>
      <c r="R9" s="208"/>
      <c r="S9" s="208"/>
      <c r="T9" s="208"/>
      <c r="U9" s="208"/>
      <c r="V9" s="208"/>
      <c r="W9" s="208"/>
      <c r="X9" s="209"/>
    </row>
    <row r="10" spans="1:24" ht="10.8" thickBot="1">
      <c r="A10" s="200" t="s">
        <v>288</v>
      </c>
      <c r="B10" s="201" t="s">
        <v>57</v>
      </c>
      <c r="C10" s="183" t="s">
        <v>289</v>
      </c>
      <c r="D10" s="622">
        <v>5950</v>
      </c>
      <c r="E10" s="169">
        <f>+T8+T16+T24</f>
        <v>7895</v>
      </c>
      <c r="F10" s="168">
        <f>600/D10</f>
        <v>0.10084033613445378</v>
      </c>
      <c r="H10" s="210"/>
    </row>
    <row r="11" spans="1:24">
      <c r="A11" s="695" t="s">
        <v>290</v>
      </c>
      <c r="B11" s="203" t="s">
        <v>80</v>
      </c>
      <c r="C11" s="182" t="s">
        <v>291</v>
      </c>
      <c r="D11" s="622">
        <v>380</v>
      </c>
      <c r="E11" s="169">
        <f>+U8+U16+U24</f>
        <v>29208</v>
      </c>
      <c r="F11" s="168"/>
      <c r="H11" s="213" t="s">
        <v>304</v>
      </c>
      <c r="I11" s="682" t="s">
        <v>305</v>
      </c>
      <c r="J11" s="683"/>
      <c r="K11" s="683"/>
      <c r="L11" s="683"/>
      <c r="M11" s="683"/>
      <c r="N11" s="683"/>
      <c r="O11" s="683"/>
      <c r="P11" s="683"/>
      <c r="Q11" s="683"/>
      <c r="R11" s="683"/>
      <c r="S11" s="683"/>
      <c r="T11" s="683"/>
      <c r="U11" s="683"/>
      <c r="V11" s="683"/>
      <c r="W11" s="683"/>
      <c r="X11" s="684"/>
    </row>
    <row r="12" spans="1:24" ht="12" customHeight="1" thickBot="1">
      <c r="A12" s="696"/>
      <c r="B12" s="204" t="s">
        <v>132</v>
      </c>
      <c r="C12" s="184" t="s">
        <v>292</v>
      </c>
      <c r="D12" s="623">
        <v>380</v>
      </c>
      <c r="E12" s="170">
        <f>+V8+V16+V24</f>
        <v>7571</v>
      </c>
      <c r="F12" s="171"/>
      <c r="H12" s="214" t="s">
        <v>306</v>
      </c>
      <c r="I12" s="685" t="s">
        <v>336</v>
      </c>
      <c r="J12" s="686"/>
      <c r="K12" s="686"/>
      <c r="L12" s="686"/>
      <c r="M12" s="686"/>
      <c r="N12" s="686"/>
      <c r="O12" s="686"/>
      <c r="P12" s="686"/>
      <c r="Q12" s="686"/>
      <c r="R12" s="686"/>
      <c r="S12" s="686"/>
      <c r="T12" s="686"/>
      <c r="U12" s="686"/>
      <c r="V12" s="686"/>
      <c r="W12" s="686"/>
      <c r="X12" s="687"/>
    </row>
    <row r="13" spans="1:24" ht="10.8" thickBot="1">
      <c r="A13" s="172"/>
      <c r="C13" s="173" t="s">
        <v>293</v>
      </c>
      <c r="D13" s="174"/>
      <c r="E13" s="175">
        <f>+E12+E11+E10+E4+E3+E2</f>
        <v>132846</v>
      </c>
      <c r="H13" s="214" t="s">
        <v>308</v>
      </c>
      <c r="I13" s="688" t="s">
        <v>76</v>
      </c>
      <c r="J13" s="660"/>
      <c r="K13" s="660"/>
      <c r="L13" s="660" t="s">
        <v>285</v>
      </c>
      <c r="M13" s="660"/>
      <c r="N13" s="660"/>
      <c r="O13" s="232" t="s">
        <v>322</v>
      </c>
      <c r="P13" s="232" t="s">
        <v>323</v>
      </c>
      <c r="Q13" s="232" t="s">
        <v>326</v>
      </c>
      <c r="R13" s="232" t="s">
        <v>324</v>
      </c>
      <c r="S13" s="232" t="s">
        <v>325</v>
      </c>
      <c r="T13" s="232" t="s">
        <v>57</v>
      </c>
      <c r="U13" s="232" t="s">
        <v>80</v>
      </c>
      <c r="V13" s="232" t="s">
        <v>132</v>
      </c>
      <c r="W13" s="660" t="s">
        <v>332</v>
      </c>
      <c r="X13" s="689" t="s">
        <v>333</v>
      </c>
    </row>
    <row r="14" spans="1:24" ht="10.8" thickBot="1">
      <c r="H14" s="215" t="s">
        <v>309</v>
      </c>
      <c r="I14" s="211" t="s">
        <v>314</v>
      </c>
      <c r="J14" s="207">
        <v>0.2</v>
      </c>
      <c r="K14" s="207">
        <v>0.4</v>
      </c>
      <c r="L14" s="206" t="s">
        <v>314</v>
      </c>
      <c r="M14" s="207">
        <v>0.2</v>
      </c>
      <c r="N14" s="207">
        <v>0.4</v>
      </c>
      <c r="O14" s="206" t="s">
        <v>314</v>
      </c>
      <c r="P14" s="206" t="s">
        <v>314</v>
      </c>
      <c r="Q14" s="206" t="s">
        <v>314</v>
      </c>
      <c r="R14" s="206" t="s">
        <v>314</v>
      </c>
      <c r="S14" s="206" t="s">
        <v>314</v>
      </c>
      <c r="T14" s="206" t="s">
        <v>314</v>
      </c>
      <c r="U14" s="206" t="s">
        <v>314</v>
      </c>
      <c r="V14" s="206" t="s">
        <v>314</v>
      </c>
      <c r="W14" s="660"/>
      <c r="X14" s="689"/>
    </row>
    <row r="15" spans="1:24" ht="12" thickBot="1">
      <c r="A15" s="697" t="s">
        <v>509</v>
      </c>
      <c r="B15" s="698"/>
      <c r="C15" s="698"/>
      <c r="D15" s="699"/>
      <c r="H15" s="216" t="s">
        <v>334</v>
      </c>
      <c r="I15" s="212"/>
      <c r="J15" s="208"/>
      <c r="K15" s="326">
        <f>+N35</f>
        <v>0</v>
      </c>
      <c r="L15" s="208"/>
      <c r="M15" s="208"/>
      <c r="N15" s="208"/>
      <c r="O15" s="208"/>
      <c r="P15" s="208"/>
      <c r="Q15" s="208"/>
      <c r="R15" s="208"/>
      <c r="S15" s="208"/>
      <c r="T15" s="208"/>
      <c r="U15" s="208"/>
      <c r="V15" s="208"/>
      <c r="W15" s="208"/>
      <c r="X15" s="209"/>
    </row>
    <row r="16" spans="1:24">
      <c r="A16" s="705" t="s">
        <v>508</v>
      </c>
      <c r="B16" s="706"/>
      <c r="C16" s="706"/>
      <c r="D16" s="707"/>
      <c r="H16" s="332" t="s">
        <v>335</v>
      </c>
      <c r="I16" s="220"/>
      <c r="J16" s="220"/>
      <c r="K16" s="220">
        <v>22104</v>
      </c>
      <c r="L16" s="220"/>
      <c r="M16" s="220"/>
      <c r="N16" s="220"/>
      <c r="O16" s="220"/>
      <c r="P16" s="220"/>
      <c r="Q16" s="220"/>
      <c r="R16" s="220"/>
      <c r="S16" s="220"/>
      <c r="T16" s="220"/>
      <c r="U16" s="220"/>
      <c r="V16" s="220"/>
      <c r="W16" s="327">
        <f>ROUND(+K16*K15,2)</f>
        <v>0</v>
      </c>
      <c r="X16" s="333">
        <f>+W16*12</f>
        <v>0</v>
      </c>
    </row>
    <row r="17" spans="1:28" ht="10.8" thickBot="1">
      <c r="A17" s="702"/>
      <c r="B17" s="703"/>
      <c r="C17" s="703"/>
      <c r="D17" s="704"/>
      <c r="F17" s="226"/>
      <c r="H17" s="331"/>
      <c r="I17" s="208"/>
      <c r="J17" s="208"/>
      <c r="K17" s="326">
        <f>+K16*K15</f>
        <v>0</v>
      </c>
      <c r="L17" s="208"/>
      <c r="M17" s="208"/>
      <c r="N17" s="208"/>
      <c r="O17" s="208"/>
      <c r="P17" s="208"/>
      <c r="Q17" s="208"/>
      <c r="R17" s="208"/>
      <c r="S17" s="208"/>
      <c r="T17" s="208"/>
      <c r="U17" s="208"/>
      <c r="V17" s="208"/>
      <c r="W17" s="208"/>
      <c r="X17" s="209"/>
    </row>
    <row r="18" spans="1:28" ht="10.8" thickBot="1">
      <c r="A18" s="708" t="s">
        <v>506</v>
      </c>
      <c r="B18" s="709"/>
      <c r="C18" s="709"/>
      <c r="D18" s="710"/>
      <c r="H18" s="210"/>
    </row>
    <row r="19" spans="1:28" ht="13.5" customHeight="1" thickBot="1">
      <c r="A19" s="711" t="s">
        <v>507</v>
      </c>
      <c r="B19" s="712"/>
      <c r="C19" s="712"/>
      <c r="D19" s="713"/>
      <c r="H19" s="213" t="s">
        <v>304</v>
      </c>
      <c r="I19" s="682" t="s">
        <v>305</v>
      </c>
      <c r="J19" s="683"/>
      <c r="K19" s="683"/>
      <c r="L19" s="683"/>
      <c r="M19" s="683"/>
      <c r="N19" s="683"/>
      <c r="O19" s="683"/>
      <c r="P19" s="683"/>
      <c r="Q19" s="683"/>
      <c r="R19" s="683"/>
      <c r="S19" s="683"/>
      <c r="T19" s="683"/>
      <c r="U19" s="683"/>
      <c r="V19" s="683"/>
      <c r="W19" s="683"/>
      <c r="X19" s="684"/>
    </row>
    <row r="20" spans="1:28" ht="11.4">
      <c r="A20" s="178" t="s">
        <v>294</v>
      </c>
      <c r="H20" s="214" t="s">
        <v>306</v>
      </c>
      <c r="I20" s="685" t="s">
        <v>307</v>
      </c>
      <c r="J20" s="686"/>
      <c r="K20" s="686"/>
      <c r="L20" s="686"/>
      <c r="M20" s="686"/>
      <c r="N20" s="686"/>
      <c r="O20" s="686"/>
      <c r="P20" s="686"/>
      <c r="Q20" s="686"/>
      <c r="R20" s="686"/>
      <c r="S20" s="686"/>
      <c r="T20" s="686"/>
      <c r="U20" s="686"/>
      <c r="V20" s="686"/>
      <c r="W20" s="686"/>
      <c r="X20" s="687"/>
    </row>
    <row r="21" spans="1:28" ht="10.8" thickBot="1">
      <c r="H21" s="214" t="s">
        <v>308</v>
      </c>
      <c r="I21" s="688" t="s">
        <v>76</v>
      </c>
      <c r="J21" s="660"/>
      <c r="K21" s="660"/>
      <c r="L21" s="660" t="s">
        <v>285</v>
      </c>
      <c r="M21" s="660"/>
      <c r="N21" s="660"/>
      <c r="O21" s="232" t="s">
        <v>322</v>
      </c>
      <c r="P21" s="232" t="s">
        <v>323</v>
      </c>
      <c r="Q21" s="232" t="s">
        <v>326</v>
      </c>
      <c r="R21" s="232" t="s">
        <v>324</v>
      </c>
      <c r="S21" s="232" t="s">
        <v>325</v>
      </c>
      <c r="T21" s="232" t="s">
        <v>57</v>
      </c>
      <c r="U21" s="232" t="s">
        <v>80</v>
      </c>
      <c r="V21" s="232" t="s">
        <v>132</v>
      </c>
      <c r="W21" s="660" t="s">
        <v>332</v>
      </c>
      <c r="X21" s="689" t="s">
        <v>333</v>
      </c>
    </row>
    <row r="22" spans="1:28">
      <c r="C22" s="697" t="s">
        <v>295</v>
      </c>
      <c r="D22" s="699"/>
      <c r="H22" s="215" t="s">
        <v>309</v>
      </c>
      <c r="I22" s="211" t="s">
        <v>314</v>
      </c>
      <c r="J22" s="207">
        <v>0.2</v>
      </c>
      <c r="K22" s="207">
        <v>0.4</v>
      </c>
      <c r="L22" s="206" t="s">
        <v>314</v>
      </c>
      <c r="M22" s="207">
        <v>0.2</v>
      </c>
      <c r="N22" s="207">
        <v>0.4</v>
      </c>
      <c r="O22" s="206" t="s">
        <v>314</v>
      </c>
      <c r="P22" s="206" t="s">
        <v>314</v>
      </c>
      <c r="Q22" s="206" t="s">
        <v>314</v>
      </c>
      <c r="R22" s="206" t="s">
        <v>314</v>
      </c>
      <c r="S22" s="206" t="s">
        <v>314</v>
      </c>
      <c r="T22" s="206" t="s">
        <v>314</v>
      </c>
      <c r="U22" s="206" t="s">
        <v>314</v>
      </c>
      <c r="V22" s="206" t="s">
        <v>314</v>
      </c>
      <c r="W22" s="660"/>
      <c r="X22" s="689"/>
    </row>
    <row r="23" spans="1:28" ht="12" thickBot="1">
      <c r="A23" s="186"/>
      <c r="B23" s="187"/>
      <c r="C23" s="700" t="s">
        <v>310</v>
      </c>
      <c r="D23" s="701"/>
      <c r="H23" s="216" t="s">
        <v>334</v>
      </c>
      <c r="I23" s="212"/>
      <c r="J23" s="208"/>
      <c r="K23" s="326">
        <f>+N29</f>
        <v>0</v>
      </c>
      <c r="L23" s="208"/>
      <c r="M23" s="208"/>
      <c r="N23" s="208"/>
      <c r="O23" s="326">
        <f>+N44</f>
        <v>0</v>
      </c>
      <c r="P23" s="326">
        <f>+N48</f>
        <v>0</v>
      </c>
      <c r="Q23" s="326">
        <f>+N52</f>
        <v>0</v>
      </c>
      <c r="R23" s="326">
        <f>+N56</f>
        <v>0</v>
      </c>
      <c r="S23" s="326">
        <f>+N60</f>
        <v>0</v>
      </c>
      <c r="T23" s="326">
        <f>+N64</f>
        <v>0</v>
      </c>
      <c r="U23" s="326">
        <f>+N68</f>
        <v>0</v>
      </c>
      <c r="V23" s="326">
        <f>+N72</f>
        <v>0</v>
      </c>
      <c r="W23" s="208"/>
      <c r="X23" s="209"/>
    </row>
    <row r="24" spans="1:28">
      <c r="A24" s="188"/>
      <c r="B24" s="189"/>
      <c r="C24" s="190" t="s">
        <v>296</v>
      </c>
      <c r="D24" s="191">
        <f>1/D11</f>
        <v>2.631578947368421E-3</v>
      </c>
      <c r="H24" s="329" t="s">
        <v>335</v>
      </c>
      <c r="I24" s="218"/>
      <c r="J24" s="218"/>
      <c r="K24" s="218">
        <v>288</v>
      </c>
      <c r="L24" s="218"/>
      <c r="M24" s="218"/>
      <c r="N24" s="218"/>
      <c r="O24" s="218">
        <v>3041</v>
      </c>
      <c r="P24" s="218">
        <v>4649</v>
      </c>
      <c r="Q24" s="218">
        <v>20998</v>
      </c>
      <c r="R24" s="218">
        <v>5944</v>
      </c>
      <c r="S24" s="218"/>
      <c r="T24" s="218">
        <v>7895</v>
      </c>
      <c r="U24" s="218">
        <v>29208</v>
      </c>
      <c r="V24" s="218">
        <v>7571</v>
      </c>
      <c r="W24" s="328">
        <f>ROUND(+(V24*V23)+(U24*U23)+(T24*T23)+(S24*S23)+(R24*R23)+(Q24*Q23)+(P24*P23)+(O24*O23)+(K24*K23),2)</f>
        <v>0</v>
      </c>
      <c r="X24" s="330">
        <f>+W24*12</f>
        <v>0</v>
      </c>
      <c r="AB24" s="555">
        <f>+W24+W16+W8</f>
        <v>0</v>
      </c>
    </row>
    <row r="25" spans="1:28" ht="10.8" thickBot="1">
      <c r="A25" s="188"/>
      <c r="B25" s="189"/>
      <c r="C25" s="190" t="s">
        <v>297</v>
      </c>
      <c r="D25" s="191">
        <v>16</v>
      </c>
      <c r="H25" s="331"/>
      <c r="I25" s="208"/>
      <c r="J25" s="208"/>
      <c r="K25" s="326">
        <f>+K24*K23</f>
        <v>0</v>
      </c>
      <c r="L25" s="326"/>
      <c r="M25" s="326"/>
      <c r="N25" s="326"/>
      <c r="O25" s="326">
        <f>+O24*O23</f>
        <v>0</v>
      </c>
      <c r="P25" s="326">
        <f>+P24*P23</f>
        <v>0</v>
      </c>
      <c r="Q25" s="326">
        <f>+Q24*Q23</f>
        <v>0</v>
      </c>
      <c r="R25" s="326">
        <f>+R24*R23</f>
        <v>0</v>
      </c>
      <c r="S25" s="326"/>
      <c r="T25" s="326">
        <f>+T24*T23</f>
        <v>0</v>
      </c>
      <c r="U25" s="326">
        <f>+U24*U23</f>
        <v>0</v>
      </c>
      <c r="V25" s="326">
        <f>+V24*V23</f>
        <v>0</v>
      </c>
      <c r="W25" s="208"/>
      <c r="X25" s="209"/>
    </row>
    <row r="26" spans="1:28" ht="10.8" thickBot="1">
      <c r="A26" s="188"/>
      <c r="B26" s="189"/>
      <c r="C26" s="190" t="s">
        <v>298</v>
      </c>
      <c r="D26" s="191">
        <f>1/188.76</f>
        <v>5.2977325704598437E-3</v>
      </c>
    </row>
    <row r="27" spans="1:28" ht="20.399999999999999">
      <c r="A27" s="188"/>
      <c r="B27" s="189"/>
      <c r="C27" s="190" t="s">
        <v>299</v>
      </c>
      <c r="D27" s="191">
        <f>+D26*D25*D24</f>
        <v>2.2306242401936183E-4</v>
      </c>
      <c r="H27" s="355" t="s">
        <v>338</v>
      </c>
      <c r="I27" s="356" t="s">
        <v>341</v>
      </c>
      <c r="J27" s="357" t="s">
        <v>342</v>
      </c>
      <c r="K27" s="357" t="s">
        <v>463</v>
      </c>
      <c r="L27" s="358" t="s">
        <v>466</v>
      </c>
      <c r="M27" s="358" t="s">
        <v>464</v>
      </c>
      <c r="N27" s="359" t="s">
        <v>465</v>
      </c>
      <c r="R27" s="596"/>
      <c r="S27" s="597"/>
      <c r="U27" s="676" t="s">
        <v>477</v>
      </c>
      <c r="V27" s="676"/>
      <c r="W27" s="557">
        <f>+W24+W16+W8</f>
        <v>0</v>
      </c>
      <c r="X27" s="557">
        <f>+X24+X16+X8</f>
        <v>0</v>
      </c>
    </row>
    <row r="28" spans="1:28">
      <c r="A28" s="192"/>
      <c r="B28" s="189"/>
      <c r="C28" s="193"/>
      <c r="D28" s="177"/>
      <c r="H28" s="343" t="s">
        <v>339</v>
      </c>
      <c r="I28" s="347">
        <f>+$D$2</f>
        <v>600</v>
      </c>
      <c r="J28" s="272">
        <f>+'Encarregado 44h Seg Sex'!$D$154</f>
        <v>0</v>
      </c>
      <c r="K28" s="360"/>
      <c r="L28" s="263">
        <f>+J28</f>
        <v>0</v>
      </c>
      <c r="M28" s="263">
        <f>ROUND(+L28/(I28*30),2)</f>
        <v>0</v>
      </c>
      <c r="N28" s="361"/>
    </row>
    <row r="29" spans="1:28">
      <c r="A29" s="188"/>
      <c r="B29" s="189"/>
      <c r="C29" s="185"/>
      <c r="D29" s="177"/>
      <c r="H29" s="343" t="s">
        <v>340</v>
      </c>
      <c r="I29" s="347">
        <f>+$D$2</f>
        <v>600</v>
      </c>
      <c r="J29" s="272">
        <f>+'Servente 44h 40% seg a sex'!$D$153</f>
        <v>0</v>
      </c>
      <c r="K29" s="272">
        <f>+$X$112</f>
        <v>0</v>
      </c>
      <c r="L29" s="272">
        <f>+(K29+J29)</f>
        <v>0</v>
      </c>
      <c r="M29" s="263">
        <f>ROUND(+L29/I29,2)</f>
        <v>0</v>
      </c>
      <c r="N29" s="348">
        <f>ROUND(+M29+M28,2)</f>
        <v>0</v>
      </c>
      <c r="V29" s="223"/>
    </row>
    <row r="30" spans="1:28" ht="11.4">
      <c r="A30" s="194"/>
      <c r="B30" s="195"/>
      <c r="C30" s="700" t="s">
        <v>311</v>
      </c>
      <c r="D30" s="701"/>
      <c r="H30" s="185"/>
      <c r="I30" s="349"/>
      <c r="J30" s="350"/>
      <c r="K30" s="176"/>
      <c r="L30" s="176"/>
      <c r="M30" s="176"/>
      <c r="N30" s="177"/>
      <c r="V30" s="223"/>
    </row>
    <row r="31" spans="1:28">
      <c r="C31" s="190" t="s">
        <v>300</v>
      </c>
      <c r="D31" s="196">
        <f>1/(+D11*30)</f>
        <v>8.7719298245614029E-5</v>
      </c>
      <c r="H31" s="343" t="s">
        <v>343</v>
      </c>
      <c r="I31" s="347">
        <f>+$D$2</f>
        <v>600</v>
      </c>
      <c r="J31" s="272">
        <f>+'Encarregado 12 36 Diurno'!$D$154</f>
        <v>0</v>
      </c>
      <c r="K31" s="360"/>
      <c r="L31" s="263">
        <f>+J31*2</f>
        <v>0</v>
      </c>
      <c r="M31" s="263">
        <f>ROUND(+L31/(I31*30),2)</f>
        <v>0</v>
      </c>
      <c r="N31" s="361"/>
      <c r="V31" s="223"/>
    </row>
    <row r="32" spans="1:28">
      <c r="C32" s="190" t="s">
        <v>297</v>
      </c>
      <c r="D32" s="191">
        <v>16</v>
      </c>
      <c r="H32" s="343" t="s">
        <v>345</v>
      </c>
      <c r="I32" s="347">
        <f>+$D$2</f>
        <v>600</v>
      </c>
      <c r="J32" s="272">
        <f>+'Servente 12 36 40% Diurno'!$D$153</f>
        <v>0</v>
      </c>
      <c r="K32" s="272">
        <f>+$X$112</f>
        <v>0</v>
      </c>
      <c r="L32" s="272">
        <f>+(K32+J32)*2</f>
        <v>0</v>
      </c>
      <c r="M32" s="263">
        <f>ROUND(+L32/I32,2)</f>
        <v>0</v>
      </c>
      <c r="N32" s="348">
        <f>ROUND(+M32+M31,2)</f>
        <v>0</v>
      </c>
      <c r="U32" s="227"/>
      <c r="V32" s="223"/>
    </row>
    <row r="33" spans="1:21">
      <c r="C33" s="190" t="s">
        <v>298</v>
      </c>
      <c r="D33" s="191">
        <f>1/188.76</f>
        <v>5.2977325704598437E-3</v>
      </c>
      <c r="H33" s="185"/>
      <c r="I33" s="176"/>
      <c r="J33" s="176"/>
      <c r="K33" s="176"/>
      <c r="L33" s="176"/>
      <c r="M33" s="176"/>
      <c r="N33" s="177"/>
      <c r="U33" s="227"/>
    </row>
    <row r="34" spans="1:21" ht="10.8" thickBot="1">
      <c r="C34" s="197" t="s">
        <v>299</v>
      </c>
      <c r="D34" s="198">
        <f>+D33*D32*D31</f>
        <v>7.4354141339787274E-6</v>
      </c>
      <c r="H34" s="343" t="s">
        <v>455</v>
      </c>
      <c r="I34" s="347">
        <f>+$D$2</f>
        <v>600</v>
      </c>
      <c r="J34" s="272">
        <f>+'Encarregado 12 36 Noturno'!$D$154</f>
        <v>0</v>
      </c>
      <c r="K34" s="360"/>
      <c r="L34" s="263">
        <f>+J34*2</f>
        <v>0</v>
      </c>
      <c r="M34" s="263">
        <f>ROUND(+L34/(I34*30),2)</f>
        <v>0</v>
      </c>
      <c r="N34" s="361"/>
      <c r="U34" s="227"/>
    </row>
    <row r="35" spans="1:21" ht="10.8" thickBot="1">
      <c r="A35" s="179"/>
      <c r="H35" s="351" t="s">
        <v>456</v>
      </c>
      <c r="I35" s="352">
        <f>+$D$2</f>
        <v>600</v>
      </c>
      <c r="J35" s="353">
        <f>+'Servente 12 36 40% Noturno'!$D$153</f>
        <v>0</v>
      </c>
      <c r="K35" s="353">
        <f>+$X$112</f>
        <v>0</v>
      </c>
      <c r="L35" s="353">
        <f>+(K35+J35)*2</f>
        <v>0</v>
      </c>
      <c r="M35" s="277">
        <f>ROUND(+L35/I35,2)</f>
        <v>0</v>
      </c>
      <c r="N35" s="354">
        <f>ROUND(+M35+M34,2)</f>
        <v>0</v>
      </c>
      <c r="U35" s="227"/>
    </row>
    <row r="36" spans="1:21" ht="10.8" thickBot="1">
      <c r="A36" s="179"/>
      <c r="B36" s="179"/>
      <c r="C36" s="697" t="s">
        <v>301</v>
      </c>
      <c r="D36" s="699"/>
      <c r="U36" s="227"/>
    </row>
    <row r="37" spans="1:21" ht="20.399999999999999">
      <c r="A37" s="179"/>
      <c r="B37" s="179"/>
      <c r="C37" s="700" t="s">
        <v>312</v>
      </c>
      <c r="D37" s="701"/>
      <c r="H37" s="363" t="s">
        <v>467</v>
      </c>
      <c r="I37" s="364" t="s">
        <v>341</v>
      </c>
      <c r="J37" s="365" t="s">
        <v>342</v>
      </c>
      <c r="K37" s="365" t="s">
        <v>463</v>
      </c>
      <c r="L37" s="366" t="s">
        <v>466</v>
      </c>
      <c r="M37" s="366" t="s">
        <v>464</v>
      </c>
      <c r="N37" s="367" t="s">
        <v>465</v>
      </c>
    </row>
    <row r="38" spans="1:21">
      <c r="A38" s="179"/>
      <c r="B38" s="179"/>
      <c r="C38" s="190" t="s">
        <v>296</v>
      </c>
      <c r="D38" s="191">
        <f>1/D12</f>
        <v>2.631578947368421E-3</v>
      </c>
      <c r="H38" s="343" t="s">
        <v>343</v>
      </c>
      <c r="I38" s="347">
        <f>+$D$3</f>
        <v>800</v>
      </c>
      <c r="J38" s="272">
        <f>+'Encarregado 12 36 Diurno'!$D$154</f>
        <v>0</v>
      </c>
      <c r="K38" s="362"/>
      <c r="L38" s="263">
        <f>+J38*2</f>
        <v>0</v>
      </c>
      <c r="M38" s="263">
        <f>ROUND(+L38/(I38*30),2)</f>
        <v>0</v>
      </c>
      <c r="N38" s="368"/>
    </row>
    <row r="39" spans="1:21">
      <c r="A39" s="179"/>
      <c r="B39" s="179"/>
      <c r="C39" s="190" t="s">
        <v>297</v>
      </c>
      <c r="D39" s="191">
        <v>16</v>
      </c>
      <c r="H39" s="343" t="s">
        <v>344</v>
      </c>
      <c r="I39" s="347">
        <f>+$D$3</f>
        <v>800</v>
      </c>
      <c r="J39" s="272">
        <f>+'Servente 12 36 20% Diurno'!D153</f>
        <v>0</v>
      </c>
      <c r="K39" s="272">
        <f>+$X$112</f>
        <v>0</v>
      </c>
      <c r="L39" s="272">
        <f>+(K39+J39)*2</f>
        <v>0</v>
      </c>
      <c r="M39" s="263">
        <f>ROUND(+L39/I39,2)</f>
        <v>0</v>
      </c>
      <c r="N39" s="348">
        <f>ROUND(+M39+M38,2)</f>
        <v>0</v>
      </c>
    </row>
    <row r="40" spans="1:21" ht="10.8" thickBot="1">
      <c r="A40" s="179"/>
      <c r="B40" s="179"/>
      <c r="C40" s="190" t="s">
        <v>298</v>
      </c>
      <c r="D40" s="191">
        <f>1/188.76</f>
        <v>5.2977325704598437E-3</v>
      </c>
      <c r="H40" s="351" t="s">
        <v>345</v>
      </c>
      <c r="I40" s="352">
        <f>+$D$3</f>
        <v>800</v>
      </c>
      <c r="J40" s="353">
        <f>+'Servente 12 36 40% Diurno'!$D$153</f>
        <v>0</v>
      </c>
      <c r="K40" s="353">
        <f>+$X$112</f>
        <v>0</v>
      </c>
      <c r="L40" s="353">
        <f>+(K40+J40)*2</f>
        <v>0</v>
      </c>
      <c r="M40" s="277">
        <f>ROUND(+L40/I40,2)</f>
        <v>0</v>
      </c>
      <c r="N40" s="354">
        <f>ROUND(+M40+M38,2)</f>
        <v>0</v>
      </c>
    </row>
    <row r="41" spans="1:21" ht="10.8" thickBot="1">
      <c r="A41" s="179"/>
      <c r="B41" s="179"/>
      <c r="C41" s="190" t="s">
        <v>299</v>
      </c>
      <c r="D41" s="191">
        <f>+D40*D39*D38</f>
        <v>2.2306242401936183E-4</v>
      </c>
    </row>
    <row r="42" spans="1:21" ht="20.399999999999999">
      <c r="B42" s="179"/>
      <c r="C42" s="714" t="s">
        <v>313</v>
      </c>
      <c r="D42" s="715"/>
      <c r="H42" s="614" t="s">
        <v>468</v>
      </c>
      <c r="I42" s="615" t="s">
        <v>341</v>
      </c>
      <c r="J42" s="616" t="s">
        <v>342</v>
      </c>
      <c r="K42" s="616" t="s">
        <v>463</v>
      </c>
      <c r="L42" s="617" t="s">
        <v>466</v>
      </c>
      <c r="M42" s="617" t="s">
        <v>464</v>
      </c>
      <c r="N42" s="618" t="s">
        <v>465</v>
      </c>
    </row>
    <row r="43" spans="1:21">
      <c r="C43" s="199" t="s">
        <v>302</v>
      </c>
      <c r="D43" s="196">
        <f>1/(+D12*30)</f>
        <v>8.7719298245614029E-5</v>
      </c>
      <c r="H43" s="343" t="s">
        <v>339</v>
      </c>
      <c r="I43" s="347">
        <f>+$D$5</f>
        <v>2000</v>
      </c>
      <c r="J43" s="272">
        <f>+'Encarregado 44h Seg Sex'!$D$154</f>
        <v>0</v>
      </c>
      <c r="K43" s="369"/>
      <c r="L43" s="263">
        <f>+J43</f>
        <v>0</v>
      </c>
      <c r="M43" s="263">
        <f>ROUND(+L43/(I43*30),2)</f>
        <v>0</v>
      </c>
      <c r="N43" s="619"/>
    </row>
    <row r="44" spans="1:21" ht="10.8" thickBot="1">
      <c r="C44" s="190" t="s">
        <v>297</v>
      </c>
      <c r="D44" s="191">
        <v>16</v>
      </c>
      <c r="H44" s="351" t="s">
        <v>470</v>
      </c>
      <c r="I44" s="352">
        <f>+$D$5</f>
        <v>2000</v>
      </c>
      <c r="J44" s="353">
        <f>+'Servente 44h seg a sex'!$D$153</f>
        <v>0</v>
      </c>
      <c r="K44" s="353">
        <f>+$X$112</f>
        <v>0</v>
      </c>
      <c r="L44" s="353">
        <f>+(K44+J44)</f>
        <v>0</v>
      </c>
      <c r="M44" s="277">
        <f>ROUND(+L44/I44,2)</f>
        <v>0</v>
      </c>
      <c r="N44" s="354">
        <f>ROUND(+M44+M43,2)</f>
        <v>0</v>
      </c>
    </row>
    <row r="45" spans="1:21" ht="10.8" thickBot="1">
      <c r="C45" s="190" t="s">
        <v>298</v>
      </c>
      <c r="D45" s="191">
        <f>1/188.76</f>
        <v>5.2977325704598437E-3</v>
      </c>
      <c r="I45" s="223"/>
      <c r="J45" s="227"/>
      <c r="K45" s="227"/>
      <c r="L45" s="227"/>
      <c r="M45" s="245"/>
      <c r="N45" s="227"/>
    </row>
    <row r="46" spans="1:21" ht="21" thickBot="1">
      <c r="C46" s="197" t="s">
        <v>299</v>
      </c>
      <c r="D46" s="198">
        <f>+D45*D44*D43</f>
        <v>7.4354141339787274E-6</v>
      </c>
      <c r="H46" s="372" t="s">
        <v>469</v>
      </c>
      <c r="I46" s="373" t="s">
        <v>341</v>
      </c>
      <c r="J46" s="374" t="s">
        <v>342</v>
      </c>
      <c r="K46" s="374" t="s">
        <v>463</v>
      </c>
      <c r="L46" s="375" t="s">
        <v>466</v>
      </c>
      <c r="M46" s="375" t="s">
        <v>496</v>
      </c>
      <c r="N46" s="376" t="s">
        <v>497</v>
      </c>
    </row>
    <row r="47" spans="1:21">
      <c r="H47" s="343" t="s">
        <v>339</v>
      </c>
      <c r="I47" s="347">
        <f>+$D$6</f>
        <v>2500</v>
      </c>
      <c r="J47" s="272">
        <f>+'Encarregado 44h Seg Sex'!$D$154</f>
        <v>0</v>
      </c>
      <c r="K47" s="370"/>
      <c r="L47" s="263">
        <f>+J47</f>
        <v>0</v>
      </c>
      <c r="M47" s="263">
        <f>ROUND(+L47/(I47*30),2)</f>
        <v>0</v>
      </c>
      <c r="N47" s="371"/>
    </row>
    <row r="48" spans="1:21" ht="10.8" thickBot="1">
      <c r="H48" s="351" t="s">
        <v>470</v>
      </c>
      <c r="I48" s="352">
        <f>+$D$6</f>
        <v>2500</v>
      </c>
      <c r="J48" s="353">
        <f>+'Servente 44h seg a sex'!$D$153</f>
        <v>0</v>
      </c>
      <c r="K48" s="353">
        <f>+$X$112</f>
        <v>0</v>
      </c>
      <c r="L48" s="353">
        <f>+(K48+J48)</f>
        <v>0</v>
      </c>
      <c r="M48" s="277">
        <f>ROUND(+L48/I48,2)</f>
        <v>0</v>
      </c>
      <c r="N48" s="354">
        <f>ROUND(+M48+M47,2)</f>
        <v>0</v>
      </c>
    </row>
    <row r="49" spans="8:14" ht="10.8" thickBot="1"/>
    <row r="50" spans="8:14" ht="20.399999999999999">
      <c r="H50" s="377" t="s">
        <v>471</v>
      </c>
      <c r="I50" s="378" t="s">
        <v>341</v>
      </c>
      <c r="J50" s="379" t="s">
        <v>342</v>
      </c>
      <c r="K50" s="379" t="s">
        <v>463</v>
      </c>
      <c r="L50" s="380" t="s">
        <v>466</v>
      </c>
      <c r="M50" s="380" t="s">
        <v>496</v>
      </c>
      <c r="N50" s="381" t="s">
        <v>497</v>
      </c>
    </row>
    <row r="51" spans="8:14">
      <c r="H51" s="343" t="s">
        <v>339</v>
      </c>
      <c r="I51" s="347">
        <f>+$D$7</f>
        <v>1800</v>
      </c>
      <c r="J51" s="272">
        <f>+'Encarregado 44h Seg Sex'!$D$154</f>
        <v>0</v>
      </c>
      <c r="K51" s="382"/>
      <c r="L51" s="263">
        <f>+J51</f>
        <v>0</v>
      </c>
      <c r="M51" s="263">
        <f>ROUND(+L51/(I51*30),2)</f>
        <v>0</v>
      </c>
      <c r="N51" s="383"/>
    </row>
    <row r="52" spans="8:14" ht="10.8" thickBot="1">
      <c r="H52" s="351" t="s">
        <v>470</v>
      </c>
      <c r="I52" s="352">
        <f>+$D$7</f>
        <v>1800</v>
      </c>
      <c r="J52" s="353">
        <f>+'Servente 44h seg a sex'!$D$153</f>
        <v>0</v>
      </c>
      <c r="K52" s="353">
        <f>+$X$112</f>
        <v>0</v>
      </c>
      <c r="L52" s="353">
        <f>+(K52+J52)</f>
        <v>0</v>
      </c>
      <c r="M52" s="277">
        <f>ROUND(+L52/I52,2)</f>
        <v>0</v>
      </c>
      <c r="N52" s="354">
        <f>ROUND(+M52+M51,2)</f>
        <v>0</v>
      </c>
    </row>
    <row r="53" spans="8:14" ht="10.8" thickBot="1"/>
    <row r="54" spans="8:14" ht="20.399999999999999">
      <c r="H54" s="355" t="s">
        <v>472</v>
      </c>
      <c r="I54" s="356" t="s">
        <v>341</v>
      </c>
      <c r="J54" s="357" t="s">
        <v>342</v>
      </c>
      <c r="K54" s="357" t="s">
        <v>463</v>
      </c>
      <c r="L54" s="358" t="s">
        <v>466</v>
      </c>
      <c r="M54" s="358" t="s">
        <v>464</v>
      </c>
      <c r="N54" s="359" t="s">
        <v>465</v>
      </c>
    </row>
    <row r="55" spans="8:14">
      <c r="H55" s="343" t="s">
        <v>339</v>
      </c>
      <c r="I55" s="347">
        <f>+$D$8</f>
        <v>2000</v>
      </c>
      <c r="J55" s="272">
        <f>+'Encarregado 44h Seg Sex'!$D$154</f>
        <v>0</v>
      </c>
      <c r="K55" s="360"/>
      <c r="L55" s="263">
        <f>+J55</f>
        <v>0</v>
      </c>
      <c r="M55" s="263">
        <f>ROUND(+L55/(I55*30),2)</f>
        <v>0</v>
      </c>
      <c r="N55" s="361"/>
    </row>
    <row r="56" spans="8:14" ht="10.8" thickBot="1">
      <c r="H56" s="351" t="s">
        <v>470</v>
      </c>
      <c r="I56" s="352">
        <f>+$D$8</f>
        <v>2000</v>
      </c>
      <c r="J56" s="353">
        <f>+'Servente 44h seg a sex'!$D$153</f>
        <v>0</v>
      </c>
      <c r="K56" s="353">
        <f>+$X$112</f>
        <v>0</v>
      </c>
      <c r="L56" s="353">
        <f>+(K56+J56)</f>
        <v>0</v>
      </c>
      <c r="M56" s="277">
        <f>ROUND(+L56/I56,2)</f>
        <v>0</v>
      </c>
      <c r="N56" s="354">
        <f>ROUND(+M56+M55,2)</f>
        <v>0</v>
      </c>
    </row>
    <row r="57" spans="8:14" ht="10.8" thickBot="1"/>
    <row r="58" spans="8:14" ht="20.399999999999999">
      <c r="H58" s="363" t="s">
        <v>473</v>
      </c>
      <c r="I58" s="364" t="s">
        <v>341</v>
      </c>
      <c r="J58" s="365" t="s">
        <v>342</v>
      </c>
      <c r="K58" s="365" t="s">
        <v>463</v>
      </c>
      <c r="L58" s="366" t="s">
        <v>466</v>
      </c>
      <c r="M58" s="366" t="s">
        <v>464</v>
      </c>
      <c r="N58" s="367" t="s">
        <v>465</v>
      </c>
    </row>
    <row r="59" spans="8:14">
      <c r="H59" s="343" t="s">
        <v>339</v>
      </c>
      <c r="I59" s="347">
        <f>+$D$9</f>
        <v>2500</v>
      </c>
      <c r="J59" s="272">
        <f>+'Encarregado 44h Seg Sex'!$D$154</f>
        <v>0</v>
      </c>
      <c r="K59" s="362"/>
      <c r="L59" s="263">
        <f>+J59</f>
        <v>0</v>
      </c>
      <c r="M59" s="263">
        <f>ROUND(+L59/(I59*30),2)</f>
        <v>0</v>
      </c>
      <c r="N59" s="368"/>
    </row>
    <row r="60" spans="8:14" ht="10.8" thickBot="1">
      <c r="H60" s="351" t="s">
        <v>470</v>
      </c>
      <c r="I60" s="352">
        <f>+$D$9</f>
        <v>2500</v>
      </c>
      <c r="J60" s="353">
        <f>+'Servente 44h seg a sex'!$D$153</f>
        <v>0</v>
      </c>
      <c r="K60" s="353">
        <f>+$X$112</f>
        <v>0</v>
      </c>
      <c r="L60" s="353">
        <f>+(K60+J60)</f>
        <v>0</v>
      </c>
      <c r="M60" s="277">
        <f>ROUND(+L60/I60,2)</f>
        <v>0</v>
      </c>
      <c r="N60" s="354">
        <f>ROUND(+M60+M59,2)</f>
        <v>0</v>
      </c>
    </row>
    <row r="61" spans="8:14" ht="10.8" thickBot="1"/>
    <row r="62" spans="8:14" ht="20.399999999999999">
      <c r="H62" s="614" t="s">
        <v>474</v>
      </c>
      <c r="I62" s="615" t="s">
        <v>341</v>
      </c>
      <c r="J62" s="616" t="s">
        <v>342</v>
      </c>
      <c r="K62" s="616" t="s">
        <v>463</v>
      </c>
      <c r="L62" s="617" t="s">
        <v>466</v>
      </c>
      <c r="M62" s="617" t="s">
        <v>464</v>
      </c>
      <c r="N62" s="618" t="s">
        <v>465</v>
      </c>
    </row>
    <row r="63" spans="8:14">
      <c r="H63" s="343" t="s">
        <v>339</v>
      </c>
      <c r="I63" s="347">
        <f>+$D$10</f>
        <v>5950</v>
      </c>
      <c r="J63" s="272">
        <f>+'Encarregado 44h Seg Sex'!$D$154</f>
        <v>0</v>
      </c>
      <c r="K63" s="369"/>
      <c r="L63" s="263">
        <f>+J63</f>
        <v>0</v>
      </c>
      <c r="M63" s="263">
        <f>ROUND(+L63/(I63*30),2)</f>
        <v>0</v>
      </c>
      <c r="N63" s="619"/>
    </row>
    <row r="64" spans="8:14" ht="10.8" thickBot="1">
      <c r="H64" s="351" t="s">
        <v>470</v>
      </c>
      <c r="I64" s="352">
        <f>+$D$10</f>
        <v>5950</v>
      </c>
      <c r="J64" s="353">
        <f>+'Servente 44h seg a sex'!$D$153</f>
        <v>0</v>
      </c>
      <c r="K64" s="353">
        <f>+$X$112</f>
        <v>0</v>
      </c>
      <c r="L64" s="353">
        <f>+(K64+J64)</f>
        <v>0</v>
      </c>
      <c r="M64" s="277">
        <f>ROUND(+L64/I64,2)</f>
        <v>0</v>
      </c>
      <c r="N64" s="354">
        <f>ROUND(+M64+M63,2)</f>
        <v>0</v>
      </c>
    </row>
    <row r="65" spans="8:24" ht="10.8" thickBot="1"/>
    <row r="66" spans="8:24" ht="20.399999999999999">
      <c r="H66" s="372" t="s">
        <v>475</v>
      </c>
      <c r="I66" s="373" t="s">
        <v>341</v>
      </c>
      <c r="J66" s="374" t="s">
        <v>342</v>
      </c>
      <c r="K66" s="374" t="s">
        <v>463</v>
      </c>
      <c r="L66" s="375" t="s">
        <v>466</v>
      </c>
      <c r="M66" s="375" t="s">
        <v>496</v>
      </c>
      <c r="N66" s="376" t="s">
        <v>497</v>
      </c>
    </row>
    <row r="67" spans="8:24" ht="11.4">
      <c r="H67" s="343" t="s">
        <v>339</v>
      </c>
      <c r="I67" s="384" t="s">
        <v>498</v>
      </c>
      <c r="J67" s="272">
        <f>+'Encarregado 44h Seg Sex'!$D$154</f>
        <v>0</v>
      </c>
      <c r="K67" s="370"/>
      <c r="L67" s="272">
        <f>+'Encarregado 44h Seg Sex'!$D$154</f>
        <v>0</v>
      </c>
      <c r="M67" s="263">
        <f>+ROUND(+L67*D34,2)</f>
        <v>0</v>
      </c>
      <c r="N67" s="371"/>
    </row>
    <row r="68" spans="8:24" ht="12" thickBot="1">
      <c r="H68" s="351" t="s">
        <v>486</v>
      </c>
      <c r="I68" s="620" t="s">
        <v>499</v>
      </c>
      <c r="J68" s="353">
        <f>+'Limpador de  Vidro 44h '!$D$153</f>
        <v>0</v>
      </c>
      <c r="K68" s="353">
        <f>+$X$112</f>
        <v>0</v>
      </c>
      <c r="L68" s="353">
        <f>+(K68+J68)</f>
        <v>0</v>
      </c>
      <c r="M68" s="277">
        <f>+ROUND(+L68*D27,2)</f>
        <v>0</v>
      </c>
      <c r="N68" s="280">
        <f>ROUND(+M68+M67,2)</f>
        <v>0</v>
      </c>
      <c r="Q68" s="226"/>
    </row>
    <row r="69" spans="8:24" ht="10.8" thickBot="1"/>
    <row r="70" spans="8:24" ht="20.399999999999999">
      <c r="H70" s="377" t="s">
        <v>476</v>
      </c>
      <c r="I70" s="378" t="s">
        <v>341</v>
      </c>
      <c r="J70" s="379" t="s">
        <v>342</v>
      </c>
      <c r="K70" s="379" t="s">
        <v>463</v>
      </c>
      <c r="L70" s="380" t="s">
        <v>466</v>
      </c>
      <c r="M70" s="380" t="s">
        <v>496</v>
      </c>
      <c r="N70" s="381" t="s">
        <v>497</v>
      </c>
    </row>
    <row r="71" spans="8:24" ht="11.4">
      <c r="H71" s="343" t="s">
        <v>339</v>
      </c>
      <c r="I71" s="384" t="s">
        <v>500</v>
      </c>
      <c r="J71" s="272">
        <f>+'Encarregado 44h Seg Sex'!$D$154</f>
        <v>0</v>
      </c>
      <c r="K71" s="388"/>
      <c r="L71" s="272">
        <f>+'Encarregado 44h Seg Sex'!$D$154</f>
        <v>0</v>
      </c>
      <c r="M71" s="263">
        <f>+ROUND(+L71*D46,2)</f>
        <v>0</v>
      </c>
      <c r="N71" s="383"/>
      <c r="P71" s="226"/>
      <c r="Q71" s="223"/>
    </row>
    <row r="72" spans="8:24" ht="12" thickBot="1">
      <c r="H72" s="351" t="s">
        <v>486</v>
      </c>
      <c r="I72" s="620" t="s">
        <v>501</v>
      </c>
      <c r="J72" s="353">
        <f>+'Limpador de  Vidro 44h '!$D$153</f>
        <v>0</v>
      </c>
      <c r="K72" s="353">
        <f>+$X$112</f>
        <v>0</v>
      </c>
      <c r="L72" s="353">
        <f>+(K72+J72)</f>
        <v>0</v>
      </c>
      <c r="M72" s="277">
        <f>+ROUND(+L72*D41,2)</f>
        <v>0</v>
      </c>
      <c r="N72" s="280">
        <f>ROUND(+M72+M71,2)</f>
        <v>0</v>
      </c>
      <c r="Q72" s="226"/>
    </row>
    <row r="74" spans="8:24" ht="10.8" thickBot="1"/>
    <row r="75" spans="8:24" ht="10.8" thickBot="1">
      <c r="H75" s="690" t="s">
        <v>346</v>
      </c>
      <c r="I75" s="691"/>
      <c r="J75" s="691"/>
      <c r="K75" s="691"/>
      <c r="L75" s="691"/>
      <c r="M75" s="691"/>
      <c r="N75" s="691"/>
      <c r="O75" s="691"/>
      <c r="P75" s="691"/>
      <c r="Q75" s="691"/>
      <c r="R75" s="691"/>
      <c r="S75" s="691"/>
      <c r="T75" s="691"/>
      <c r="U75" s="691"/>
      <c r="V75" s="691"/>
      <c r="W75" s="691"/>
      <c r="X75" s="692"/>
    </row>
    <row r="76" spans="8:24" ht="10.8" thickBot="1">
      <c r="H76" s="181"/>
      <c r="I76" s="181"/>
      <c r="J76" s="181"/>
      <c r="K76" s="181"/>
      <c r="L76" s="181"/>
      <c r="M76" s="181"/>
      <c r="N76" s="181"/>
      <c r="O76" s="181"/>
      <c r="P76" s="181"/>
      <c r="Q76" s="181"/>
      <c r="R76" s="181"/>
      <c r="S76" s="181"/>
      <c r="T76" s="181"/>
      <c r="U76" s="181"/>
      <c r="V76" s="181"/>
      <c r="W76" s="181"/>
      <c r="X76" s="181"/>
    </row>
    <row r="77" spans="8:24">
      <c r="H77" s="213" t="s">
        <v>304</v>
      </c>
      <c r="I77" s="682" t="s">
        <v>305</v>
      </c>
      <c r="J77" s="683"/>
      <c r="K77" s="683"/>
      <c r="L77" s="683"/>
      <c r="M77" s="683"/>
      <c r="N77" s="683"/>
      <c r="O77" s="683"/>
      <c r="P77" s="683"/>
      <c r="Q77" s="683"/>
      <c r="R77" s="683"/>
      <c r="S77" s="683"/>
      <c r="T77" s="683"/>
      <c r="U77" s="683"/>
      <c r="V77" s="683"/>
      <c r="W77" s="683"/>
      <c r="X77" s="684"/>
    </row>
    <row r="78" spans="8:24">
      <c r="H78" s="214" t="s">
        <v>306</v>
      </c>
      <c r="I78" s="685" t="s">
        <v>337</v>
      </c>
      <c r="J78" s="686"/>
      <c r="K78" s="686"/>
      <c r="L78" s="686"/>
      <c r="M78" s="686"/>
      <c r="N78" s="686"/>
      <c r="O78" s="686"/>
      <c r="P78" s="686"/>
      <c r="Q78" s="686"/>
      <c r="R78" s="686"/>
      <c r="S78" s="686"/>
      <c r="T78" s="686"/>
      <c r="U78" s="686"/>
      <c r="V78" s="686"/>
      <c r="W78" s="686"/>
      <c r="X78" s="687"/>
    </row>
    <row r="79" spans="8:24">
      <c r="H79" s="214" t="s">
        <v>308</v>
      </c>
      <c r="I79" s="688" t="s">
        <v>76</v>
      </c>
      <c r="J79" s="660"/>
      <c r="K79" s="660"/>
      <c r="L79" s="660" t="s">
        <v>285</v>
      </c>
      <c r="M79" s="660"/>
      <c r="N79" s="660"/>
      <c r="O79" s="158" t="s">
        <v>322</v>
      </c>
      <c r="P79" s="158" t="s">
        <v>323</v>
      </c>
      <c r="Q79" s="158" t="s">
        <v>326</v>
      </c>
      <c r="R79" s="158" t="s">
        <v>324</v>
      </c>
      <c r="S79" s="158" t="s">
        <v>325</v>
      </c>
      <c r="T79" s="158" t="s">
        <v>57</v>
      </c>
      <c r="U79" s="158" t="s">
        <v>80</v>
      </c>
      <c r="V79" s="158" t="s">
        <v>132</v>
      </c>
      <c r="W79" s="660" t="s">
        <v>347</v>
      </c>
      <c r="X79" s="689" t="s">
        <v>348</v>
      </c>
    </row>
    <row r="80" spans="8:24">
      <c r="H80" s="215" t="s">
        <v>309</v>
      </c>
      <c r="I80" s="211" t="s">
        <v>314</v>
      </c>
      <c r="J80" s="207">
        <v>0.2</v>
      </c>
      <c r="K80" s="207">
        <v>0.4</v>
      </c>
      <c r="L80" s="206" t="s">
        <v>314</v>
      </c>
      <c r="M80" s="207">
        <v>0.2</v>
      </c>
      <c r="N80" s="207">
        <v>0.4</v>
      </c>
      <c r="O80" s="206" t="s">
        <v>314</v>
      </c>
      <c r="P80" s="206" t="s">
        <v>314</v>
      </c>
      <c r="Q80" s="206" t="s">
        <v>314</v>
      </c>
      <c r="R80" s="206" t="s">
        <v>314</v>
      </c>
      <c r="S80" s="206" t="s">
        <v>314</v>
      </c>
      <c r="T80" s="206" t="s">
        <v>314</v>
      </c>
      <c r="U80" s="206" t="s">
        <v>314</v>
      </c>
      <c r="V80" s="206" t="s">
        <v>314</v>
      </c>
      <c r="W80" s="660"/>
      <c r="X80" s="689"/>
    </row>
    <row r="81" spans="8:24" ht="12" thickBot="1">
      <c r="H81" s="216" t="s">
        <v>334</v>
      </c>
      <c r="I81" s="212"/>
      <c r="J81" s="208"/>
      <c r="K81" s="208"/>
      <c r="L81" s="208"/>
      <c r="M81" s="208"/>
      <c r="N81" s="208"/>
      <c r="O81" s="208"/>
      <c r="P81" s="208"/>
      <c r="Q81" s="208"/>
      <c r="R81" s="208"/>
      <c r="S81" s="208"/>
      <c r="T81" s="208"/>
      <c r="U81" s="208"/>
      <c r="V81" s="208"/>
      <c r="W81" s="208"/>
      <c r="X81" s="209"/>
    </row>
    <row r="82" spans="8:24">
      <c r="H82" s="221" t="s">
        <v>335</v>
      </c>
      <c r="I82" s="222">
        <f>ROUND(+I8*$F$2,0)</f>
        <v>0</v>
      </c>
      <c r="J82" s="222">
        <f>ROUND(+J8*$F$2,0)</f>
        <v>0</v>
      </c>
      <c r="K82" s="222">
        <f>ROUND(+K8*$F$2,0)</f>
        <v>25149</v>
      </c>
      <c r="L82" s="222">
        <f>ROUND(+L8*$F$3,0)</f>
        <v>0</v>
      </c>
      <c r="M82" s="222">
        <f>ROUND(+M8*$F$3,0)</f>
        <v>4403</v>
      </c>
      <c r="N82" s="222">
        <f>ROUND(+N8*$F$3,0)</f>
        <v>96</v>
      </c>
      <c r="O82" s="222">
        <f>ROUND(+O8*$F$5,0)</f>
        <v>0</v>
      </c>
      <c r="P82" s="222">
        <f>ROUND(+P8*$F$6,0)</f>
        <v>0</v>
      </c>
      <c r="Q82" s="222">
        <f>ROUND(+Q8*$F$7,0)</f>
        <v>0</v>
      </c>
      <c r="R82" s="222">
        <f>ROUND(+R8*$F$8,0)</f>
        <v>0</v>
      </c>
      <c r="S82" s="222">
        <f>ROUND(+S8*$F$9,0)</f>
        <v>0</v>
      </c>
      <c r="T82" s="222">
        <f>ROUND(+T8*$F$10,0)</f>
        <v>0</v>
      </c>
      <c r="U82" s="222"/>
      <c r="V82" s="222"/>
      <c r="W82" s="222">
        <f>SUM(I82:V82)</f>
        <v>29648</v>
      </c>
      <c r="X82" s="225">
        <f>ROUND((W82/600),0)*2</f>
        <v>98</v>
      </c>
    </row>
    <row r="83" spans="8:24">
      <c r="H83" s="205"/>
      <c r="I83" s="169"/>
      <c r="J83" s="169"/>
      <c r="K83" s="336">
        <f>ROUND(((K82+N82)/600),0)*2</f>
        <v>84</v>
      </c>
      <c r="L83" s="169"/>
      <c r="M83" s="336">
        <f>ROUND(((M82)/600),0)*2</f>
        <v>14</v>
      </c>
      <c r="N83" s="336"/>
      <c r="O83" s="169"/>
      <c r="P83" s="169"/>
      <c r="Q83" s="169"/>
      <c r="R83" s="169"/>
      <c r="S83" s="169"/>
      <c r="T83" s="169"/>
      <c r="U83" s="169"/>
      <c r="V83" s="169"/>
      <c r="W83" s="169"/>
      <c r="X83" s="169"/>
    </row>
    <row r="84" spans="8:24" ht="10.8" thickBot="1">
      <c r="H84" s="210"/>
    </row>
    <row r="85" spans="8:24">
      <c r="H85" s="213" t="s">
        <v>304</v>
      </c>
      <c r="I85" s="682" t="s">
        <v>305</v>
      </c>
      <c r="J85" s="683"/>
      <c r="K85" s="683"/>
      <c r="L85" s="683"/>
      <c r="M85" s="683"/>
      <c r="N85" s="683"/>
      <c r="O85" s="683"/>
      <c r="P85" s="683"/>
      <c r="Q85" s="683"/>
      <c r="R85" s="683"/>
      <c r="S85" s="683"/>
      <c r="T85" s="683"/>
      <c r="U85" s="683"/>
      <c r="V85" s="683"/>
      <c r="W85" s="683"/>
      <c r="X85" s="684"/>
    </row>
    <row r="86" spans="8:24">
      <c r="H86" s="214" t="s">
        <v>306</v>
      </c>
      <c r="I86" s="685" t="s">
        <v>336</v>
      </c>
      <c r="J86" s="686"/>
      <c r="K86" s="686"/>
      <c r="L86" s="686"/>
      <c r="M86" s="686"/>
      <c r="N86" s="686"/>
      <c r="O86" s="686"/>
      <c r="P86" s="686"/>
      <c r="Q86" s="686"/>
      <c r="R86" s="686"/>
      <c r="S86" s="686"/>
      <c r="T86" s="686"/>
      <c r="U86" s="686"/>
      <c r="V86" s="686"/>
      <c r="W86" s="686"/>
      <c r="X86" s="687"/>
    </row>
    <row r="87" spans="8:24">
      <c r="H87" s="214" t="s">
        <v>308</v>
      </c>
      <c r="I87" s="688" t="s">
        <v>76</v>
      </c>
      <c r="J87" s="660"/>
      <c r="K87" s="660"/>
      <c r="L87" s="660" t="s">
        <v>285</v>
      </c>
      <c r="M87" s="660"/>
      <c r="N87" s="660"/>
      <c r="O87" s="158" t="s">
        <v>322</v>
      </c>
      <c r="P87" s="158" t="s">
        <v>323</v>
      </c>
      <c r="Q87" s="158" t="s">
        <v>326</v>
      </c>
      <c r="R87" s="158" t="s">
        <v>324</v>
      </c>
      <c r="S87" s="158" t="s">
        <v>325</v>
      </c>
      <c r="T87" s="158" t="s">
        <v>57</v>
      </c>
      <c r="U87" s="158" t="s">
        <v>80</v>
      </c>
      <c r="V87" s="158" t="s">
        <v>132</v>
      </c>
      <c r="W87" s="660" t="s">
        <v>347</v>
      </c>
      <c r="X87" s="689" t="s">
        <v>348</v>
      </c>
    </row>
    <row r="88" spans="8:24">
      <c r="H88" s="215" t="s">
        <v>309</v>
      </c>
      <c r="I88" s="211" t="s">
        <v>314</v>
      </c>
      <c r="J88" s="207">
        <v>0.2</v>
      </c>
      <c r="K88" s="207">
        <v>0.4</v>
      </c>
      <c r="L88" s="206" t="s">
        <v>314</v>
      </c>
      <c r="M88" s="207">
        <v>0.2</v>
      </c>
      <c r="N88" s="207">
        <v>0.4</v>
      </c>
      <c r="O88" s="206" t="s">
        <v>314</v>
      </c>
      <c r="P88" s="206" t="s">
        <v>314</v>
      </c>
      <c r="Q88" s="206" t="s">
        <v>314</v>
      </c>
      <c r="R88" s="206" t="s">
        <v>314</v>
      </c>
      <c r="S88" s="206" t="s">
        <v>314</v>
      </c>
      <c r="T88" s="206" t="s">
        <v>314</v>
      </c>
      <c r="U88" s="206" t="s">
        <v>314</v>
      </c>
      <c r="V88" s="206" t="s">
        <v>314</v>
      </c>
      <c r="W88" s="660"/>
      <c r="X88" s="689"/>
    </row>
    <row r="89" spans="8:24" ht="12" thickBot="1">
      <c r="H89" s="216" t="s">
        <v>334</v>
      </c>
      <c r="I89" s="212"/>
      <c r="J89" s="208"/>
      <c r="K89" s="208"/>
      <c r="L89" s="208"/>
      <c r="M89" s="208"/>
      <c r="N89" s="208"/>
      <c r="O89" s="208"/>
      <c r="P89" s="208"/>
      <c r="Q89" s="208"/>
      <c r="R89" s="208"/>
      <c r="S89" s="208"/>
      <c r="T89" s="208"/>
      <c r="U89" s="208"/>
      <c r="V89" s="208"/>
      <c r="W89" s="208"/>
      <c r="X89" s="209"/>
    </row>
    <row r="90" spans="8:24">
      <c r="H90" s="219" t="s">
        <v>335</v>
      </c>
      <c r="I90" s="222">
        <f>ROUND(+I16*$F$2,0)</f>
        <v>0</v>
      </c>
      <c r="J90" s="222">
        <f>ROUND(+J16*$F$2,0)</f>
        <v>0</v>
      </c>
      <c r="K90" s="222">
        <f>ROUND(+K16*$F$2,0)</f>
        <v>22104</v>
      </c>
      <c r="L90" s="222">
        <f>ROUND(+L16*$F$3,0)</f>
        <v>0</v>
      </c>
      <c r="M90" s="222">
        <f>ROUND(+M16*$F$3,0)</f>
        <v>0</v>
      </c>
      <c r="N90" s="222">
        <f>ROUND(+N16*$F$3,0)</f>
        <v>0</v>
      </c>
      <c r="O90" s="222">
        <f>ROUND(+O16*$F$5,0)</f>
        <v>0</v>
      </c>
      <c r="P90" s="222">
        <f>ROUND(+P16*$F$6,0)</f>
        <v>0</v>
      </c>
      <c r="Q90" s="222">
        <f>ROUND(+Q16*$F$7,0)</f>
        <v>0</v>
      </c>
      <c r="R90" s="222">
        <f>ROUND(+R16*$F$8,0)</f>
        <v>0</v>
      </c>
      <c r="S90" s="222">
        <f>ROUND(+S16*$F$9,0)</f>
        <v>0</v>
      </c>
      <c r="T90" s="222">
        <f>ROUND(+T16*$F$10,0)</f>
        <v>0</v>
      </c>
      <c r="U90" s="222"/>
      <c r="V90" s="222"/>
      <c r="W90" s="222">
        <f>SUM(I90:V90)</f>
        <v>22104</v>
      </c>
      <c r="X90" s="225">
        <f>ROUND((W90/600),0)*2</f>
        <v>74</v>
      </c>
    </row>
    <row r="91" spans="8:24">
      <c r="H91" s="205"/>
      <c r="I91" s="169"/>
      <c r="J91" s="169"/>
      <c r="K91" s="336">
        <f>ROUND((K90/600),0)*2</f>
        <v>74</v>
      </c>
      <c r="L91" s="169"/>
      <c r="M91" s="169"/>
      <c r="N91" s="169"/>
      <c r="O91" s="169"/>
      <c r="P91" s="169"/>
      <c r="Q91" s="169"/>
      <c r="R91" s="169"/>
      <c r="S91" s="169"/>
      <c r="T91" s="169"/>
      <c r="U91" s="169"/>
      <c r="V91" s="169"/>
      <c r="W91" s="169"/>
      <c r="X91" s="169"/>
    </row>
    <row r="92" spans="8:24" ht="10.8" thickBot="1">
      <c r="H92" s="210"/>
    </row>
    <row r="93" spans="8:24">
      <c r="H93" s="213" t="s">
        <v>304</v>
      </c>
      <c r="I93" s="682" t="s">
        <v>305</v>
      </c>
      <c r="J93" s="683"/>
      <c r="K93" s="683"/>
      <c r="L93" s="683"/>
      <c r="M93" s="683"/>
      <c r="N93" s="683"/>
      <c r="O93" s="683"/>
      <c r="P93" s="683"/>
      <c r="Q93" s="683"/>
      <c r="R93" s="683"/>
      <c r="S93" s="683"/>
      <c r="T93" s="683"/>
      <c r="U93" s="683"/>
      <c r="V93" s="683"/>
      <c r="W93" s="683"/>
      <c r="X93" s="684"/>
    </row>
    <row r="94" spans="8:24">
      <c r="H94" s="214" t="s">
        <v>306</v>
      </c>
      <c r="I94" s="685" t="s">
        <v>307</v>
      </c>
      <c r="J94" s="686"/>
      <c r="K94" s="686"/>
      <c r="L94" s="686"/>
      <c r="M94" s="686"/>
      <c r="N94" s="686"/>
      <c r="O94" s="686"/>
      <c r="P94" s="686"/>
      <c r="Q94" s="686"/>
      <c r="R94" s="686"/>
      <c r="S94" s="686"/>
      <c r="T94" s="686"/>
      <c r="U94" s="686"/>
      <c r="V94" s="686"/>
      <c r="W94" s="686"/>
      <c r="X94" s="687"/>
    </row>
    <row r="95" spans="8:24">
      <c r="H95" s="214" t="s">
        <v>308</v>
      </c>
      <c r="I95" s="688" t="s">
        <v>76</v>
      </c>
      <c r="J95" s="660"/>
      <c r="K95" s="660"/>
      <c r="L95" s="660" t="s">
        <v>285</v>
      </c>
      <c r="M95" s="660"/>
      <c r="N95" s="660"/>
      <c r="O95" s="158" t="s">
        <v>322</v>
      </c>
      <c r="P95" s="158" t="s">
        <v>323</v>
      </c>
      <c r="Q95" s="158" t="s">
        <v>326</v>
      </c>
      <c r="R95" s="158" t="s">
        <v>324</v>
      </c>
      <c r="S95" s="158" t="s">
        <v>325</v>
      </c>
      <c r="T95" s="158" t="s">
        <v>57</v>
      </c>
      <c r="U95" s="158" t="s">
        <v>80</v>
      </c>
      <c r="V95" s="158" t="s">
        <v>132</v>
      </c>
      <c r="W95" s="660" t="s">
        <v>347</v>
      </c>
      <c r="X95" s="689" t="s">
        <v>348</v>
      </c>
    </row>
    <row r="96" spans="8:24">
      <c r="H96" s="215" t="s">
        <v>309</v>
      </c>
      <c r="I96" s="211" t="s">
        <v>314</v>
      </c>
      <c r="J96" s="207">
        <v>0.2</v>
      </c>
      <c r="K96" s="207">
        <v>0.4</v>
      </c>
      <c r="L96" s="206" t="s">
        <v>314</v>
      </c>
      <c r="M96" s="207">
        <v>0.2</v>
      </c>
      <c r="N96" s="207">
        <v>0.4</v>
      </c>
      <c r="O96" s="206" t="s">
        <v>314</v>
      </c>
      <c r="P96" s="206" t="s">
        <v>314</v>
      </c>
      <c r="Q96" s="206" t="s">
        <v>314</v>
      </c>
      <c r="R96" s="206" t="s">
        <v>314</v>
      </c>
      <c r="S96" s="206" t="s">
        <v>314</v>
      </c>
      <c r="T96" s="206" t="s">
        <v>314</v>
      </c>
      <c r="U96" s="206" t="s">
        <v>314</v>
      </c>
      <c r="V96" s="206" t="s">
        <v>314</v>
      </c>
      <c r="W96" s="660"/>
      <c r="X96" s="689"/>
    </row>
    <row r="97" spans="8:26" ht="12" thickBot="1">
      <c r="H97" s="216" t="s">
        <v>334</v>
      </c>
      <c r="I97" s="212"/>
      <c r="J97" s="208"/>
      <c r="K97" s="208"/>
      <c r="L97" s="208"/>
      <c r="M97" s="208"/>
      <c r="N97" s="208"/>
      <c r="O97" s="208"/>
      <c r="P97" s="208"/>
      <c r="Q97" s="208"/>
      <c r="R97" s="208"/>
      <c r="S97" s="208"/>
      <c r="T97" s="208"/>
      <c r="U97" s="208"/>
      <c r="V97" s="208"/>
      <c r="W97" s="208"/>
      <c r="X97" s="209"/>
    </row>
    <row r="98" spans="8:26">
      <c r="H98" s="217" t="s">
        <v>335</v>
      </c>
      <c r="I98" s="222">
        <f>ROUND(+I24*$F$2,0)</f>
        <v>0</v>
      </c>
      <c r="J98" s="222">
        <f>ROUND(+J24*$F$2,0)</f>
        <v>0</v>
      </c>
      <c r="K98" s="222">
        <f>ROUND(+K24*$F$2,0)</f>
        <v>288</v>
      </c>
      <c r="L98" s="222">
        <f>ROUND(+L24*$F$3,0)</f>
        <v>0</v>
      </c>
      <c r="M98" s="222">
        <f>ROUND(+M24*$F$3,0)</f>
        <v>0</v>
      </c>
      <c r="N98" s="222">
        <f>ROUND(+N24*$F$3,0)</f>
        <v>0</v>
      </c>
      <c r="O98" s="222">
        <f>ROUND(+O24*$F$5,0)</f>
        <v>912</v>
      </c>
      <c r="P98" s="222">
        <f>ROUND(+P24*$F$6,0)</f>
        <v>1116</v>
      </c>
      <c r="Q98" s="222">
        <f>ROUND(+Q24*$F$7,0)</f>
        <v>6999</v>
      </c>
      <c r="R98" s="222">
        <f>ROUND(+R24*$F$8,0)</f>
        <v>1783</v>
      </c>
      <c r="S98" s="222">
        <f>ROUND(+S24*$F$9,0)</f>
        <v>0</v>
      </c>
      <c r="T98" s="222">
        <f>ROUND(+T24*$F$10,0)</f>
        <v>796</v>
      </c>
      <c r="U98" s="222"/>
      <c r="V98" s="222"/>
      <c r="W98" s="222">
        <f>SUM(I98:V98)</f>
        <v>11894</v>
      </c>
      <c r="X98" s="225">
        <f>+K99+O99+P99+Q99+R99+T99+U99+V99</f>
        <v>28</v>
      </c>
    </row>
    <row r="99" spans="8:26">
      <c r="H99" s="205"/>
      <c r="I99" s="169"/>
      <c r="J99" s="169"/>
      <c r="K99" s="336">
        <f>ROUNDUP((K98/600),0)</f>
        <v>1</v>
      </c>
      <c r="L99" s="169"/>
      <c r="M99" s="169"/>
      <c r="N99" s="169"/>
      <c r="O99" s="336">
        <f>ROUNDDOWN((O98/600),0)</f>
        <v>1</v>
      </c>
      <c r="P99" s="336">
        <f>ROUND((P98/600),0)</f>
        <v>2</v>
      </c>
      <c r="Q99" s="336">
        <f>ROUNDDOWN((Q98/600),0)</f>
        <v>11</v>
      </c>
      <c r="R99" s="336">
        <f>ROUND((R98/600),0)</f>
        <v>3</v>
      </c>
      <c r="S99" s="169"/>
      <c r="T99" s="336">
        <f>ROUND((T98/600),0)</f>
        <v>1</v>
      </c>
      <c r="U99" s="336">
        <f>ROUND(+U24*D27,0)</f>
        <v>7</v>
      </c>
      <c r="V99" s="336">
        <f>ROUND(V24*D27,0)</f>
        <v>2</v>
      </c>
      <c r="W99" s="169"/>
      <c r="X99" s="169"/>
    </row>
    <row r="100" spans="8:26">
      <c r="O100" s="226"/>
      <c r="T100" s="226"/>
    </row>
    <row r="101" spans="8:26" ht="10.8" thickBot="1">
      <c r="V101" s="681" t="s">
        <v>352</v>
      </c>
      <c r="W101" s="681"/>
      <c r="X101" s="325">
        <f>+X98+X90+X82</f>
        <v>200</v>
      </c>
    </row>
    <row r="102" spans="8:26">
      <c r="L102" s="677" t="s">
        <v>478</v>
      </c>
      <c r="M102" s="678"/>
      <c r="N102" s="678"/>
      <c r="O102" s="341">
        <f>+K83</f>
        <v>84</v>
      </c>
      <c r="Q102" s="226"/>
      <c r="V102" s="680" t="s">
        <v>459</v>
      </c>
      <c r="W102" s="680"/>
      <c r="X102" s="271">
        <f>+X82</f>
        <v>98</v>
      </c>
      <c r="Z102" s="227"/>
    </row>
    <row r="103" spans="8:26">
      <c r="L103" s="679" t="s">
        <v>479</v>
      </c>
      <c r="M103" s="680"/>
      <c r="N103" s="680"/>
      <c r="O103" s="342">
        <f>+M83</f>
        <v>14</v>
      </c>
      <c r="V103" s="680" t="s">
        <v>460</v>
      </c>
      <c r="W103" s="680"/>
      <c r="X103" s="271">
        <f>+X90</f>
        <v>74</v>
      </c>
    </row>
    <row r="104" spans="8:26">
      <c r="L104" s="679" t="s">
        <v>480</v>
      </c>
      <c r="M104" s="680"/>
      <c r="N104" s="680"/>
      <c r="O104" s="342">
        <f>+K91</f>
        <v>74</v>
      </c>
      <c r="Q104" s="226"/>
      <c r="V104" s="680" t="s">
        <v>461</v>
      </c>
      <c r="W104" s="680"/>
      <c r="X104" s="271">
        <f>+X98</f>
        <v>28</v>
      </c>
    </row>
    <row r="105" spans="8:26">
      <c r="L105" s="671" t="s">
        <v>481</v>
      </c>
      <c r="M105" s="672"/>
      <c r="N105" s="673"/>
      <c r="O105" s="342">
        <f>+K99</f>
        <v>1</v>
      </c>
      <c r="V105" s="681" t="s">
        <v>462</v>
      </c>
      <c r="W105" s="681"/>
      <c r="X105" s="325">
        <f>+X106+X107+X108</f>
        <v>8</v>
      </c>
    </row>
    <row r="106" spans="8:26">
      <c r="L106" s="343" t="s">
        <v>482</v>
      </c>
      <c r="M106" s="120"/>
      <c r="N106" s="120"/>
      <c r="O106" s="342">
        <f>SUM(O99:T99)</f>
        <v>18</v>
      </c>
      <c r="V106" s="680" t="s">
        <v>349</v>
      </c>
      <c r="W106" s="680"/>
      <c r="X106" s="120">
        <f>ROUND(+X82/25,0)</f>
        <v>4</v>
      </c>
    </row>
    <row r="107" spans="8:26" ht="10.8" thickBot="1">
      <c r="L107" s="674" t="s">
        <v>487</v>
      </c>
      <c r="M107" s="675"/>
      <c r="N107" s="675"/>
      <c r="O107" s="344">
        <f>+U99+V99</f>
        <v>9</v>
      </c>
      <c r="V107" s="680" t="s">
        <v>350</v>
      </c>
      <c r="W107" s="680"/>
      <c r="X107" s="120">
        <f>ROUNDUP(+X90/25,0)</f>
        <v>3</v>
      </c>
    </row>
    <row r="108" spans="8:26" ht="10.8" thickBot="1">
      <c r="O108" s="340">
        <f>SUM(O102:O107)</f>
        <v>200</v>
      </c>
      <c r="V108" s="680" t="s">
        <v>351</v>
      </c>
      <c r="W108" s="680"/>
      <c r="X108" s="120">
        <f>ROUND(+X98/30,0)</f>
        <v>1</v>
      </c>
    </row>
    <row r="109" spans="8:26" ht="11.25" customHeight="1">
      <c r="H109" s="346"/>
      <c r="I109" s="346"/>
      <c r="J109" s="346"/>
      <c r="K109" s="346"/>
      <c r="L109" s="346"/>
      <c r="Q109" s="227"/>
      <c r="V109" s="120" t="s">
        <v>353</v>
      </c>
      <c r="W109" s="120"/>
      <c r="X109" s="271">
        <f>+X108+X107+X106+X104+X103+X102</f>
        <v>208</v>
      </c>
    </row>
    <row r="110" spans="8:26" ht="12.75" customHeight="1">
      <c r="H110" s="346"/>
      <c r="I110" s="346"/>
      <c r="J110" s="346"/>
      <c r="K110" s="346"/>
      <c r="L110" s="346"/>
      <c r="Q110" s="337"/>
    </row>
    <row r="111" spans="8:26" ht="12.75" customHeight="1">
      <c r="H111" s="346"/>
      <c r="I111" s="346"/>
      <c r="J111" s="346"/>
      <c r="K111" s="346"/>
      <c r="L111" s="346"/>
      <c r="Q111" s="227"/>
      <c r="V111" s="680" t="s">
        <v>452</v>
      </c>
      <c r="W111" s="680"/>
      <c r="X111" s="272">
        <f>+'Custo do Insumo'!V97</f>
        <v>0</v>
      </c>
    </row>
    <row r="112" spans="8:26" ht="12.75" customHeight="1">
      <c r="H112" s="346"/>
      <c r="I112" s="346"/>
      <c r="J112" s="346"/>
      <c r="K112" s="346"/>
      <c r="L112" s="346"/>
      <c r="V112" s="120" t="s">
        <v>451</v>
      </c>
      <c r="W112" s="120"/>
      <c r="X112" s="263">
        <f>ROUND(+X111/X101,2)</f>
        <v>0</v>
      </c>
    </row>
    <row r="113" spans="15:24">
      <c r="V113" s="680" t="s">
        <v>495</v>
      </c>
      <c r="W113" s="680"/>
      <c r="X113" s="345" t="e">
        <f>+X111/+(W27-X111)</f>
        <v>#DIV/0!</v>
      </c>
    </row>
    <row r="115" spans="15:24">
      <c r="O115" s="245"/>
      <c r="T115" s="680" t="s">
        <v>672</v>
      </c>
      <c r="U115" s="680"/>
      <c r="V115" s="680"/>
      <c r="W115" s="263">
        <v>891988.87</v>
      </c>
      <c r="X115" s="263">
        <f>+W115*12</f>
        <v>10703866.439999999</v>
      </c>
    </row>
    <row r="116" spans="15:24">
      <c r="T116" s="680" t="s">
        <v>693</v>
      </c>
      <c r="U116" s="680"/>
      <c r="V116" s="680"/>
      <c r="W116" s="272">
        <f>+W27</f>
        <v>0</v>
      </c>
      <c r="X116" s="272">
        <f>+X27</f>
        <v>0</v>
      </c>
    </row>
  </sheetData>
  <mergeCells count="69">
    <mergeCell ref="T115:V115"/>
    <mergeCell ref="T116:V116"/>
    <mergeCell ref="V113:W113"/>
    <mergeCell ref="V111:W111"/>
    <mergeCell ref="V102:W102"/>
    <mergeCell ref="V103:W103"/>
    <mergeCell ref="V104:W104"/>
    <mergeCell ref="V105:W105"/>
    <mergeCell ref="V106:W106"/>
    <mergeCell ref="V107:W107"/>
    <mergeCell ref="V108:W108"/>
    <mergeCell ref="I12:X12"/>
    <mergeCell ref="I19:X19"/>
    <mergeCell ref="I20:X20"/>
    <mergeCell ref="I21:K21"/>
    <mergeCell ref="L21:N21"/>
    <mergeCell ref="W21:W22"/>
    <mergeCell ref="X21:X22"/>
    <mergeCell ref="C36:D36"/>
    <mergeCell ref="C37:D37"/>
    <mergeCell ref="C42:D42"/>
    <mergeCell ref="H1:X1"/>
    <mergeCell ref="I3:X3"/>
    <mergeCell ref="I4:X4"/>
    <mergeCell ref="I5:K5"/>
    <mergeCell ref="I13:K13"/>
    <mergeCell ref="L13:N13"/>
    <mergeCell ref="W13:W14"/>
    <mergeCell ref="X13:X14"/>
    <mergeCell ref="C30:D30"/>
    <mergeCell ref="L5:N5"/>
    <mergeCell ref="W5:W6"/>
    <mergeCell ref="X5:X6"/>
    <mergeCell ref="I11:X11"/>
    <mergeCell ref="A2:A9"/>
    <mergeCell ref="A11:A12"/>
    <mergeCell ref="A15:D15"/>
    <mergeCell ref="C22:D22"/>
    <mergeCell ref="C23:D23"/>
    <mergeCell ref="A17:D17"/>
    <mergeCell ref="A16:D16"/>
    <mergeCell ref="A18:D18"/>
    <mergeCell ref="A19:D19"/>
    <mergeCell ref="L87:N87"/>
    <mergeCell ref="W87:W88"/>
    <mergeCell ref="X87:X88"/>
    <mergeCell ref="H75:X75"/>
    <mergeCell ref="I77:X77"/>
    <mergeCell ref="I78:X78"/>
    <mergeCell ref="I79:K79"/>
    <mergeCell ref="L79:N79"/>
    <mergeCell ref="W79:W80"/>
    <mergeCell ref="X79:X80"/>
    <mergeCell ref="L105:N105"/>
    <mergeCell ref="L107:N107"/>
    <mergeCell ref="U27:V27"/>
    <mergeCell ref="L102:N102"/>
    <mergeCell ref="L103:N103"/>
    <mergeCell ref="L104:N104"/>
    <mergeCell ref="V101:W101"/>
    <mergeCell ref="I93:X93"/>
    <mergeCell ref="I94:X94"/>
    <mergeCell ref="I95:K95"/>
    <mergeCell ref="L95:N95"/>
    <mergeCell ref="W95:W96"/>
    <mergeCell ref="X95:X96"/>
    <mergeCell ref="I85:X85"/>
    <mergeCell ref="I86:X86"/>
    <mergeCell ref="I87:K87"/>
  </mergeCells>
  <pageMargins left="0.11" right="0.15748031496062992" top="1.01" bottom="0.27" header="0.31496062992125984" footer="0.1"/>
  <pageSetup paperSize="9" scale="56" orientation="landscape" r:id="rId1"/>
  <headerFooter>
    <oddFoote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C164"/>
  <sheetViews>
    <sheetView workbookViewId="0">
      <selection activeCell="A18" sqref="A18:C18"/>
    </sheetView>
  </sheetViews>
  <sheetFormatPr defaultRowHeight="13.2"/>
  <cols>
    <col min="1" max="1" width="64.453125" customWidth="1"/>
    <col min="2" max="2" width="12.26953125" bestFit="1" customWidth="1"/>
    <col min="3" max="3" width="14.7265625" customWidth="1"/>
    <col min="4" max="4" width="9.36328125" bestFit="1" customWidth="1"/>
    <col min="5" max="5" width="69.08984375" customWidth="1"/>
  </cols>
  <sheetData>
    <row r="1" spans="1:3" ht="16.8">
      <c r="A1" s="846" t="s">
        <v>485</v>
      </c>
      <c r="B1" s="846"/>
      <c r="C1" s="846"/>
    </row>
    <row r="3" spans="1:3">
      <c r="A3" s="29" t="s">
        <v>152</v>
      </c>
      <c r="B3" s="29">
        <v>220</v>
      </c>
    </row>
    <row r="4" spans="1:3">
      <c r="A4" s="29" t="s">
        <v>153</v>
      </c>
      <c r="B4" s="29">
        <v>365.25</v>
      </c>
    </row>
    <row r="5" spans="1:3">
      <c r="A5" s="29" t="s">
        <v>154</v>
      </c>
      <c r="B5" s="88">
        <f>(365.25/12)/(7/5)</f>
        <v>21.741071428571431</v>
      </c>
    </row>
    <row r="6" spans="1:3">
      <c r="A6" s="49" t="s">
        <v>33</v>
      </c>
      <c r="B6" s="40">
        <f>+'Limpador de  Vidro 44h '!D12</f>
        <v>0</v>
      </c>
    </row>
    <row r="7" spans="1:3">
      <c r="A7" s="49" t="s">
        <v>155</v>
      </c>
      <c r="B7" s="40">
        <f>+'Limpador de  Vidro 44h '!D23</f>
        <v>0</v>
      </c>
    </row>
    <row r="9" spans="1:3">
      <c r="A9" s="765" t="s">
        <v>156</v>
      </c>
      <c r="B9" s="766"/>
      <c r="C9" s="767"/>
    </row>
    <row r="10" spans="1:3">
      <c r="A10" s="29" t="s">
        <v>157</v>
      </c>
      <c r="B10" s="29">
        <f>+$B$4</f>
        <v>365.25</v>
      </c>
      <c r="C10" s="65"/>
    </row>
    <row r="11" spans="1:3">
      <c r="A11" s="29" t="s">
        <v>158</v>
      </c>
      <c r="B11" s="49">
        <v>12</v>
      </c>
      <c r="C11" s="65"/>
    </row>
    <row r="12" spans="1:3">
      <c r="A12" s="29" t="s">
        <v>159</v>
      </c>
      <c r="B12" s="39">
        <v>1</v>
      </c>
      <c r="C12" s="65"/>
    </row>
    <row r="13" spans="1:3">
      <c r="A13" s="49" t="s">
        <v>160</v>
      </c>
      <c r="B13" s="89">
        <f>+B5</f>
        <v>21.741071428571431</v>
      </c>
      <c r="C13" s="65"/>
    </row>
    <row r="14" spans="1:3">
      <c r="A14" s="90" t="s">
        <v>161</v>
      </c>
      <c r="B14" s="91"/>
      <c r="C14" s="65"/>
    </row>
    <row r="15" spans="1:3">
      <c r="A15" s="29" t="s">
        <v>162</v>
      </c>
      <c r="B15" s="39">
        <v>0.06</v>
      </c>
      <c r="C15" s="65"/>
    </row>
    <row r="16" spans="1:3">
      <c r="A16" s="769" t="s">
        <v>163</v>
      </c>
      <c r="B16" s="770"/>
      <c r="C16" s="85">
        <f>ROUND((B13*(B14*2)-($B$6*B15)),2)</f>
        <v>0</v>
      </c>
    </row>
    <row r="18" spans="1:3">
      <c r="A18" s="765" t="s">
        <v>164</v>
      </c>
      <c r="B18" s="766"/>
      <c r="C18" s="767"/>
    </row>
    <row r="19" spans="1:3">
      <c r="A19" s="29" t="s">
        <v>157</v>
      </c>
      <c r="B19" s="29">
        <f>+$B$4</f>
        <v>365.25</v>
      </c>
      <c r="C19" s="65"/>
    </row>
    <row r="20" spans="1:3">
      <c r="A20" s="29" t="s">
        <v>158</v>
      </c>
      <c r="B20" s="49">
        <v>12</v>
      </c>
      <c r="C20" s="65"/>
    </row>
    <row r="21" spans="1:3">
      <c r="A21" s="29" t="s">
        <v>159</v>
      </c>
      <c r="B21" s="39">
        <v>1</v>
      </c>
      <c r="C21" s="65"/>
    </row>
    <row r="22" spans="1:3">
      <c r="A22" s="49" t="s">
        <v>160</v>
      </c>
      <c r="B22" s="89">
        <f>+B5</f>
        <v>21.741071428571431</v>
      </c>
      <c r="C22" s="65"/>
    </row>
    <row r="23" spans="1:3">
      <c r="A23" s="90" t="s">
        <v>165</v>
      </c>
      <c r="B23" s="91"/>
      <c r="C23" s="65"/>
    </row>
    <row r="24" spans="1:3">
      <c r="A24" s="29" t="s">
        <v>166</v>
      </c>
      <c r="B24" s="39">
        <v>0.1</v>
      </c>
      <c r="C24" s="65"/>
    </row>
    <row r="25" spans="1:3">
      <c r="A25" s="769" t="s">
        <v>165</v>
      </c>
      <c r="B25" s="770"/>
      <c r="C25" s="85">
        <f>ROUND((B22*(B23)-((B22*B23)*B24)),2)</f>
        <v>0</v>
      </c>
    </row>
    <row r="27" spans="1:3">
      <c r="A27" s="765" t="s">
        <v>167</v>
      </c>
      <c r="B27" s="766"/>
      <c r="C27" s="767"/>
    </row>
    <row r="28" spans="1:3">
      <c r="A28" s="29" t="s">
        <v>168</v>
      </c>
      <c r="B28" s="40">
        <f>+B7</f>
        <v>0</v>
      </c>
      <c r="C28" s="65"/>
    </row>
    <row r="29" spans="1:3">
      <c r="A29" s="29" t="s">
        <v>169</v>
      </c>
      <c r="B29" s="29">
        <v>12</v>
      </c>
      <c r="C29" s="65"/>
    </row>
    <row r="30" spans="1:3">
      <c r="A30" s="92" t="s">
        <v>170</v>
      </c>
      <c r="B30" s="93"/>
      <c r="C30" s="65"/>
    </row>
    <row r="31" spans="1:3">
      <c r="A31" s="769" t="s">
        <v>171</v>
      </c>
      <c r="B31" s="770"/>
      <c r="C31" s="85">
        <f>ROUND(+(B28/B29)*B30,2)</f>
        <v>0</v>
      </c>
    </row>
    <row r="33" spans="1:3">
      <c r="A33" s="771" t="s">
        <v>172</v>
      </c>
      <c r="B33" s="772"/>
      <c r="C33" s="773"/>
    </row>
    <row r="34" spans="1:3" s="51" customFormat="1">
      <c r="A34" s="94" t="s">
        <v>173</v>
      </c>
      <c r="B34" s="93">
        <f>+B30</f>
        <v>0</v>
      </c>
      <c r="C34" s="65"/>
    </row>
    <row r="35" spans="1:3">
      <c r="A35" s="29" t="s">
        <v>174</v>
      </c>
      <c r="B35" s="40">
        <f>+'Limpador de  Vidro 44h '!$D$23</f>
        <v>0</v>
      </c>
      <c r="C35" s="65"/>
    </row>
    <row r="36" spans="1:3">
      <c r="A36" s="29" t="s">
        <v>55</v>
      </c>
      <c r="B36" s="40">
        <f>+'Limpador de  Vidro 44h '!$D$29</f>
        <v>0</v>
      </c>
      <c r="C36" s="65"/>
    </row>
    <row r="37" spans="1:3">
      <c r="A37" s="95" t="s">
        <v>58</v>
      </c>
      <c r="B37" s="40">
        <f>+'Limpador de  Vidro 44h '!$D$31</f>
        <v>0</v>
      </c>
      <c r="C37" s="65"/>
    </row>
    <row r="38" spans="1:3">
      <c r="A38" s="95" t="s">
        <v>60</v>
      </c>
      <c r="B38" s="40">
        <f>+'Limpador de  Vidro 44h '!$D$32</f>
        <v>0</v>
      </c>
      <c r="C38" s="65"/>
    </row>
    <row r="39" spans="1:3">
      <c r="A39" s="96" t="s">
        <v>175</v>
      </c>
      <c r="B39" s="97">
        <f>SUM(B35:B38)</f>
        <v>0</v>
      </c>
      <c r="C39" s="65"/>
    </row>
    <row r="40" spans="1:3">
      <c r="A40" s="60" t="s">
        <v>176</v>
      </c>
      <c r="B40" s="39">
        <v>0.4</v>
      </c>
      <c r="C40" s="65"/>
    </row>
    <row r="41" spans="1:3">
      <c r="A41" s="60" t="s">
        <v>177</v>
      </c>
      <c r="B41" s="39">
        <f>+'Limpador de  Vidro 44h '!$C$44</f>
        <v>0.08</v>
      </c>
      <c r="C41" s="65"/>
    </row>
    <row r="42" spans="1:3">
      <c r="A42" s="752" t="s">
        <v>178</v>
      </c>
      <c r="B42" s="753"/>
      <c r="C42" s="75">
        <f>ROUND(+B39*B40*B41*B34,2)</f>
        <v>0</v>
      </c>
    </row>
    <row r="43" spans="1:3">
      <c r="A43" s="60" t="s">
        <v>179</v>
      </c>
      <c r="B43" s="39"/>
      <c r="C43" s="65"/>
    </row>
    <row r="44" spans="1:3">
      <c r="A44" s="752" t="s">
        <v>180</v>
      </c>
      <c r="B44" s="753"/>
      <c r="C44" s="98">
        <f>ROUND(B43*B41*B39*B34,2)</f>
        <v>0</v>
      </c>
    </row>
    <row r="45" spans="1:3">
      <c r="A45" s="769" t="s">
        <v>181</v>
      </c>
      <c r="B45" s="770"/>
      <c r="C45" s="77">
        <f>+C44+C42</f>
        <v>0</v>
      </c>
    </row>
    <row r="47" spans="1:3">
      <c r="A47" s="765" t="s">
        <v>182</v>
      </c>
      <c r="B47" s="766"/>
      <c r="C47" s="767"/>
    </row>
    <row r="48" spans="1:3">
      <c r="A48" s="29" t="s">
        <v>168</v>
      </c>
      <c r="B48" s="40">
        <f>+B7</f>
        <v>0</v>
      </c>
      <c r="C48" s="65"/>
    </row>
    <row r="49" spans="1:3">
      <c r="A49" s="29" t="s">
        <v>183</v>
      </c>
      <c r="B49" s="99">
        <v>30</v>
      </c>
      <c r="C49" s="65"/>
    </row>
    <row r="50" spans="1:3">
      <c r="A50" s="29" t="s">
        <v>169</v>
      </c>
      <c r="B50" s="29">
        <v>12</v>
      </c>
      <c r="C50" s="65"/>
    </row>
    <row r="51" spans="1:3">
      <c r="A51" s="29" t="s">
        <v>184</v>
      </c>
      <c r="B51" s="29">
        <v>7</v>
      </c>
      <c r="C51" s="65"/>
    </row>
    <row r="52" spans="1:3">
      <c r="A52" s="92" t="s">
        <v>185</v>
      </c>
      <c r="B52" s="93">
        <v>0.1</v>
      </c>
      <c r="C52" s="65"/>
    </row>
    <row r="53" spans="1:3">
      <c r="A53" s="769" t="s">
        <v>186</v>
      </c>
      <c r="B53" s="770"/>
      <c r="C53" s="85">
        <f>+ROUND(((B48/B49/B50)*B51)*B52,2)</f>
        <v>0</v>
      </c>
    </row>
    <row r="55" spans="1:3">
      <c r="A55" s="771" t="s">
        <v>187</v>
      </c>
      <c r="B55" s="772"/>
      <c r="C55" s="773"/>
    </row>
    <row r="56" spans="1:3">
      <c r="A56" s="100" t="s">
        <v>188</v>
      </c>
      <c r="B56" s="93"/>
      <c r="C56" s="65"/>
    </row>
    <row r="57" spans="1:3">
      <c r="A57" s="29" t="s">
        <v>174</v>
      </c>
      <c r="B57" s="40">
        <f>+'Limpador de  Vidro 44h '!$D$23</f>
        <v>0</v>
      </c>
      <c r="C57" s="65"/>
    </row>
    <row r="58" spans="1:3">
      <c r="A58" s="29" t="s">
        <v>55</v>
      </c>
      <c r="B58" s="40">
        <f>+'Limpador de  Vidro 44h '!$D$29</f>
        <v>0</v>
      </c>
      <c r="C58" s="65"/>
    </row>
    <row r="59" spans="1:3">
      <c r="A59" s="95" t="s">
        <v>58</v>
      </c>
      <c r="B59" s="40">
        <f>+'Limpador de  Vidro 44h '!$D$31</f>
        <v>0</v>
      </c>
      <c r="C59" s="65"/>
    </row>
    <row r="60" spans="1:3">
      <c r="A60" s="95" t="s">
        <v>60</v>
      </c>
      <c r="B60" s="40">
        <f>+'Limpador de  Vidro 44h '!$D$32</f>
        <v>0</v>
      </c>
      <c r="C60" s="65"/>
    </row>
    <row r="61" spans="1:3">
      <c r="A61" s="96" t="s">
        <v>175</v>
      </c>
      <c r="B61" s="97">
        <f>SUM(B57:B60)</f>
        <v>0</v>
      </c>
      <c r="C61" s="65"/>
    </row>
    <row r="62" spans="1:3">
      <c r="A62" s="60" t="s">
        <v>176</v>
      </c>
      <c r="B62" s="39">
        <v>0.4</v>
      </c>
      <c r="C62" s="65"/>
    </row>
    <row r="63" spans="1:3">
      <c r="A63" s="60" t="s">
        <v>177</v>
      </c>
      <c r="B63" s="39">
        <f>+'Limpador de  Vidro 44h '!$C$44</f>
        <v>0.08</v>
      </c>
      <c r="C63" s="65"/>
    </row>
    <row r="64" spans="1:3">
      <c r="A64" s="752" t="s">
        <v>178</v>
      </c>
      <c r="B64" s="753"/>
      <c r="C64" s="75">
        <f>ROUND(+B61*B62*B63*B56,2)</f>
        <v>0</v>
      </c>
    </row>
    <row r="65" spans="1:3">
      <c r="A65" s="60" t="s">
        <v>179</v>
      </c>
      <c r="B65" s="39"/>
      <c r="C65" s="65"/>
    </row>
    <row r="66" spans="1:3">
      <c r="A66" s="752" t="s">
        <v>180</v>
      </c>
      <c r="B66" s="753"/>
      <c r="C66" s="98">
        <f>ROUND(B65*B63*B61*B56,2)</f>
        <v>0</v>
      </c>
    </row>
    <row r="67" spans="1:3">
      <c r="A67" s="769" t="s">
        <v>189</v>
      </c>
      <c r="B67" s="770"/>
      <c r="C67" s="77">
        <f>+C66+C64</f>
        <v>0</v>
      </c>
    </row>
    <row r="69" spans="1:3">
      <c r="A69" s="771" t="s">
        <v>190</v>
      </c>
      <c r="B69" s="772"/>
      <c r="C69" s="773"/>
    </row>
    <row r="70" spans="1:3">
      <c r="A70" s="774" t="s">
        <v>191</v>
      </c>
      <c r="B70" s="775"/>
      <c r="C70" s="776"/>
    </row>
    <row r="71" spans="1:3">
      <c r="A71" s="777"/>
      <c r="B71" s="778"/>
      <c r="C71" s="779"/>
    </row>
    <row r="72" spans="1:3">
      <c r="A72" s="777"/>
      <c r="B72" s="778"/>
      <c r="C72" s="779"/>
    </row>
    <row r="73" spans="1:3">
      <c r="A73" s="780"/>
      <c r="B73" s="781"/>
      <c r="C73" s="782"/>
    </row>
    <row r="74" spans="1:3">
      <c r="A74" s="101"/>
      <c r="B74" s="101"/>
      <c r="C74" s="101"/>
    </row>
    <row r="75" spans="1:3">
      <c r="A75" s="771" t="s">
        <v>192</v>
      </c>
      <c r="B75" s="772"/>
      <c r="C75" s="773"/>
    </row>
    <row r="76" spans="1:3">
      <c r="A76" s="29" t="s">
        <v>193</v>
      </c>
      <c r="B76" s="40">
        <f>+$B$7</f>
        <v>0</v>
      </c>
      <c r="C76" s="65"/>
    </row>
    <row r="77" spans="1:3">
      <c r="A77" s="29" t="s">
        <v>158</v>
      </c>
      <c r="B77" s="29">
        <v>30</v>
      </c>
      <c r="C77" s="65"/>
    </row>
    <row r="78" spans="1:3">
      <c r="A78" s="29" t="s">
        <v>194</v>
      </c>
      <c r="B78" s="29">
        <v>12</v>
      </c>
      <c r="C78" s="65"/>
    </row>
    <row r="79" spans="1:3">
      <c r="A79" s="92" t="s">
        <v>195</v>
      </c>
      <c r="B79" s="92"/>
      <c r="C79" s="65"/>
    </row>
    <row r="80" spans="1:3">
      <c r="A80" s="769" t="s">
        <v>196</v>
      </c>
      <c r="B80" s="770"/>
      <c r="C80" s="58">
        <f>+ROUND((B76/B77/B78)*B79,2)</f>
        <v>0</v>
      </c>
    </row>
    <row r="82" spans="1:3">
      <c r="A82" s="771" t="s">
        <v>197</v>
      </c>
      <c r="B82" s="772"/>
      <c r="C82" s="773"/>
    </row>
    <row r="83" spans="1:3">
      <c r="A83" s="29" t="s">
        <v>193</v>
      </c>
      <c r="B83" s="40">
        <f>+$B$7</f>
        <v>0</v>
      </c>
      <c r="C83" s="65"/>
    </row>
    <row r="84" spans="1:3">
      <c r="A84" s="29" t="s">
        <v>158</v>
      </c>
      <c r="B84" s="29">
        <v>30</v>
      </c>
      <c r="C84" s="65"/>
    </row>
    <row r="85" spans="1:3">
      <c r="A85" s="29" t="s">
        <v>194</v>
      </c>
      <c r="B85" s="29">
        <v>12</v>
      </c>
      <c r="C85" s="65"/>
    </row>
    <row r="86" spans="1:3">
      <c r="A86" s="49" t="s">
        <v>198</v>
      </c>
      <c r="B86" s="29">
        <v>5</v>
      </c>
      <c r="C86" s="65"/>
    </row>
    <row r="87" spans="1:3">
      <c r="A87" s="92" t="s">
        <v>199</v>
      </c>
      <c r="B87" s="93"/>
      <c r="C87" s="65"/>
    </row>
    <row r="88" spans="1:3">
      <c r="A88" s="92" t="s">
        <v>200</v>
      </c>
      <c r="B88" s="93"/>
      <c r="C88" s="65"/>
    </row>
    <row r="89" spans="1:3">
      <c r="A89" s="769" t="s">
        <v>201</v>
      </c>
      <c r="B89" s="770"/>
      <c r="C89" s="85">
        <f>ROUND(+B83/B84/B85*B86*B87*B88,2)</f>
        <v>0</v>
      </c>
    </row>
    <row r="91" spans="1:3">
      <c r="A91" s="771" t="s">
        <v>202</v>
      </c>
      <c r="B91" s="772"/>
      <c r="C91" s="773"/>
    </row>
    <row r="92" spans="1:3">
      <c r="A92" s="29" t="s">
        <v>193</v>
      </c>
      <c r="B92" s="40">
        <f>+$B$7</f>
        <v>0</v>
      </c>
      <c r="C92" s="65"/>
    </row>
    <row r="93" spans="1:3">
      <c r="A93" s="29" t="s">
        <v>158</v>
      </c>
      <c r="B93" s="29">
        <v>30</v>
      </c>
      <c r="C93" s="65"/>
    </row>
    <row r="94" spans="1:3">
      <c r="A94" s="29" t="s">
        <v>194</v>
      </c>
      <c r="B94" s="29">
        <v>12</v>
      </c>
      <c r="C94" s="65"/>
    </row>
    <row r="95" spans="1:3">
      <c r="A95" s="49" t="s">
        <v>203</v>
      </c>
      <c r="B95" s="29">
        <v>15</v>
      </c>
      <c r="C95" s="65"/>
    </row>
    <row r="96" spans="1:3">
      <c r="A96" s="92" t="s">
        <v>204</v>
      </c>
      <c r="B96" s="93"/>
      <c r="C96" s="65"/>
    </row>
    <row r="97" spans="1:3">
      <c r="A97" s="769" t="s">
        <v>205</v>
      </c>
      <c r="B97" s="770"/>
      <c r="C97" s="85">
        <f>ROUND(+B92/B93/B94*B95*B96,2)</f>
        <v>0</v>
      </c>
    </row>
    <row r="99" spans="1:3">
      <c r="A99" s="771" t="s">
        <v>206</v>
      </c>
      <c r="B99" s="772"/>
      <c r="C99" s="773"/>
    </row>
    <row r="100" spans="1:3">
      <c r="A100" s="29" t="s">
        <v>193</v>
      </c>
      <c r="B100" s="40">
        <f>+$B$7</f>
        <v>0</v>
      </c>
      <c r="C100" s="65"/>
    </row>
    <row r="101" spans="1:3">
      <c r="A101" s="29" t="s">
        <v>158</v>
      </c>
      <c r="B101" s="29">
        <v>30</v>
      </c>
      <c r="C101" s="65"/>
    </row>
    <row r="102" spans="1:3">
      <c r="A102" s="29" t="s">
        <v>194</v>
      </c>
      <c r="B102" s="29">
        <v>12</v>
      </c>
      <c r="C102" s="65"/>
    </row>
    <row r="103" spans="1:3">
      <c r="A103" s="49" t="s">
        <v>203</v>
      </c>
      <c r="B103" s="29">
        <v>5</v>
      </c>
      <c r="C103" s="65"/>
    </row>
    <row r="104" spans="1:3">
      <c r="A104" s="92" t="s">
        <v>207</v>
      </c>
      <c r="B104" s="93"/>
      <c r="C104" s="65"/>
    </row>
    <row r="105" spans="1:3">
      <c r="A105" s="769" t="s">
        <v>208</v>
      </c>
      <c r="B105" s="770"/>
      <c r="C105" s="85">
        <f>ROUND(+B100/B101/B102*B103*B104,2)</f>
        <v>0</v>
      </c>
    </row>
    <row r="107" spans="1:3">
      <c r="A107" s="771" t="s">
        <v>209</v>
      </c>
      <c r="B107" s="772"/>
      <c r="C107" s="773"/>
    </row>
    <row r="108" spans="1:3">
      <c r="A108" s="783" t="s">
        <v>210</v>
      </c>
      <c r="B108" s="784"/>
      <c r="C108" s="785"/>
    </row>
    <row r="109" spans="1:3">
      <c r="A109" s="29" t="s">
        <v>193</v>
      </c>
      <c r="B109" s="40">
        <f>+$B$7</f>
        <v>0</v>
      </c>
      <c r="C109" s="65"/>
    </row>
    <row r="110" spans="1:3">
      <c r="A110" s="29" t="s">
        <v>211</v>
      </c>
      <c r="B110" s="40">
        <f>+B109*(1/3)</f>
        <v>0</v>
      </c>
      <c r="C110" s="65"/>
    </row>
    <row r="111" spans="1:3">
      <c r="A111" s="96" t="s">
        <v>175</v>
      </c>
      <c r="B111" s="97">
        <f>SUM(B109:B110)</f>
        <v>0</v>
      </c>
      <c r="C111" s="65"/>
    </row>
    <row r="112" spans="1:3">
      <c r="A112" s="29" t="s">
        <v>212</v>
      </c>
      <c r="B112" s="29">
        <v>4</v>
      </c>
      <c r="C112" s="65"/>
    </row>
    <row r="113" spans="1:3">
      <c r="A113" s="29" t="s">
        <v>194</v>
      </c>
      <c r="B113" s="29">
        <v>12</v>
      </c>
      <c r="C113" s="65"/>
    </row>
    <row r="114" spans="1:3">
      <c r="A114" s="92" t="s">
        <v>213</v>
      </c>
      <c r="B114" s="93"/>
      <c r="C114" s="65"/>
    </row>
    <row r="115" spans="1:3">
      <c r="A115" s="92" t="s">
        <v>214</v>
      </c>
      <c r="B115" s="93"/>
      <c r="C115" s="65"/>
    </row>
    <row r="116" spans="1:3">
      <c r="A116" s="769" t="s">
        <v>215</v>
      </c>
      <c r="B116" s="770"/>
      <c r="C116" s="85">
        <f>ROUND((((+B111*(B112/B113)/B113)*B114)*B115),2)</f>
        <v>0</v>
      </c>
    </row>
    <row r="117" spans="1:3">
      <c r="A117" s="769" t="s">
        <v>216</v>
      </c>
      <c r="B117" s="786"/>
      <c r="C117" s="770"/>
    </row>
    <row r="118" spans="1:3">
      <c r="A118" s="29" t="s">
        <v>193</v>
      </c>
      <c r="B118" s="40">
        <f>+'Limpador de  Vidro 44h '!D23</f>
        <v>0</v>
      </c>
      <c r="C118" s="65"/>
    </row>
    <row r="119" spans="1:3">
      <c r="A119" s="29" t="s">
        <v>55</v>
      </c>
      <c r="B119" s="40">
        <f>+'Limpador de  Vidro 44h '!D29</f>
        <v>0</v>
      </c>
      <c r="C119" s="65"/>
    </row>
    <row r="120" spans="1:3">
      <c r="A120" s="96" t="s">
        <v>175</v>
      </c>
      <c r="B120" s="97">
        <f>SUM(B118:B119)</f>
        <v>0</v>
      </c>
      <c r="C120" s="65"/>
    </row>
    <row r="121" spans="1:3">
      <c r="A121" s="29" t="s">
        <v>212</v>
      </c>
      <c r="B121" s="29">
        <v>4</v>
      </c>
      <c r="C121" s="65"/>
    </row>
    <row r="122" spans="1:3">
      <c r="A122" s="29" t="s">
        <v>194</v>
      </c>
      <c r="B122" s="29">
        <v>12</v>
      </c>
      <c r="C122" s="65"/>
    </row>
    <row r="123" spans="1:3">
      <c r="A123" s="92" t="s">
        <v>213</v>
      </c>
      <c r="B123" s="93">
        <f>+B114</f>
        <v>0</v>
      </c>
      <c r="C123" s="65"/>
    </row>
    <row r="124" spans="1:3">
      <c r="A124" s="92" t="s">
        <v>214</v>
      </c>
      <c r="B124" s="93">
        <f>+B115</f>
        <v>0</v>
      </c>
      <c r="C124" s="65"/>
    </row>
    <row r="125" spans="1:3">
      <c r="A125" s="49" t="s">
        <v>217</v>
      </c>
      <c r="B125" s="39">
        <f>+'Limpador de  Vidro 44h '!C45</f>
        <v>0.36800000000000005</v>
      </c>
      <c r="C125" s="65"/>
    </row>
    <row r="126" spans="1:3">
      <c r="A126" s="769" t="s">
        <v>218</v>
      </c>
      <c r="B126" s="770"/>
      <c r="C126" s="77">
        <f>ROUND((((B120*(B121/B122)*B123)*B124)*B125),2)</f>
        <v>0</v>
      </c>
    </row>
    <row r="128" spans="1:3" ht="30.75" customHeight="1">
      <c r="A128" s="787" t="s">
        <v>219</v>
      </c>
      <c r="B128" s="787"/>
      <c r="C128" s="787"/>
    </row>
    <row r="130" spans="1:3">
      <c r="A130" s="788" t="s">
        <v>220</v>
      </c>
      <c r="B130" s="788"/>
      <c r="C130" s="788"/>
    </row>
    <row r="131" spans="1:3">
      <c r="A131" s="29" t="s">
        <v>157</v>
      </c>
      <c r="B131" s="29">
        <v>365.25</v>
      </c>
      <c r="C131" s="65"/>
    </row>
    <row r="132" spans="1:3">
      <c r="A132" s="29" t="s">
        <v>158</v>
      </c>
      <c r="B132" s="49">
        <v>12</v>
      </c>
      <c r="C132" s="65"/>
    </row>
    <row r="133" spans="1:3">
      <c r="A133" s="29" t="s">
        <v>159</v>
      </c>
      <c r="B133" s="39">
        <v>0.5</v>
      </c>
      <c r="C133" s="65"/>
    </row>
    <row r="134" spans="1:3">
      <c r="A134" s="102" t="s">
        <v>221</v>
      </c>
      <c r="B134" s="49">
        <v>7</v>
      </c>
      <c r="C134" s="65"/>
    </row>
    <row r="135" spans="1:3">
      <c r="A135" s="49" t="s">
        <v>222</v>
      </c>
      <c r="B135" s="65"/>
      <c r="C135" s="40">
        <f>+'Limpador de  Vidro 44h '!$D$12</f>
        <v>0</v>
      </c>
    </row>
    <row r="136" spans="1:3">
      <c r="A136" s="49" t="s">
        <v>34</v>
      </c>
      <c r="B136" s="65"/>
      <c r="C136" s="40">
        <f>+'Limpador de  Vidro 44h '!$D$13</f>
        <v>0</v>
      </c>
    </row>
    <row r="137" spans="1:3">
      <c r="A137" s="49" t="s">
        <v>35</v>
      </c>
      <c r="B137" s="65"/>
      <c r="C137" s="40">
        <f>+'Limpador de  Vidro 44h '!$D$14</f>
        <v>0</v>
      </c>
    </row>
    <row r="138" spans="1:3">
      <c r="A138" s="96" t="s">
        <v>223</v>
      </c>
      <c r="B138" s="65"/>
      <c r="C138" s="97">
        <f>SUM(C135:C137)</f>
        <v>0</v>
      </c>
    </row>
    <row r="139" spans="1:3">
      <c r="A139" s="29" t="s">
        <v>152</v>
      </c>
      <c r="B139" s="103">
        <f>+B3</f>
        <v>220</v>
      </c>
      <c r="C139" s="65"/>
    </row>
    <row r="140" spans="1:3">
      <c r="A140" s="49" t="s">
        <v>224</v>
      </c>
      <c r="B140" s="39">
        <v>0.2</v>
      </c>
      <c r="C140" s="65"/>
    </row>
    <row r="141" spans="1:3">
      <c r="A141" s="49" t="s">
        <v>225</v>
      </c>
      <c r="B141" s="65"/>
      <c r="C141" s="104">
        <f>ROUND((C138/B139)*B140,2)</f>
        <v>0</v>
      </c>
    </row>
    <row r="142" spans="1:3">
      <c r="A142" s="49" t="s">
        <v>226</v>
      </c>
      <c r="B142" s="29">
        <f>ROUND(+B131/B132*B133*B134,0)</f>
        <v>107</v>
      </c>
      <c r="C142" s="105"/>
    </row>
    <row r="143" spans="1:3">
      <c r="A143" s="789" t="s">
        <v>227</v>
      </c>
      <c r="B143" s="789"/>
      <c r="C143" s="68">
        <f>ROUND(+B142*C141,2)</f>
        <v>0</v>
      </c>
    </row>
    <row r="145" spans="1:3">
      <c r="A145" s="788" t="s">
        <v>228</v>
      </c>
      <c r="B145" s="788"/>
      <c r="C145" s="788"/>
    </row>
    <row r="146" spans="1:3">
      <c r="A146" s="29" t="s">
        <v>157</v>
      </c>
      <c r="B146" s="29">
        <f>+$B$4</f>
        <v>365.25</v>
      </c>
      <c r="C146" s="65"/>
    </row>
    <row r="147" spans="1:3">
      <c r="A147" s="29" t="s">
        <v>158</v>
      </c>
      <c r="B147" s="49">
        <v>12</v>
      </c>
      <c r="C147" s="65"/>
    </row>
    <row r="148" spans="1:3">
      <c r="A148" s="29" t="s">
        <v>159</v>
      </c>
      <c r="B148" s="39">
        <v>0.5</v>
      </c>
      <c r="C148" s="65"/>
    </row>
    <row r="149" spans="1:3">
      <c r="A149" s="102" t="s">
        <v>221</v>
      </c>
      <c r="B149" s="49">
        <v>7</v>
      </c>
      <c r="C149" s="65"/>
    </row>
    <row r="150" spans="1:3">
      <c r="A150" s="49" t="s">
        <v>229</v>
      </c>
      <c r="B150" s="88">
        <f>(365.25/12/2)/(7/7)</f>
        <v>15.21875</v>
      </c>
      <c r="C150" s="29"/>
    </row>
    <row r="151" spans="1:3">
      <c r="A151" s="49" t="s">
        <v>230</v>
      </c>
      <c r="B151" s="29">
        <f>ROUND(+B150*B149,2)</f>
        <v>106.53</v>
      </c>
      <c r="C151" s="29"/>
    </row>
    <row r="152" spans="1:3">
      <c r="A152" s="49" t="s">
        <v>222</v>
      </c>
      <c r="B152" s="65"/>
      <c r="C152" s="40">
        <f>+'Limpador de  Vidro 44h '!$D$12</f>
        <v>0</v>
      </c>
    </row>
    <row r="153" spans="1:3">
      <c r="A153" s="49" t="s">
        <v>34</v>
      </c>
      <c r="B153" s="65"/>
      <c r="C153" s="40">
        <f>+'Limpador de  Vidro 44h '!$D$13</f>
        <v>0</v>
      </c>
    </row>
    <row r="154" spans="1:3">
      <c r="A154" s="49" t="s">
        <v>35</v>
      </c>
      <c r="B154" s="65"/>
      <c r="C154" s="40">
        <f>+'Limpador de  Vidro 44h '!$D$14</f>
        <v>0</v>
      </c>
    </row>
    <row r="155" spans="1:3">
      <c r="A155" s="96" t="s">
        <v>223</v>
      </c>
      <c r="B155" s="65"/>
      <c r="C155" s="97">
        <f>SUM(C152:C154)</f>
        <v>0</v>
      </c>
    </row>
    <row r="156" spans="1:3">
      <c r="A156" s="29" t="s">
        <v>152</v>
      </c>
      <c r="B156" s="103">
        <f>+B3</f>
        <v>220</v>
      </c>
      <c r="C156" s="65"/>
    </row>
    <row r="157" spans="1:3">
      <c r="A157" s="49" t="s">
        <v>224</v>
      </c>
      <c r="B157" s="39">
        <v>0.2</v>
      </c>
      <c r="C157" s="65"/>
    </row>
    <row r="158" spans="1:3">
      <c r="A158" s="49" t="s">
        <v>225</v>
      </c>
      <c r="B158" s="65"/>
      <c r="C158" s="104">
        <f>ROUND((C155/B156)*B157,2)</f>
        <v>0</v>
      </c>
    </row>
    <row r="159" spans="1:3">
      <c r="A159" s="49" t="s">
        <v>231</v>
      </c>
      <c r="B159" s="29">
        <v>60</v>
      </c>
      <c r="C159" s="65"/>
    </row>
    <row r="160" spans="1:3">
      <c r="A160" s="49" t="s">
        <v>232</v>
      </c>
      <c r="B160" s="29">
        <v>52.5</v>
      </c>
      <c r="C160" s="65"/>
    </row>
    <row r="161" spans="1:3">
      <c r="A161" s="49" t="s">
        <v>233</v>
      </c>
      <c r="B161" s="29">
        <f>+B159/B160</f>
        <v>1.1428571428571428</v>
      </c>
      <c r="C161" s="65"/>
    </row>
    <row r="162" spans="1:3">
      <c r="A162" s="49" t="s">
        <v>234</v>
      </c>
      <c r="B162" s="29">
        <f>ROUND(+B161*B151,2)</f>
        <v>121.75</v>
      </c>
      <c r="C162" s="65"/>
    </row>
    <row r="163" spans="1:3">
      <c r="A163" s="49" t="s">
        <v>235</v>
      </c>
      <c r="B163" s="29">
        <f>ROUND(B162-B151,2)</f>
        <v>15.22</v>
      </c>
      <c r="C163" s="105"/>
    </row>
    <row r="164" spans="1:3">
      <c r="A164" s="754" t="s">
        <v>236</v>
      </c>
      <c r="B164" s="754"/>
      <c r="C164" s="77">
        <f>+B163*C158</f>
        <v>0</v>
      </c>
    </row>
  </sheetData>
  <mergeCells count="37">
    <mergeCell ref="A27:C27"/>
    <mergeCell ref="A1:C1"/>
    <mergeCell ref="A9:C9"/>
    <mergeCell ref="A16:B16"/>
    <mergeCell ref="A18:C18"/>
    <mergeCell ref="A25:B25"/>
    <mergeCell ref="A69:C69"/>
    <mergeCell ref="A31:B31"/>
    <mergeCell ref="A33:C33"/>
    <mergeCell ref="A42:B42"/>
    <mergeCell ref="A44:B44"/>
    <mergeCell ref="A45:B45"/>
    <mergeCell ref="A47:C47"/>
    <mergeCell ref="A53:B53"/>
    <mergeCell ref="A55:C55"/>
    <mergeCell ref="A64:B64"/>
    <mergeCell ref="A66:B66"/>
    <mergeCell ref="A67:B67"/>
    <mergeCell ref="A116:B116"/>
    <mergeCell ref="A70:C73"/>
    <mergeCell ref="A75:C75"/>
    <mergeCell ref="A80:B80"/>
    <mergeCell ref="A82:C82"/>
    <mergeCell ref="A89:B89"/>
    <mergeCell ref="A91:C91"/>
    <mergeCell ref="A97:B97"/>
    <mergeCell ref="A99:C99"/>
    <mergeCell ref="A105:B105"/>
    <mergeCell ref="A107:C107"/>
    <mergeCell ref="A108:C108"/>
    <mergeCell ref="A164:B164"/>
    <mergeCell ref="A117:C117"/>
    <mergeCell ref="A126:B126"/>
    <mergeCell ref="A128:C128"/>
    <mergeCell ref="A130:C130"/>
    <mergeCell ref="A143:B143"/>
    <mergeCell ref="A145:C145"/>
  </mergeCells>
  <pageMargins left="1.1100000000000001" right="0.17" top="0.39" bottom="0.78740157480314965" header="0.31496062992125984" footer="0.31496062992125984"/>
  <pageSetup paperSize="9" scale="85" orientation="portrait" r:id="rId1"/>
  <headerFooter>
    <oddFoote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workbookViewId="0">
      <selection activeCell="C18" sqref="C18"/>
    </sheetView>
  </sheetViews>
  <sheetFormatPr defaultColWidth="9" defaultRowHeight="10.199999999999999"/>
  <cols>
    <col min="1" max="1" width="48.7265625" style="119" customWidth="1"/>
    <col min="2" max="2" width="5.08984375" style="119" customWidth="1"/>
    <col min="3" max="3" width="9" style="119"/>
    <col min="4" max="4" width="10" style="119" customWidth="1"/>
    <col min="5" max="5" width="11.08984375" style="119" customWidth="1"/>
    <col min="6" max="6" width="10" style="119" customWidth="1"/>
    <col min="7" max="16384" width="9" style="119"/>
  </cols>
  <sheetData>
    <row r="1" spans="1:6" ht="13.8">
      <c r="A1" s="1" t="s">
        <v>242</v>
      </c>
      <c r="B1" s="1"/>
      <c r="C1" s="1"/>
      <c r="D1" s="1"/>
      <c r="E1" s="1"/>
      <c r="F1" s="1"/>
    </row>
    <row r="2" spans="1:6" ht="20.399999999999999">
      <c r="A2" s="121" t="s">
        <v>243</v>
      </c>
      <c r="B2" s="122" t="s">
        <v>239</v>
      </c>
      <c r="C2" s="121" t="s">
        <v>238</v>
      </c>
      <c r="D2" s="123" t="s">
        <v>244</v>
      </c>
      <c r="E2" s="123" t="s">
        <v>245</v>
      </c>
      <c r="F2" s="123" t="s">
        <v>246</v>
      </c>
    </row>
    <row r="3" spans="1:6" ht="20.399999999999999">
      <c r="A3" s="124" t="s">
        <v>247</v>
      </c>
      <c r="B3" s="125">
        <v>4</v>
      </c>
      <c r="C3" s="126">
        <v>2</v>
      </c>
      <c r="D3" s="624"/>
      <c r="E3" s="127">
        <f t="shared" ref="E3:E7" si="0">+D3*B3</f>
        <v>0</v>
      </c>
      <c r="F3" s="127">
        <f t="shared" ref="F3:F7" si="1">ROUNDDOWN(+E3/12,2)</f>
        <v>0</v>
      </c>
    </row>
    <row r="4" spans="1:6" ht="20.399999999999999">
      <c r="A4" s="124" t="s">
        <v>248</v>
      </c>
      <c r="B4" s="125">
        <v>6</v>
      </c>
      <c r="C4" s="126">
        <v>3</v>
      </c>
      <c r="D4" s="624"/>
      <c r="E4" s="127">
        <f t="shared" si="0"/>
        <v>0</v>
      </c>
      <c r="F4" s="127">
        <f t="shared" si="1"/>
        <v>0</v>
      </c>
    </row>
    <row r="5" spans="1:6">
      <c r="A5" s="124" t="s">
        <v>237</v>
      </c>
      <c r="B5" s="126">
        <v>2</v>
      </c>
      <c r="C5" s="126">
        <v>1</v>
      </c>
      <c r="D5" s="624"/>
      <c r="E5" s="127">
        <f t="shared" si="0"/>
        <v>0</v>
      </c>
      <c r="F5" s="127">
        <f t="shared" si="1"/>
        <v>0</v>
      </c>
    </row>
    <row r="6" spans="1:6" ht="44.25" customHeight="1">
      <c r="A6" s="128" t="s">
        <v>249</v>
      </c>
      <c r="B6" s="126">
        <f>+C6*2</f>
        <v>36</v>
      </c>
      <c r="C6" s="126">
        <v>18</v>
      </c>
      <c r="D6" s="624"/>
      <c r="E6" s="127">
        <f t="shared" si="0"/>
        <v>0</v>
      </c>
      <c r="F6" s="127">
        <f t="shared" si="1"/>
        <v>0</v>
      </c>
    </row>
    <row r="7" spans="1:6" ht="51">
      <c r="A7" s="118" t="s">
        <v>240</v>
      </c>
      <c r="B7" s="126">
        <v>1</v>
      </c>
      <c r="C7" s="126"/>
      <c r="D7" s="624"/>
      <c r="E7" s="127">
        <f t="shared" si="0"/>
        <v>0</v>
      </c>
      <c r="F7" s="127">
        <f t="shared" si="1"/>
        <v>0</v>
      </c>
    </row>
    <row r="8" spans="1:6">
      <c r="D8" s="129"/>
      <c r="E8" s="129"/>
      <c r="F8" s="130">
        <f>ROUNDDOWN(SUM(F3:F7),2)</f>
        <v>0</v>
      </c>
    </row>
    <row r="9" spans="1:6" ht="13.8">
      <c r="A9" s="131" t="s">
        <v>250</v>
      </c>
      <c r="B9" s="1"/>
      <c r="C9" s="1"/>
      <c r="D9" s="1"/>
      <c r="E9" s="1"/>
      <c r="F9" s="1"/>
    </row>
    <row r="10" spans="1:6" ht="20.399999999999999">
      <c r="A10" s="121" t="s">
        <v>243</v>
      </c>
      <c r="B10" s="122" t="s">
        <v>239</v>
      </c>
      <c r="C10" s="121" t="s">
        <v>238</v>
      </c>
      <c r="D10" s="123" t="s">
        <v>244</v>
      </c>
      <c r="E10" s="123" t="s">
        <v>245</v>
      </c>
      <c r="F10" s="123" t="s">
        <v>246</v>
      </c>
    </row>
    <row r="11" spans="1:6" ht="20.399999999999999">
      <c r="A11" s="124" t="s">
        <v>247</v>
      </c>
      <c r="B11" s="125">
        <v>4</v>
      </c>
      <c r="C11" s="126">
        <v>2</v>
      </c>
      <c r="D11" s="624"/>
      <c r="E11" s="127">
        <f t="shared" ref="E11:E16" si="2">+D11*B11</f>
        <v>0</v>
      </c>
      <c r="F11" s="127">
        <f t="shared" ref="F11:F16" si="3">ROUNDDOWN(+E11/12,2)</f>
        <v>0</v>
      </c>
    </row>
    <row r="12" spans="1:6" ht="20.399999999999999">
      <c r="A12" s="124" t="s">
        <v>251</v>
      </c>
      <c r="B12" s="125">
        <v>4</v>
      </c>
      <c r="C12" s="126">
        <v>2</v>
      </c>
      <c r="D12" s="624"/>
      <c r="E12" s="127">
        <f t="shared" si="2"/>
        <v>0</v>
      </c>
      <c r="F12" s="127">
        <f t="shared" si="3"/>
        <v>0</v>
      </c>
    </row>
    <row r="13" spans="1:6">
      <c r="A13" s="124" t="s">
        <v>237</v>
      </c>
      <c r="B13" s="126">
        <v>2</v>
      </c>
      <c r="C13" s="126">
        <v>1</v>
      </c>
      <c r="D13" s="624"/>
      <c r="E13" s="127">
        <f t="shared" si="2"/>
        <v>0</v>
      </c>
      <c r="F13" s="127">
        <f t="shared" si="3"/>
        <v>0</v>
      </c>
    </row>
    <row r="14" spans="1:6" ht="20.399999999999999">
      <c r="A14" s="124" t="s">
        <v>252</v>
      </c>
      <c r="B14" s="126">
        <v>4</v>
      </c>
      <c r="C14" s="126">
        <v>2</v>
      </c>
      <c r="D14" s="624"/>
      <c r="E14" s="127">
        <f t="shared" si="2"/>
        <v>0</v>
      </c>
      <c r="F14" s="127">
        <f t="shared" si="3"/>
        <v>0</v>
      </c>
    </row>
    <row r="15" spans="1:6">
      <c r="A15" s="124" t="s">
        <v>253</v>
      </c>
      <c r="B15" s="126">
        <v>1</v>
      </c>
      <c r="C15" s="126">
        <v>0</v>
      </c>
      <c r="D15" s="624"/>
      <c r="E15" s="127">
        <f t="shared" si="2"/>
        <v>0</v>
      </c>
      <c r="F15" s="127">
        <f t="shared" si="3"/>
        <v>0</v>
      </c>
    </row>
    <row r="16" spans="1:6" ht="51">
      <c r="A16" s="118" t="s">
        <v>240</v>
      </c>
      <c r="B16" s="126">
        <v>1</v>
      </c>
      <c r="C16" s="126"/>
      <c r="D16" s="624"/>
      <c r="E16" s="127">
        <f t="shared" si="2"/>
        <v>0</v>
      </c>
      <c r="F16" s="127">
        <f t="shared" si="3"/>
        <v>0</v>
      </c>
    </row>
    <row r="17" spans="4:6">
      <c r="D17" s="129"/>
      <c r="E17" s="129"/>
      <c r="F17" s="130">
        <f>ROUNDDOWN(SUM(F11:F16),2)</f>
        <v>0</v>
      </c>
    </row>
  </sheetData>
  <pageMargins left="0.9055118110236221" right="0.51181102362204722" top="0.78740157480314965" bottom="0.78740157480314965" header="0.31496062992125984" footer="0.31496062992125984"/>
  <pageSetup paperSize="9" scale="82" orientation="portrait" r:id="rId1"/>
  <headerFooter>
    <oddFooter>&amp;A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topLeftCell="A28" workbookViewId="0">
      <selection activeCell="G40" sqref="G40"/>
    </sheetView>
  </sheetViews>
  <sheetFormatPr defaultColWidth="9" defaultRowHeight="10.199999999999999"/>
  <cols>
    <col min="1" max="1" width="6.36328125" style="119" customWidth="1"/>
    <col min="2" max="2" width="57.453125" style="246" customWidth="1"/>
    <col min="3" max="3" width="9" style="247"/>
    <col min="4" max="4" width="9" style="244"/>
    <col min="5" max="5" width="12.36328125" style="119" bestFit="1" customWidth="1"/>
    <col min="6" max="6" width="13.7265625" style="245" customWidth="1"/>
    <col min="7" max="7" width="23.08984375" style="245" customWidth="1"/>
    <col min="8" max="8" width="9.453125" style="119" customWidth="1"/>
    <col min="9" max="9" width="11.26953125" style="119" customWidth="1"/>
    <col min="10" max="10" width="10.7265625" style="119" customWidth="1"/>
    <col min="11" max="11" width="11.26953125" style="119" customWidth="1"/>
    <col min="12" max="12" width="9.90625" style="119" customWidth="1"/>
    <col min="13" max="13" width="10.08984375" style="119" customWidth="1"/>
    <col min="14" max="18" width="9" style="119"/>
    <col min="19" max="19" width="10.453125" style="119" bestFit="1" customWidth="1"/>
    <col min="20" max="21" width="9" style="119"/>
    <col min="22" max="22" width="11.6328125" style="119" customWidth="1"/>
    <col min="23" max="16384" width="9" style="119"/>
  </cols>
  <sheetData>
    <row r="1" spans="1:19">
      <c r="B1" s="120" t="s">
        <v>122</v>
      </c>
      <c r="C1" s="243">
        <f>+'Servente 44h seg a sex'!C129</f>
        <v>0.03</v>
      </c>
    </row>
    <row r="2" spans="1:19">
      <c r="B2" s="120" t="s">
        <v>123</v>
      </c>
      <c r="C2" s="243">
        <f>+'Servente 44h seg a sex'!C130</f>
        <v>0.03</v>
      </c>
    </row>
    <row r="3" spans="1:19">
      <c r="B3" s="120" t="s">
        <v>129</v>
      </c>
      <c r="C3" s="243">
        <f>+'Servente 44h seg a sex'!C135</f>
        <v>1.6500000000000001E-2</v>
      </c>
    </row>
    <row r="4" spans="1:19">
      <c r="B4" s="120" t="s">
        <v>131</v>
      </c>
      <c r="C4" s="243">
        <f>+'Servente 44h seg a sex'!C136</f>
        <v>7.5999999999999998E-2</v>
      </c>
    </row>
    <row r="5" spans="1:19" ht="10.8" thickBot="1">
      <c r="B5" s="120" t="s">
        <v>139</v>
      </c>
      <c r="C5" s="243">
        <f>+'Servente 44h seg a sex'!C140</f>
        <v>0.05</v>
      </c>
    </row>
    <row r="6" spans="1:19" ht="10.8" thickBot="1">
      <c r="J6" s="299">
        <f>+C1</f>
        <v>0.03</v>
      </c>
      <c r="L6" s="299">
        <f>+C2</f>
        <v>0.03</v>
      </c>
      <c r="N6" s="299">
        <f>+C3</f>
        <v>1.6500000000000001E-2</v>
      </c>
      <c r="O6" s="299">
        <f>+C4</f>
        <v>7.5999999999999998E-2</v>
      </c>
      <c r="P6" s="299">
        <f>+C5</f>
        <v>0.05</v>
      </c>
    </row>
    <row r="7" spans="1:19" s="224" customFormat="1" ht="41.4" thickBot="1">
      <c r="A7" s="300"/>
      <c r="B7" s="301" t="s">
        <v>396</v>
      </c>
      <c r="C7" s="293" t="s">
        <v>260</v>
      </c>
      <c r="D7" s="294" t="s">
        <v>405</v>
      </c>
      <c r="E7" s="295" t="s">
        <v>424</v>
      </c>
      <c r="F7" s="296" t="s">
        <v>241</v>
      </c>
      <c r="G7" s="625" t="s">
        <v>720</v>
      </c>
      <c r="H7" s="297" t="s">
        <v>77</v>
      </c>
      <c r="I7" s="297" t="s">
        <v>261</v>
      </c>
      <c r="J7" s="297" t="s">
        <v>122</v>
      </c>
      <c r="K7" s="297" t="s">
        <v>262</v>
      </c>
      <c r="L7" s="297" t="s">
        <v>123</v>
      </c>
      <c r="M7" s="297" t="s">
        <v>262</v>
      </c>
      <c r="N7" s="297" t="s">
        <v>129</v>
      </c>
      <c r="O7" s="297" t="s">
        <v>131</v>
      </c>
      <c r="P7" s="297" t="s">
        <v>139</v>
      </c>
      <c r="Q7" s="297" t="s">
        <v>445</v>
      </c>
      <c r="R7" s="297" t="s">
        <v>449</v>
      </c>
      <c r="S7" s="298" t="s">
        <v>264</v>
      </c>
    </row>
    <row r="8" spans="1:19" ht="102">
      <c r="A8" s="847" t="s">
        <v>408</v>
      </c>
      <c r="B8" s="302" t="s">
        <v>406</v>
      </c>
      <c r="C8" s="291" t="s">
        <v>397</v>
      </c>
      <c r="D8" s="292">
        <v>400</v>
      </c>
      <c r="E8" s="283">
        <v>269943</v>
      </c>
      <c r="F8" s="626"/>
      <c r="G8" s="626"/>
      <c r="H8" s="284">
        <f>ROUND(+F8*($N$6+$O$6)*-1,2)</f>
        <v>0</v>
      </c>
      <c r="I8" s="284">
        <f>+H8+F8</f>
        <v>0</v>
      </c>
      <c r="J8" s="284">
        <f>ROUND($J$6*I8,2)</f>
        <v>0</v>
      </c>
      <c r="K8" s="284">
        <f>+J8+I8</f>
        <v>0</v>
      </c>
      <c r="L8" s="284">
        <f>ROUND(+K8*$L$6,2)</f>
        <v>0</v>
      </c>
      <c r="M8" s="284">
        <f>+L8+K8</f>
        <v>0</v>
      </c>
      <c r="N8" s="284">
        <f>ROUND(+M8*$N$6,2)</f>
        <v>0</v>
      </c>
      <c r="O8" s="284">
        <f>ROUND(+M8*$O$6,2)</f>
        <v>0</v>
      </c>
      <c r="P8" s="284">
        <f>ROUND(+M8*$P$6,2)</f>
        <v>0</v>
      </c>
      <c r="Q8" s="284">
        <f>ROUND(+P8+O8+N8,2)</f>
        <v>0</v>
      </c>
      <c r="R8" s="284">
        <f>ROUND(+Q8+M8,2)</f>
        <v>0</v>
      </c>
      <c r="S8" s="285">
        <f>ROUND(R8*D8,2)</f>
        <v>0</v>
      </c>
    </row>
    <row r="9" spans="1:19">
      <c r="A9" s="848"/>
      <c r="B9" s="303" t="s">
        <v>355</v>
      </c>
      <c r="C9" s="248" t="s">
        <v>398</v>
      </c>
      <c r="D9" s="249">
        <v>96</v>
      </c>
      <c r="E9" s="120">
        <v>269941</v>
      </c>
      <c r="F9" s="627"/>
      <c r="G9" s="627"/>
      <c r="H9" s="264">
        <f t="shared" ref="H9:H66" si="0">ROUND(+F9*($N$6+$O$6)*-1,2)</f>
        <v>0</v>
      </c>
      <c r="I9" s="264">
        <f t="shared" ref="I9:I66" si="1">+H9+F9</f>
        <v>0</v>
      </c>
      <c r="J9" s="264">
        <f t="shared" ref="J9:J66" si="2">ROUND($J$6*I9,2)</f>
        <v>0</v>
      </c>
      <c r="K9" s="264">
        <f t="shared" ref="K9:K66" si="3">+J9+I9</f>
        <v>0</v>
      </c>
      <c r="L9" s="264">
        <f t="shared" ref="L9:L66" si="4">ROUND(+K9*$L$6,2)</f>
        <v>0</v>
      </c>
      <c r="M9" s="264">
        <f t="shared" ref="M9:M66" si="5">+L9+K9</f>
        <v>0</v>
      </c>
      <c r="N9" s="264">
        <f t="shared" ref="N9:N66" si="6">ROUND(+M9*$N$6,2)</f>
        <v>0</v>
      </c>
      <c r="O9" s="264">
        <f t="shared" ref="O9:O66" si="7">ROUND(+M9*$O$6,2)</f>
        <v>0</v>
      </c>
      <c r="P9" s="264">
        <f t="shared" ref="P9:P66" si="8">ROUND(+M9*$P$6,2)</f>
        <v>0</v>
      </c>
      <c r="Q9" s="264">
        <f t="shared" ref="Q9:Q66" si="9">ROUND(+P9+O9+N9,2)</f>
        <v>0</v>
      </c>
      <c r="R9" s="264">
        <f t="shared" ref="R9:R66" si="10">ROUND(+Q9+M9,2)</f>
        <v>0</v>
      </c>
      <c r="S9" s="273">
        <f t="shared" ref="S9:S78" si="11">ROUND(R9*D9,2)</f>
        <v>0</v>
      </c>
    </row>
    <row r="10" spans="1:19" ht="20.399999999999999">
      <c r="A10" s="848"/>
      <c r="B10" s="304" t="s">
        <v>356</v>
      </c>
      <c r="C10" s="248" t="s">
        <v>399</v>
      </c>
      <c r="D10" s="249">
        <v>25</v>
      </c>
      <c r="E10" s="120">
        <v>234431</v>
      </c>
      <c r="F10" s="627"/>
      <c r="G10" s="627"/>
      <c r="H10" s="264">
        <f t="shared" si="0"/>
        <v>0</v>
      </c>
      <c r="I10" s="264">
        <f t="shared" si="1"/>
        <v>0</v>
      </c>
      <c r="J10" s="264">
        <f t="shared" si="2"/>
        <v>0</v>
      </c>
      <c r="K10" s="264">
        <f t="shared" si="3"/>
        <v>0</v>
      </c>
      <c r="L10" s="264">
        <f t="shared" si="4"/>
        <v>0</v>
      </c>
      <c r="M10" s="264">
        <f t="shared" si="5"/>
        <v>0</v>
      </c>
      <c r="N10" s="264">
        <f t="shared" si="6"/>
        <v>0</v>
      </c>
      <c r="O10" s="264">
        <f t="shared" si="7"/>
        <v>0</v>
      </c>
      <c r="P10" s="264">
        <f t="shared" si="8"/>
        <v>0</v>
      </c>
      <c r="Q10" s="264">
        <f t="shared" si="9"/>
        <v>0</v>
      </c>
      <c r="R10" s="264">
        <f t="shared" si="10"/>
        <v>0</v>
      </c>
      <c r="S10" s="273">
        <f t="shared" si="11"/>
        <v>0</v>
      </c>
    </row>
    <row r="11" spans="1:19" ht="30.6">
      <c r="A11" s="848"/>
      <c r="B11" s="305" t="s">
        <v>441</v>
      </c>
      <c r="C11" s="248" t="s">
        <v>400</v>
      </c>
      <c r="D11" s="249">
        <v>10</v>
      </c>
      <c r="E11" s="120">
        <v>252531</v>
      </c>
      <c r="F11" s="627"/>
      <c r="G11" s="627"/>
      <c r="H11" s="264">
        <f t="shared" si="0"/>
        <v>0</v>
      </c>
      <c r="I11" s="264">
        <f t="shared" si="1"/>
        <v>0</v>
      </c>
      <c r="J11" s="264">
        <f t="shared" si="2"/>
        <v>0</v>
      </c>
      <c r="K11" s="264">
        <f t="shared" si="3"/>
        <v>0</v>
      </c>
      <c r="L11" s="264">
        <f t="shared" si="4"/>
        <v>0</v>
      </c>
      <c r="M11" s="264">
        <f t="shared" si="5"/>
        <v>0</v>
      </c>
      <c r="N11" s="264">
        <f t="shared" si="6"/>
        <v>0</v>
      </c>
      <c r="O11" s="264">
        <f t="shared" si="7"/>
        <v>0</v>
      </c>
      <c r="P11" s="264">
        <f t="shared" si="8"/>
        <v>0</v>
      </c>
      <c r="Q11" s="264">
        <f t="shared" si="9"/>
        <v>0</v>
      </c>
      <c r="R11" s="264">
        <f t="shared" si="10"/>
        <v>0</v>
      </c>
      <c r="S11" s="273">
        <f t="shared" si="11"/>
        <v>0</v>
      </c>
    </row>
    <row r="12" spans="1:19">
      <c r="A12" s="848"/>
      <c r="B12" s="304" t="s">
        <v>426</v>
      </c>
      <c r="C12" s="248" t="s">
        <v>399</v>
      </c>
      <c r="D12" s="249">
        <v>70</v>
      </c>
      <c r="E12" s="120">
        <v>292586</v>
      </c>
      <c r="F12" s="627"/>
      <c r="G12" s="627"/>
      <c r="H12" s="264">
        <f t="shared" si="0"/>
        <v>0</v>
      </c>
      <c r="I12" s="264">
        <f t="shared" si="1"/>
        <v>0</v>
      </c>
      <c r="J12" s="264">
        <f t="shared" si="2"/>
        <v>0</v>
      </c>
      <c r="K12" s="264">
        <f t="shared" si="3"/>
        <v>0</v>
      </c>
      <c r="L12" s="264">
        <f t="shared" si="4"/>
        <v>0</v>
      </c>
      <c r="M12" s="264">
        <f t="shared" si="5"/>
        <v>0</v>
      </c>
      <c r="N12" s="264">
        <f t="shared" si="6"/>
        <v>0</v>
      </c>
      <c r="O12" s="264">
        <f t="shared" si="7"/>
        <v>0</v>
      </c>
      <c r="P12" s="264">
        <f t="shared" si="8"/>
        <v>0</v>
      </c>
      <c r="Q12" s="264">
        <f t="shared" si="9"/>
        <v>0</v>
      </c>
      <c r="R12" s="264">
        <f t="shared" si="10"/>
        <v>0</v>
      </c>
      <c r="S12" s="273">
        <f t="shared" si="11"/>
        <v>0</v>
      </c>
    </row>
    <row r="13" spans="1:19">
      <c r="A13" s="848"/>
      <c r="B13" s="304" t="s">
        <v>427</v>
      </c>
      <c r="C13" s="248" t="s">
        <v>399</v>
      </c>
      <c r="D13" s="249">
        <v>100</v>
      </c>
      <c r="E13" s="120">
        <v>299605</v>
      </c>
      <c r="F13" s="627"/>
      <c r="G13" s="627"/>
      <c r="H13" s="264">
        <f t="shared" si="0"/>
        <v>0</v>
      </c>
      <c r="I13" s="264">
        <f t="shared" si="1"/>
        <v>0</v>
      </c>
      <c r="J13" s="264">
        <f t="shared" si="2"/>
        <v>0</v>
      </c>
      <c r="K13" s="264">
        <f t="shared" si="3"/>
        <v>0</v>
      </c>
      <c r="L13" s="264">
        <f t="shared" si="4"/>
        <v>0</v>
      </c>
      <c r="M13" s="264">
        <f t="shared" si="5"/>
        <v>0</v>
      </c>
      <c r="N13" s="264">
        <f t="shared" si="6"/>
        <v>0</v>
      </c>
      <c r="O13" s="264">
        <f t="shared" si="7"/>
        <v>0</v>
      </c>
      <c r="P13" s="264">
        <f t="shared" si="8"/>
        <v>0</v>
      </c>
      <c r="Q13" s="264">
        <f t="shared" si="9"/>
        <v>0</v>
      </c>
      <c r="R13" s="264">
        <f t="shared" si="10"/>
        <v>0</v>
      </c>
      <c r="S13" s="273">
        <f t="shared" si="11"/>
        <v>0</v>
      </c>
    </row>
    <row r="14" spans="1:19" ht="20.399999999999999">
      <c r="A14" s="848"/>
      <c r="B14" s="304" t="s">
        <v>407</v>
      </c>
      <c r="C14" s="261" t="s">
        <v>402</v>
      </c>
      <c r="D14" s="262">
        <v>72</v>
      </c>
      <c r="E14" s="120"/>
      <c r="F14" s="627"/>
      <c r="G14" s="627"/>
      <c r="H14" s="264">
        <f t="shared" si="0"/>
        <v>0</v>
      </c>
      <c r="I14" s="264">
        <f t="shared" si="1"/>
        <v>0</v>
      </c>
      <c r="J14" s="264">
        <f t="shared" si="2"/>
        <v>0</v>
      </c>
      <c r="K14" s="264">
        <f t="shared" si="3"/>
        <v>0</v>
      </c>
      <c r="L14" s="264">
        <f t="shared" si="4"/>
        <v>0</v>
      </c>
      <c r="M14" s="264">
        <f t="shared" si="5"/>
        <v>0</v>
      </c>
      <c r="N14" s="264">
        <f t="shared" si="6"/>
        <v>0</v>
      </c>
      <c r="O14" s="264">
        <f t="shared" si="7"/>
        <v>0</v>
      </c>
      <c r="P14" s="264">
        <f t="shared" si="8"/>
        <v>0</v>
      </c>
      <c r="Q14" s="264">
        <f t="shared" si="9"/>
        <v>0</v>
      </c>
      <c r="R14" s="264">
        <f t="shared" si="10"/>
        <v>0</v>
      </c>
      <c r="S14" s="273">
        <f t="shared" si="11"/>
        <v>0</v>
      </c>
    </row>
    <row r="15" spans="1:19" ht="20.399999999999999">
      <c r="A15" s="848"/>
      <c r="B15" s="304" t="s">
        <v>428</v>
      </c>
      <c r="C15" s="248" t="s">
        <v>399</v>
      </c>
      <c r="D15" s="249">
        <v>30</v>
      </c>
      <c r="E15" s="120"/>
      <c r="F15" s="627"/>
      <c r="G15" s="627"/>
      <c r="H15" s="264">
        <f t="shared" si="0"/>
        <v>0</v>
      </c>
      <c r="I15" s="264">
        <f t="shared" si="1"/>
        <v>0</v>
      </c>
      <c r="J15" s="264">
        <f t="shared" si="2"/>
        <v>0</v>
      </c>
      <c r="K15" s="264">
        <f t="shared" si="3"/>
        <v>0</v>
      </c>
      <c r="L15" s="264">
        <f t="shared" si="4"/>
        <v>0</v>
      </c>
      <c r="M15" s="264">
        <f t="shared" si="5"/>
        <v>0</v>
      </c>
      <c r="N15" s="264">
        <f t="shared" si="6"/>
        <v>0</v>
      </c>
      <c r="O15" s="264">
        <f t="shared" si="7"/>
        <v>0</v>
      </c>
      <c r="P15" s="264">
        <f t="shared" si="8"/>
        <v>0</v>
      </c>
      <c r="Q15" s="264">
        <f t="shared" si="9"/>
        <v>0</v>
      </c>
      <c r="R15" s="264">
        <f t="shared" si="10"/>
        <v>0</v>
      </c>
      <c r="S15" s="273">
        <f t="shared" si="11"/>
        <v>0</v>
      </c>
    </row>
    <row r="16" spans="1:19" ht="30.6">
      <c r="A16" s="848"/>
      <c r="B16" s="304" t="s">
        <v>429</v>
      </c>
      <c r="C16" s="248" t="s">
        <v>399</v>
      </c>
      <c r="D16" s="249">
        <v>60</v>
      </c>
      <c r="E16" s="120"/>
      <c r="F16" s="627"/>
      <c r="G16" s="627"/>
      <c r="H16" s="264">
        <f t="shared" si="0"/>
        <v>0</v>
      </c>
      <c r="I16" s="264">
        <f t="shared" si="1"/>
        <v>0</v>
      </c>
      <c r="J16" s="264">
        <f t="shared" si="2"/>
        <v>0</v>
      </c>
      <c r="K16" s="264">
        <f t="shared" si="3"/>
        <v>0</v>
      </c>
      <c r="L16" s="264">
        <f t="shared" si="4"/>
        <v>0</v>
      </c>
      <c r="M16" s="264">
        <f t="shared" si="5"/>
        <v>0</v>
      </c>
      <c r="N16" s="264">
        <f t="shared" si="6"/>
        <v>0</v>
      </c>
      <c r="O16" s="264">
        <f t="shared" si="7"/>
        <v>0</v>
      </c>
      <c r="P16" s="264">
        <f t="shared" si="8"/>
        <v>0</v>
      </c>
      <c r="Q16" s="264">
        <f t="shared" si="9"/>
        <v>0</v>
      </c>
      <c r="R16" s="264">
        <f t="shared" si="10"/>
        <v>0</v>
      </c>
      <c r="S16" s="273">
        <f t="shared" si="11"/>
        <v>0</v>
      </c>
    </row>
    <row r="17" spans="1:19">
      <c r="A17" s="848"/>
      <c r="B17" s="304" t="s">
        <v>358</v>
      </c>
      <c r="C17" s="248" t="s">
        <v>399</v>
      </c>
      <c r="D17" s="249">
        <v>20</v>
      </c>
      <c r="E17" s="120"/>
      <c r="F17" s="627"/>
      <c r="G17" s="627"/>
      <c r="H17" s="264">
        <f t="shared" si="0"/>
        <v>0</v>
      </c>
      <c r="I17" s="264">
        <f t="shared" si="1"/>
        <v>0</v>
      </c>
      <c r="J17" s="264">
        <f t="shared" si="2"/>
        <v>0</v>
      </c>
      <c r="K17" s="264">
        <f t="shared" si="3"/>
        <v>0</v>
      </c>
      <c r="L17" s="264">
        <f t="shared" si="4"/>
        <v>0</v>
      </c>
      <c r="M17" s="264">
        <f t="shared" si="5"/>
        <v>0</v>
      </c>
      <c r="N17" s="264">
        <f t="shared" si="6"/>
        <v>0</v>
      </c>
      <c r="O17" s="264">
        <f t="shared" si="7"/>
        <v>0</v>
      </c>
      <c r="P17" s="264">
        <f t="shared" si="8"/>
        <v>0</v>
      </c>
      <c r="Q17" s="264">
        <f t="shared" si="9"/>
        <v>0</v>
      </c>
      <c r="R17" s="264">
        <f t="shared" si="10"/>
        <v>0</v>
      </c>
      <c r="S17" s="273">
        <f t="shared" si="11"/>
        <v>0</v>
      </c>
    </row>
    <row r="18" spans="1:19">
      <c r="A18" s="848"/>
      <c r="B18" s="304" t="s">
        <v>359</v>
      </c>
      <c r="C18" s="248" t="s">
        <v>399</v>
      </c>
      <c r="D18" s="249">
        <v>20</v>
      </c>
      <c r="E18" s="120"/>
      <c r="F18" s="627"/>
      <c r="G18" s="627"/>
      <c r="H18" s="264">
        <f t="shared" si="0"/>
        <v>0</v>
      </c>
      <c r="I18" s="264">
        <f t="shared" si="1"/>
        <v>0</v>
      </c>
      <c r="J18" s="264">
        <f t="shared" si="2"/>
        <v>0</v>
      </c>
      <c r="K18" s="264">
        <f t="shared" si="3"/>
        <v>0</v>
      </c>
      <c r="L18" s="264">
        <f t="shared" si="4"/>
        <v>0</v>
      </c>
      <c r="M18" s="264">
        <f t="shared" si="5"/>
        <v>0</v>
      </c>
      <c r="N18" s="264">
        <f t="shared" si="6"/>
        <v>0</v>
      </c>
      <c r="O18" s="264">
        <f t="shared" si="7"/>
        <v>0</v>
      </c>
      <c r="P18" s="264">
        <f t="shared" si="8"/>
        <v>0</v>
      </c>
      <c r="Q18" s="264">
        <f t="shared" si="9"/>
        <v>0</v>
      </c>
      <c r="R18" s="264">
        <f t="shared" si="10"/>
        <v>0</v>
      </c>
      <c r="S18" s="273">
        <f t="shared" si="11"/>
        <v>0</v>
      </c>
    </row>
    <row r="19" spans="1:19">
      <c r="A19" s="848"/>
      <c r="B19" s="304" t="s">
        <v>360</v>
      </c>
      <c r="C19" s="248" t="s">
        <v>399</v>
      </c>
      <c r="D19" s="249">
        <v>20</v>
      </c>
      <c r="E19" s="120"/>
      <c r="F19" s="627"/>
      <c r="G19" s="627"/>
      <c r="H19" s="264">
        <f t="shared" si="0"/>
        <v>0</v>
      </c>
      <c r="I19" s="264">
        <f t="shared" si="1"/>
        <v>0</v>
      </c>
      <c r="J19" s="264">
        <f t="shared" si="2"/>
        <v>0</v>
      </c>
      <c r="K19" s="264">
        <f t="shared" si="3"/>
        <v>0</v>
      </c>
      <c r="L19" s="264">
        <f t="shared" si="4"/>
        <v>0</v>
      </c>
      <c r="M19" s="264">
        <f t="shared" si="5"/>
        <v>0</v>
      </c>
      <c r="N19" s="264">
        <f t="shared" si="6"/>
        <v>0</v>
      </c>
      <c r="O19" s="264">
        <f t="shared" si="7"/>
        <v>0</v>
      </c>
      <c r="P19" s="264">
        <f t="shared" si="8"/>
        <v>0</v>
      </c>
      <c r="Q19" s="264">
        <f t="shared" si="9"/>
        <v>0</v>
      </c>
      <c r="R19" s="264">
        <f t="shared" si="10"/>
        <v>0</v>
      </c>
      <c r="S19" s="273">
        <f t="shared" si="11"/>
        <v>0</v>
      </c>
    </row>
    <row r="20" spans="1:19">
      <c r="A20" s="848"/>
      <c r="B20" s="304" t="s">
        <v>361</v>
      </c>
      <c r="C20" s="248" t="s">
        <v>399</v>
      </c>
      <c r="D20" s="249">
        <v>20</v>
      </c>
      <c r="E20" s="120"/>
      <c r="F20" s="627"/>
      <c r="G20" s="627"/>
      <c r="H20" s="264">
        <f t="shared" si="0"/>
        <v>0</v>
      </c>
      <c r="I20" s="264">
        <f t="shared" si="1"/>
        <v>0</v>
      </c>
      <c r="J20" s="264">
        <f t="shared" si="2"/>
        <v>0</v>
      </c>
      <c r="K20" s="264">
        <f t="shared" si="3"/>
        <v>0</v>
      </c>
      <c r="L20" s="264">
        <f t="shared" si="4"/>
        <v>0</v>
      </c>
      <c r="M20" s="264">
        <f t="shared" si="5"/>
        <v>0</v>
      </c>
      <c r="N20" s="264">
        <f t="shared" si="6"/>
        <v>0</v>
      </c>
      <c r="O20" s="264">
        <f t="shared" si="7"/>
        <v>0</v>
      </c>
      <c r="P20" s="264">
        <f t="shared" si="8"/>
        <v>0</v>
      </c>
      <c r="Q20" s="264">
        <f t="shared" si="9"/>
        <v>0</v>
      </c>
      <c r="R20" s="264">
        <f t="shared" si="10"/>
        <v>0</v>
      </c>
      <c r="S20" s="273">
        <f t="shared" si="11"/>
        <v>0</v>
      </c>
    </row>
    <row r="21" spans="1:19">
      <c r="A21" s="848"/>
      <c r="B21" s="304" t="s">
        <v>362</v>
      </c>
      <c r="C21" s="248" t="s">
        <v>399</v>
      </c>
      <c r="D21" s="249">
        <v>20</v>
      </c>
      <c r="E21" s="120"/>
      <c r="F21" s="627"/>
      <c r="G21" s="627"/>
      <c r="H21" s="264">
        <f t="shared" si="0"/>
        <v>0</v>
      </c>
      <c r="I21" s="264">
        <f t="shared" si="1"/>
        <v>0</v>
      </c>
      <c r="J21" s="264">
        <f t="shared" si="2"/>
        <v>0</v>
      </c>
      <c r="K21" s="264">
        <f t="shared" si="3"/>
        <v>0</v>
      </c>
      <c r="L21" s="264">
        <f t="shared" si="4"/>
        <v>0</v>
      </c>
      <c r="M21" s="264">
        <f t="shared" si="5"/>
        <v>0</v>
      </c>
      <c r="N21" s="264">
        <f t="shared" si="6"/>
        <v>0</v>
      </c>
      <c r="O21" s="264">
        <f t="shared" si="7"/>
        <v>0</v>
      </c>
      <c r="P21" s="264">
        <f t="shared" si="8"/>
        <v>0</v>
      </c>
      <c r="Q21" s="264">
        <f t="shared" si="9"/>
        <v>0</v>
      </c>
      <c r="R21" s="264">
        <f t="shared" si="10"/>
        <v>0</v>
      </c>
      <c r="S21" s="273">
        <f t="shared" si="11"/>
        <v>0</v>
      </c>
    </row>
    <row r="22" spans="1:19">
      <c r="A22" s="848"/>
      <c r="B22" s="304" t="s">
        <v>363</v>
      </c>
      <c r="C22" s="248" t="s">
        <v>399</v>
      </c>
      <c r="D22" s="249">
        <v>20</v>
      </c>
      <c r="E22" s="120"/>
      <c r="F22" s="627"/>
      <c r="G22" s="627"/>
      <c r="H22" s="264">
        <f t="shared" si="0"/>
        <v>0</v>
      </c>
      <c r="I22" s="264">
        <f t="shared" si="1"/>
        <v>0</v>
      </c>
      <c r="J22" s="264">
        <f t="shared" si="2"/>
        <v>0</v>
      </c>
      <c r="K22" s="264">
        <f t="shared" si="3"/>
        <v>0</v>
      </c>
      <c r="L22" s="264">
        <f t="shared" si="4"/>
        <v>0</v>
      </c>
      <c r="M22" s="264">
        <f t="shared" si="5"/>
        <v>0</v>
      </c>
      <c r="N22" s="264">
        <f t="shared" si="6"/>
        <v>0</v>
      </c>
      <c r="O22" s="264">
        <f t="shared" si="7"/>
        <v>0</v>
      </c>
      <c r="P22" s="264">
        <f t="shared" si="8"/>
        <v>0</v>
      </c>
      <c r="Q22" s="264">
        <f t="shared" si="9"/>
        <v>0</v>
      </c>
      <c r="R22" s="264">
        <f t="shared" si="10"/>
        <v>0</v>
      </c>
      <c r="S22" s="273">
        <f t="shared" si="11"/>
        <v>0</v>
      </c>
    </row>
    <row r="23" spans="1:19" ht="30.6">
      <c r="A23" s="848"/>
      <c r="B23" s="305" t="s">
        <v>367</v>
      </c>
      <c r="C23" s="248" t="s">
        <v>399</v>
      </c>
      <c r="D23" s="249">
        <v>300</v>
      </c>
      <c r="E23" s="120">
        <v>242873</v>
      </c>
      <c r="F23" s="627"/>
      <c r="G23" s="627"/>
      <c r="H23" s="264">
        <f t="shared" si="0"/>
        <v>0</v>
      </c>
      <c r="I23" s="264">
        <f t="shared" si="1"/>
        <v>0</v>
      </c>
      <c r="J23" s="264">
        <f t="shared" si="2"/>
        <v>0</v>
      </c>
      <c r="K23" s="264">
        <f t="shared" si="3"/>
        <v>0</v>
      </c>
      <c r="L23" s="264">
        <f t="shared" si="4"/>
        <v>0</v>
      </c>
      <c r="M23" s="264">
        <f t="shared" si="5"/>
        <v>0</v>
      </c>
      <c r="N23" s="264">
        <f t="shared" si="6"/>
        <v>0</v>
      </c>
      <c r="O23" s="264">
        <f t="shared" si="7"/>
        <v>0</v>
      </c>
      <c r="P23" s="264">
        <f t="shared" si="8"/>
        <v>0</v>
      </c>
      <c r="Q23" s="264">
        <f t="shared" si="9"/>
        <v>0</v>
      </c>
      <c r="R23" s="264">
        <f t="shared" si="10"/>
        <v>0</v>
      </c>
      <c r="S23" s="273">
        <f t="shared" si="11"/>
        <v>0</v>
      </c>
    </row>
    <row r="24" spans="1:19">
      <c r="A24" s="848"/>
      <c r="B24" s="305" t="s">
        <v>368</v>
      </c>
      <c r="C24" s="248" t="s">
        <v>399</v>
      </c>
      <c r="D24" s="249">
        <v>24</v>
      </c>
      <c r="E24" s="265">
        <v>34460</v>
      </c>
      <c r="F24" s="627"/>
      <c r="G24" s="627"/>
      <c r="H24" s="264">
        <f t="shared" si="0"/>
        <v>0</v>
      </c>
      <c r="I24" s="264">
        <f t="shared" si="1"/>
        <v>0</v>
      </c>
      <c r="J24" s="264">
        <f t="shared" si="2"/>
        <v>0</v>
      </c>
      <c r="K24" s="264">
        <f t="shared" si="3"/>
        <v>0</v>
      </c>
      <c r="L24" s="264">
        <f t="shared" si="4"/>
        <v>0</v>
      </c>
      <c r="M24" s="264">
        <f t="shared" si="5"/>
        <v>0</v>
      </c>
      <c r="N24" s="264">
        <f t="shared" si="6"/>
        <v>0</v>
      </c>
      <c r="O24" s="264">
        <f t="shared" si="7"/>
        <v>0</v>
      </c>
      <c r="P24" s="264">
        <f t="shared" si="8"/>
        <v>0</v>
      </c>
      <c r="Q24" s="264">
        <f t="shared" si="9"/>
        <v>0</v>
      </c>
      <c r="R24" s="264">
        <f t="shared" si="10"/>
        <v>0</v>
      </c>
      <c r="S24" s="273">
        <f t="shared" si="11"/>
        <v>0</v>
      </c>
    </row>
    <row r="25" spans="1:19" ht="20.399999999999999">
      <c r="A25" s="848"/>
      <c r="B25" s="304" t="s">
        <v>430</v>
      </c>
      <c r="C25" s="248" t="s">
        <v>399</v>
      </c>
      <c r="D25" s="249">
        <v>300</v>
      </c>
      <c r="E25" s="120">
        <v>37575</v>
      </c>
      <c r="F25" s="627"/>
      <c r="G25" s="627"/>
      <c r="H25" s="264">
        <f t="shared" si="0"/>
        <v>0</v>
      </c>
      <c r="I25" s="264">
        <f t="shared" si="1"/>
        <v>0</v>
      </c>
      <c r="J25" s="264">
        <f t="shared" si="2"/>
        <v>0</v>
      </c>
      <c r="K25" s="264">
        <f t="shared" si="3"/>
        <v>0</v>
      </c>
      <c r="L25" s="264">
        <f t="shared" si="4"/>
        <v>0</v>
      </c>
      <c r="M25" s="264">
        <f t="shared" si="5"/>
        <v>0</v>
      </c>
      <c r="N25" s="264">
        <f t="shared" si="6"/>
        <v>0</v>
      </c>
      <c r="O25" s="264">
        <f t="shared" si="7"/>
        <v>0</v>
      </c>
      <c r="P25" s="264">
        <f t="shared" si="8"/>
        <v>0</v>
      </c>
      <c r="Q25" s="264">
        <f t="shared" si="9"/>
        <v>0</v>
      </c>
      <c r="R25" s="264">
        <f t="shared" si="10"/>
        <v>0</v>
      </c>
      <c r="S25" s="273">
        <f t="shared" si="11"/>
        <v>0</v>
      </c>
    </row>
    <row r="26" spans="1:19">
      <c r="A26" s="848"/>
      <c r="B26" s="304" t="s">
        <v>432</v>
      </c>
      <c r="C26" s="248" t="s">
        <v>401</v>
      </c>
      <c r="D26" s="249">
        <v>9</v>
      </c>
      <c r="E26" s="120"/>
      <c r="F26" s="627"/>
      <c r="G26" s="627"/>
      <c r="H26" s="264">
        <f t="shared" si="0"/>
        <v>0</v>
      </c>
      <c r="I26" s="264">
        <f t="shared" si="1"/>
        <v>0</v>
      </c>
      <c r="J26" s="264">
        <f t="shared" si="2"/>
        <v>0</v>
      </c>
      <c r="K26" s="264">
        <f t="shared" si="3"/>
        <v>0</v>
      </c>
      <c r="L26" s="264">
        <f t="shared" si="4"/>
        <v>0</v>
      </c>
      <c r="M26" s="264">
        <f t="shared" si="5"/>
        <v>0</v>
      </c>
      <c r="N26" s="264">
        <f t="shared" si="6"/>
        <v>0</v>
      </c>
      <c r="O26" s="264">
        <f t="shared" si="7"/>
        <v>0</v>
      </c>
      <c r="P26" s="264">
        <f t="shared" si="8"/>
        <v>0</v>
      </c>
      <c r="Q26" s="264">
        <f t="shared" si="9"/>
        <v>0</v>
      </c>
      <c r="R26" s="264">
        <f t="shared" si="10"/>
        <v>0</v>
      </c>
      <c r="S26" s="273">
        <f t="shared" si="11"/>
        <v>0</v>
      </c>
    </row>
    <row r="27" spans="1:19" ht="20.399999999999999">
      <c r="A27" s="848"/>
      <c r="B27" s="304" t="s">
        <v>369</v>
      </c>
      <c r="C27" s="248" t="s">
        <v>260</v>
      </c>
      <c r="D27" s="249">
        <v>700</v>
      </c>
      <c r="E27" s="120">
        <v>310410</v>
      </c>
      <c r="F27" s="627"/>
      <c r="G27" s="627"/>
      <c r="H27" s="264">
        <f t="shared" si="0"/>
        <v>0</v>
      </c>
      <c r="I27" s="264">
        <f t="shared" si="1"/>
        <v>0</v>
      </c>
      <c r="J27" s="264">
        <f t="shared" si="2"/>
        <v>0</v>
      </c>
      <c r="K27" s="264">
        <f t="shared" si="3"/>
        <v>0</v>
      </c>
      <c r="L27" s="264">
        <f t="shared" si="4"/>
        <v>0</v>
      </c>
      <c r="M27" s="264">
        <f t="shared" si="5"/>
        <v>0</v>
      </c>
      <c r="N27" s="264">
        <f t="shared" si="6"/>
        <v>0</v>
      </c>
      <c r="O27" s="264">
        <f t="shared" si="7"/>
        <v>0</v>
      </c>
      <c r="P27" s="264">
        <f t="shared" si="8"/>
        <v>0</v>
      </c>
      <c r="Q27" s="264">
        <f t="shared" si="9"/>
        <v>0</v>
      </c>
      <c r="R27" s="264">
        <f t="shared" si="10"/>
        <v>0</v>
      </c>
      <c r="S27" s="273">
        <f t="shared" si="11"/>
        <v>0</v>
      </c>
    </row>
    <row r="28" spans="1:19" ht="40.799999999999997">
      <c r="A28" s="848"/>
      <c r="B28" s="304" t="s">
        <v>431</v>
      </c>
      <c r="C28" s="248" t="s">
        <v>399</v>
      </c>
      <c r="D28" s="249">
        <v>12</v>
      </c>
      <c r="E28" s="120">
        <v>380236</v>
      </c>
      <c r="F28" s="627"/>
      <c r="G28" s="627"/>
      <c r="H28" s="264">
        <f t="shared" si="0"/>
        <v>0</v>
      </c>
      <c r="I28" s="264">
        <f t="shared" si="1"/>
        <v>0</v>
      </c>
      <c r="J28" s="264">
        <f t="shared" si="2"/>
        <v>0</v>
      </c>
      <c r="K28" s="264">
        <f t="shared" si="3"/>
        <v>0</v>
      </c>
      <c r="L28" s="264">
        <f t="shared" si="4"/>
        <v>0</v>
      </c>
      <c r="M28" s="264">
        <f t="shared" si="5"/>
        <v>0</v>
      </c>
      <c r="N28" s="264">
        <f t="shared" si="6"/>
        <v>0</v>
      </c>
      <c r="O28" s="264">
        <f t="shared" si="7"/>
        <v>0</v>
      </c>
      <c r="P28" s="264">
        <f t="shared" si="8"/>
        <v>0</v>
      </c>
      <c r="Q28" s="264">
        <f t="shared" si="9"/>
        <v>0</v>
      </c>
      <c r="R28" s="264">
        <f t="shared" si="10"/>
        <v>0</v>
      </c>
      <c r="S28" s="273">
        <f t="shared" si="11"/>
        <v>0</v>
      </c>
    </row>
    <row r="29" spans="1:19">
      <c r="A29" s="848"/>
      <c r="B29" s="304" t="s">
        <v>433</v>
      </c>
      <c r="C29" s="248" t="s">
        <v>401</v>
      </c>
      <c r="D29" s="249">
        <v>15</v>
      </c>
      <c r="E29" s="120"/>
      <c r="F29" s="627"/>
      <c r="G29" s="627"/>
      <c r="H29" s="264">
        <f t="shared" si="0"/>
        <v>0</v>
      </c>
      <c r="I29" s="264">
        <f t="shared" si="1"/>
        <v>0</v>
      </c>
      <c r="J29" s="264">
        <f t="shared" si="2"/>
        <v>0</v>
      </c>
      <c r="K29" s="264">
        <f t="shared" si="3"/>
        <v>0</v>
      </c>
      <c r="L29" s="264">
        <f t="shared" si="4"/>
        <v>0</v>
      </c>
      <c r="M29" s="264">
        <f t="shared" si="5"/>
        <v>0</v>
      </c>
      <c r="N29" s="264">
        <f t="shared" si="6"/>
        <v>0</v>
      </c>
      <c r="O29" s="264">
        <f t="shared" si="7"/>
        <v>0</v>
      </c>
      <c r="P29" s="264">
        <f t="shared" si="8"/>
        <v>0</v>
      </c>
      <c r="Q29" s="264">
        <f t="shared" si="9"/>
        <v>0</v>
      </c>
      <c r="R29" s="264">
        <f t="shared" si="10"/>
        <v>0</v>
      </c>
      <c r="S29" s="273">
        <f t="shared" si="11"/>
        <v>0</v>
      </c>
    </row>
    <row r="30" spans="1:19" ht="40.799999999999997">
      <c r="A30" s="848"/>
      <c r="B30" s="305" t="s">
        <v>370</v>
      </c>
      <c r="C30" s="248" t="s">
        <v>399</v>
      </c>
      <c r="D30" s="249">
        <v>24</v>
      </c>
      <c r="E30" s="120">
        <v>226950</v>
      </c>
      <c r="F30" s="627"/>
      <c r="G30" s="627"/>
      <c r="H30" s="264">
        <f t="shared" si="0"/>
        <v>0</v>
      </c>
      <c r="I30" s="264">
        <f t="shared" si="1"/>
        <v>0</v>
      </c>
      <c r="J30" s="264">
        <f t="shared" si="2"/>
        <v>0</v>
      </c>
      <c r="K30" s="264">
        <f t="shared" si="3"/>
        <v>0</v>
      </c>
      <c r="L30" s="264">
        <f t="shared" si="4"/>
        <v>0</v>
      </c>
      <c r="M30" s="264">
        <f t="shared" si="5"/>
        <v>0</v>
      </c>
      <c r="N30" s="264">
        <f t="shared" si="6"/>
        <v>0</v>
      </c>
      <c r="O30" s="264">
        <f t="shared" si="7"/>
        <v>0</v>
      </c>
      <c r="P30" s="264">
        <f t="shared" si="8"/>
        <v>0</v>
      </c>
      <c r="Q30" s="264">
        <f t="shared" si="9"/>
        <v>0</v>
      </c>
      <c r="R30" s="264">
        <f t="shared" si="10"/>
        <v>0</v>
      </c>
      <c r="S30" s="273">
        <f t="shared" si="11"/>
        <v>0</v>
      </c>
    </row>
    <row r="31" spans="1:19">
      <c r="A31" s="848"/>
      <c r="B31" s="304" t="s">
        <v>371</v>
      </c>
      <c r="C31" s="248" t="s">
        <v>403</v>
      </c>
      <c r="D31" s="249">
        <v>200</v>
      </c>
      <c r="E31" s="120">
        <v>333265</v>
      </c>
      <c r="F31" s="627"/>
      <c r="G31" s="627"/>
      <c r="H31" s="264">
        <f t="shared" si="0"/>
        <v>0</v>
      </c>
      <c r="I31" s="264">
        <f t="shared" si="1"/>
        <v>0</v>
      </c>
      <c r="J31" s="264">
        <f t="shared" si="2"/>
        <v>0</v>
      </c>
      <c r="K31" s="264">
        <f t="shared" si="3"/>
        <v>0</v>
      </c>
      <c r="L31" s="264">
        <f t="shared" si="4"/>
        <v>0</v>
      </c>
      <c r="M31" s="264">
        <f t="shared" si="5"/>
        <v>0</v>
      </c>
      <c r="N31" s="264">
        <f t="shared" si="6"/>
        <v>0</v>
      </c>
      <c r="O31" s="264">
        <f t="shared" si="7"/>
        <v>0</v>
      </c>
      <c r="P31" s="264">
        <f t="shared" si="8"/>
        <v>0</v>
      </c>
      <c r="Q31" s="264">
        <f t="shared" si="9"/>
        <v>0</v>
      </c>
      <c r="R31" s="264">
        <f t="shared" si="10"/>
        <v>0</v>
      </c>
      <c r="S31" s="273">
        <f t="shared" si="11"/>
        <v>0</v>
      </c>
    </row>
    <row r="32" spans="1:19">
      <c r="A32" s="848"/>
      <c r="B32" s="304" t="s">
        <v>372</v>
      </c>
      <c r="C32" s="248" t="s">
        <v>403</v>
      </c>
      <c r="D32" s="249">
        <v>200</v>
      </c>
      <c r="E32" s="120">
        <v>333265</v>
      </c>
      <c r="F32" s="627"/>
      <c r="G32" s="627"/>
      <c r="H32" s="264">
        <f t="shared" si="0"/>
        <v>0</v>
      </c>
      <c r="I32" s="264">
        <f t="shared" si="1"/>
        <v>0</v>
      </c>
      <c r="J32" s="264">
        <f t="shared" si="2"/>
        <v>0</v>
      </c>
      <c r="K32" s="264">
        <f t="shared" si="3"/>
        <v>0</v>
      </c>
      <c r="L32" s="264">
        <f t="shared" si="4"/>
        <v>0</v>
      </c>
      <c r="M32" s="264">
        <f t="shared" si="5"/>
        <v>0</v>
      </c>
      <c r="N32" s="264">
        <f t="shared" si="6"/>
        <v>0</v>
      </c>
      <c r="O32" s="264">
        <f t="shared" si="7"/>
        <v>0</v>
      </c>
      <c r="P32" s="264">
        <f t="shared" si="8"/>
        <v>0</v>
      </c>
      <c r="Q32" s="264">
        <f t="shared" si="9"/>
        <v>0</v>
      </c>
      <c r="R32" s="264">
        <f t="shared" si="10"/>
        <v>0</v>
      </c>
      <c r="S32" s="273">
        <f t="shared" si="11"/>
        <v>0</v>
      </c>
    </row>
    <row r="33" spans="1:19">
      <c r="A33" s="848"/>
      <c r="B33" s="304" t="s">
        <v>373</v>
      </c>
      <c r="C33" s="248" t="s">
        <v>403</v>
      </c>
      <c r="D33" s="249">
        <v>200</v>
      </c>
      <c r="E33" s="120">
        <v>333265</v>
      </c>
      <c r="F33" s="627"/>
      <c r="G33" s="627"/>
      <c r="H33" s="264">
        <f t="shared" si="0"/>
        <v>0</v>
      </c>
      <c r="I33" s="264">
        <f t="shared" si="1"/>
        <v>0</v>
      </c>
      <c r="J33" s="264">
        <f t="shared" si="2"/>
        <v>0</v>
      </c>
      <c r="K33" s="264">
        <f t="shared" si="3"/>
        <v>0</v>
      </c>
      <c r="L33" s="264">
        <f t="shared" si="4"/>
        <v>0</v>
      </c>
      <c r="M33" s="264">
        <f t="shared" si="5"/>
        <v>0</v>
      </c>
      <c r="N33" s="264">
        <f t="shared" si="6"/>
        <v>0</v>
      </c>
      <c r="O33" s="264">
        <f t="shared" si="7"/>
        <v>0</v>
      </c>
      <c r="P33" s="264">
        <f t="shared" si="8"/>
        <v>0</v>
      </c>
      <c r="Q33" s="264">
        <f t="shared" si="9"/>
        <v>0</v>
      </c>
      <c r="R33" s="264">
        <f t="shared" si="10"/>
        <v>0</v>
      </c>
      <c r="S33" s="273">
        <f t="shared" si="11"/>
        <v>0</v>
      </c>
    </row>
    <row r="34" spans="1:19">
      <c r="A34" s="848"/>
      <c r="B34" s="304" t="s">
        <v>374</v>
      </c>
      <c r="C34" s="248" t="s">
        <v>403</v>
      </c>
      <c r="D34" s="249">
        <v>200</v>
      </c>
      <c r="E34" s="120">
        <v>225725</v>
      </c>
      <c r="F34" s="627"/>
      <c r="G34" s="627"/>
      <c r="H34" s="264">
        <f t="shared" si="0"/>
        <v>0</v>
      </c>
      <c r="I34" s="264">
        <f t="shared" si="1"/>
        <v>0</v>
      </c>
      <c r="J34" s="264">
        <f t="shared" si="2"/>
        <v>0</v>
      </c>
      <c r="K34" s="264">
        <f t="shared" si="3"/>
        <v>0</v>
      </c>
      <c r="L34" s="264">
        <f t="shared" si="4"/>
        <v>0</v>
      </c>
      <c r="M34" s="264">
        <f t="shared" si="5"/>
        <v>0</v>
      </c>
      <c r="N34" s="264">
        <f t="shared" si="6"/>
        <v>0</v>
      </c>
      <c r="O34" s="264">
        <f t="shared" si="7"/>
        <v>0</v>
      </c>
      <c r="P34" s="264">
        <f t="shared" si="8"/>
        <v>0</v>
      </c>
      <c r="Q34" s="264">
        <f t="shared" si="9"/>
        <v>0</v>
      </c>
      <c r="R34" s="264">
        <f t="shared" si="10"/>
        <v>0</v>
      </c>
      <c r="S34" s="273">
        <f t="shared" si="11"/>
        <v>0</v>
      </c>
    </row>
    <row r="35" spans="1:19">
      <c r="A35" s="848"/>
      <c r="B35" s="304" t="s">
        <v>375</v>
      </c>
      <c r="C35" s="248" t="s">
        <v>403</v>
      </c>
      <c r="D35" s="249">
        <v>200</v>
      </c>
      <c r="E35" s="120">
        <v>225725</v>
      </c>
      <c r="F35" s="627"/>
      <c r="G35" s="627"/>
      <c r="H35" s="264">
        <f t="shared" si="0"/>
        <v>0</v>
      </c>
      <c r="I35" s="264">
        <f t="shared" si="1"/>
        <v>0</v>
      </c>
      <c r="J35" s="264">
        <f t="shared" si="2"/>
        <v>0</v>
      </c>
      <c r="K35" s="264">
        <f t="shared" si="3"/>
        <v>0</v>
      </c>
      <c r="L35" s="264">
        <f t="shared" si="4"/>
        <v>0</v>
      </c>
      <c r="M35" s="264">
        <f t="shared" si="5"/>
        <v>0</v>
      </c>
      <c r="N35" s="264">
        <f t="shared" si="6"/>
        <v>0</v>
      </c>
      <c r="O35" s="264">
        <f t="shared" si="7"/>
        <v>0</v>
      </c>
      <c r="P35" s="264">
        <f t="shared" si="8"/>
        <v>0</v>
      </c>
      <c r="Q35" s="264">
        <f t="shared" si="9"/>
        <v>0</v>
      </c>
      <c r="R35" s="264">
        <f t="shared" si="10"/>
        <v>0</v>
      </c>
      <c r="S35" s="273">
        <f t="shared" si="11"/>
        <v>0</v>
      </c>
    </row>
    <row r="36" spans="1:19">
      <c r="A36" s="848"/>
      <c r="B36" s="304" t="s">
        <v>376</v>
      </c>
      <c r="C36" s="248" t="s">
        <v>403</v>
      </c>
      <c r="D36" s="249">
        <v>200</v>
      </c>
      <c r="E36" s="120">
        <v>225725</v>
      </c>
      <c r="F36" s="627"/>
      <c r="G36" s="627"/>
      <c r="H36" s="264">
        <f t="shared" si="0"/>
        <v>0</v>
      </c>
      <c r="I36" s="264">
        <f t="shared" si="1"/>
        <v>0</v>
      </c>
      <c r="J36" s="264">
        <f t="shared" si="2"/>
        <v>0</v>
      </c>
      <c r="K36" s="264">
        <f t="shared" si="3"/>
        <v>0</v>
      </c>
      <c r="L36" s="264">
        <f t="shared" si="4"/>
        <v>0</v>
      </c>
      <c r="M36" s="264">
        <f t="shared" si="5"/>
        <v>0</v>
      </c>
      <c r="N36" s="264">
        <f t="shared" si="6"/>
        <v>0</v>
      </c>
      <c r="O36" s="264">
        <f t="shared" si="7"/>
        <v>0</v>
      </c>
      <c r="P36" s="264">
        <f t="shared" si="8"/>
        <v>0</v>
      </c>
      <c r="Q36" s="264">
        <f t="shared" si="9"/>
        <v>0</v>
      </c>
      <c r="R36" s="264">
        <f t="shared" si="10"/>
        <v>0</v>
      </c>
      <c r="S36" s="273">
        <f t="shared" si="11"/>
        <v>0</v>
      </c>
    </row>
    <row r="37" spans="1:19">
      <c r="A37" s="848"/>
      <c r="B37" s="304" t="s">
        <v>488</v>
      </c>
      <c r="C37" s="248" t="s">
        <v>403</v>
      </c>
      <c r="D37" s="249">
        <v>9</v>
      </c>
      <c r="E37" s="120">
        <v>208456</v>
      </c>
      <c r="F37" s="627"/>
      <c r="G37" s="627"/>
      <c r="H37" s="264">
        <f t="shared" si="0"/>
        <v>0</v>
      </c>
      <c r="I37" s="264">
        <f t="shared" si="1"/>
        <v>0</v>
      </c>
      <c r="J37" s="264">
        <f t="shared" si="2"/>
        <v>0</v>
      </c>
      <c r="K37" s="264">
        <f t="shared" si="3"/>
        <v>0</v>
      </c>
      <c r="L37" s="264">
        <f t="shared" si="4"/>
        <v>0</v>
      </c>
      <c r="M37" s="264">
        <f t="shared" si="5"/>
        <v>0</v>
      </c>
      <c r="N37" s="264">
        <f t="shared" si="6"/>
        <v>0</v>
      </c>
      <c r="O37" s="264">
        <f t="shared" si="7"/>
        <v>0</v>
      </c>
      <c r="P37" s="264">
        <f t="shared" si="8"/>
        <v>0</v>
      </c>
      <c r="Q37" s="264">
        <f t="shared" si="9"/>
        <v>0</v>
      </c>
      <c r="R37" s="264">
        <f t="shared" si="10"/>
        <v>0</v>
      </c>
      <c r="S37" s="273">
        <f t="shared" si="11"/>
        <v>0</v>
      </c>
    </row>
    <row r="38" spans="1:19">
      <c r="A38" s="848"/>
      <c r="B38" s="304" t="s">
        <v>489</v>
      </c>
      <c r="C38" s="248" t="s">
        <v>403</v>
      </c>
      <c r="D38" s="249">
        <v>9</v>
      </c>
      <c r="E38" s="120">
        <v>208456</v>
      </c>
      <c r="F38" s="627"/>
      <c r="G38" s="627"/>
      <c r="H38" s="264">
        <f t="shared" si="0"/>
        <v>0</v>
      </c>
      <c r="I38" s="264">
        <f t="shared" si="1"/>
        <v>0</v>
      </c>
      <c r="J38" s="264">
        <f t="shared" si="2"/>
        <v>0</v>
      </c>
      <c r="K38" s="264">
        <f t="shared" si="3"/>
        <v>0</v>
      </c>
      <c r="L38" s="264">
        <f t="shared" si="4"/>
        <v>0</v>
      </c>
      <c r="M38" s="264">
        <f t="shared" si="5"/>
        <v>0</v>
      </c>
      <c r="N38" s="264">
        <f t="shared" si="6"/>
        <v>0</v>
      </c>
      <c r="O38" s="264">
        <f t="shared" si="7"/>
        <v>0</v>
      </c>
      <c r="P38" s="264">
        <f t="shared" si="8"/>
        <v>0</v>
      </c>
      <c r="Q38" s="264">
        <f t="shared" si="9"/>
        <v>0</v>
      </c>
      <c r="R38" s="264">
        <f t="shared" si="10"/>
        <v>0</v>
      </c>
      <c r="S38" s="273">
        <f t="shared" si="11"/>
        <v>0</v>
      </c>
    </row>
    <row r="39" spans="1:19">
      <c r="A39" s="848"/>
      <c r="B39" s="304" t="s">
        <v>490</v>
      </c>
      <c r="C39" s="248" t="s">
        <v>399</v>
      </c>
      <c r="D39" s="249">
        <v>30</v>
      </c>
      <c r="E39" s="120">
        <v>399611</v>
      </c>
      <c r="F39" s="627"/>
      <c r="G39" s="627"/>
      <c r="H39" s="264">
        <f t="shared" si="0"/>
        <v>0</v>
      </c>
      <c r="I39" s="264">
        <f t="shared" si="1"/>
        <v>0</v>
      </c>
      <c r="J39" s="264">
        <f t="shared" si="2"/>
        <v>0</v>
      </c>
      <c r="K39" s="264">
        <f t="shared" si="3"/>
        <v>0</v>
      </c>
      <c r="L39" s="264">
        <f t="shared" si="4"/>
        <v>0</v>
      </c>
      <c r="M39" s="264">
        <f t="shared" si="5"/>
        <v>0</v>
      </c>
      <c r="N39" s="264">
        <f t="shared" si="6"/>
        <v>0</v>
      </c>
      <c r="O39" s="264">
        <f t="shared" si="7"/>
        <v>0</v>
      </c>
      <c r="P39" s="264">
        <f t="shared" si="8"/>
        <v>0</v>
      </c>
      <c r="Q39" s="264">
        <f t="shared" si="9"/>
        <v>0</v>
      </c>
      <c r="R39" s="264">
        <f t="shared" si="10"/>
        <v>0</v>
      </c>
      <c r="S39" s="273">
        <f t="shared" si="11"/>
        <v>0</v>
      </c>
    </row>
    <row r="40" spans="1:19">
      <c r="A40" s="848"/>
      <c r="B40" s="304" t="s">
        <v>492</v>
      </c>
      <c r="C40" s="248" t="s">
        <v>399</v>
      </c>
      <c r="D40" s="249">
        <v>9</v>
      </c>
      <c r="E40" s="120">
        <v>315856</v>
      </c>
      <c r="F40" s="627"/>
      <c r="G40" s="627"/>
      <c r="H40" s="264">
        <f t="shared" si="0"/>
        <v>0</v>
      </c>
      <c r="I40" s="264">
        <f t="shared" si="1"/>
        <v>0</v>
      </c>
      <c r="J40" s="264">
        <f t="shared" si="2"/>
        <v>0</v>
      </c>
      <c r="K40" s="264">
        <f t="shared" si="3"/>
        <v>0</v>
      </c>
      <c r="L40" s="264">
        <f t="shared" si="4"/>
        <v>0</v>
      </c>
      <c r="M40" s="264">
        <f t="shared" si="5"/>
        <v>0</v>
      </c>
      <c r="N40" s="264">
        <f t="shared" si="6"/>
        <v>0</v>
      </c>
      <c r="O40" s="264">
        <f t="shared" si="7"/>
        <v>0</v>
      </c>
      <c r="P40" s="264">
        <f t="shared" si="8"/>
        <v>0</v>
      </c>
      <c r="Q40" s="264">
        <f t="shared" si="9"/>
        <v>0</v>
      </c>
      <c r="R40" s="264">
        <f t="shared" si="10"/>
        <v>0</v>
      </c>
      <c r="S40" s="273">
        <f t="shared" si="11"/>
        <v>0</v>
      </c>
    </row>
    <row r="41" spans="1:19">
      <c r="A41" s="848"/>
      <c r="B41" s="304" t="s">
        <v>493</v>
      </c>
      <c r="C41" s="248" t="s">
        <v>399</v>
      </c>
      <c r="D41" s="249">
        <v>1500</v>
      </c>
      <c r="E41" s="120"/>
      <c r="F41" s="627"/>
      <c r="G41" s="627"/>
      <c r="H41" s="264">
        <f t="shared" si="0"/>
        <v>0</v>
      </c>
      <c r="I41" s="264">
        <f t="shared" si="1"/>
        <v>0</v>
      </c>
      <c r="J41" s="264">
        <f t="shared" si="2"/>
        <v>0</v>
      </c>
      <c r="K41" s="264">
        <f t="shared" si="3"/>
        <v>0</v>
      </c>
      <c r="L41" s="264">
        <f t="shared" si="4"/>
        <v>0</v>
      </c>
      <c r="M41" s="264">
        <f t="shared" si="5"/>
        <v>0</v>
      </c>
      <c r="N41" s="264">
        <f t="shared" si="6"/>
        <v>0</v>
      </c>
      <c r="O41" s="264">
        <f t="shared" si="7"/>
        <v>0</v>
      </c>
      <c r="P41" s="264">
        <f t="shared" si="8"/>
        <v>0</v>
      </c>
      <c r="Q41" s="264">
        <f t="shared" si="9"/>
        <v>0</v>
      </c>
      <c r="R41" s="264">
        <f t="shared" si="10"/>
        <v>0</v>
      </c>
      <c r="S41" s="273">
        <f t="shared" si="11"/>
        <v>0</v>
      </c>
    </row>
    <row r="42" spans="1:19">
      <c r="A42" s="848"/>
      <c r="B42" s="304" t="s">
        <v>491</v>
      </c>
      <c r="C42" s="248" t="s">
        <v>399</v>
      </c>
      <c r="D42" s="249">
        <v>32</v>
      </c>
      <c r="E42" s="120"/>
      <c r="F42" s="627"/>
      <c r="G42" s="627"/>
      <c r="H42" s="264">
        <f t="shared" si="0"/>
        <v>0</v>
      </c>
      <c r="I42" s="264">
        <f t="shared" si="1"/>
        <v>0</v>
      </c>
      <c r="J42" s="264">
        <f t="shared" si="2"/>
        <v>0</v>
      </c>
      <c r="K42" s="264">
        <f t="shared" si="3"/>
        <v>0</v>
      </c>
      <c r="L42" s="264">
        <f t="shared" si="4"/>
        <v>0</v>
      </c>
      <c r="M42" s="264">
        <f t="shared" si="5"/>
        <v>0</v>
      </c>
      <c r="N42" s="264">
        <f t="shared" si="6"/>
        <v>0</v>
      </c>
      <c r="O42" s="264">
        <f t="shared" si="7"/>
        <v>0</v>
      </c>
      <c r="P42" s="264">
        <f t="shared" si="8"/>
        <v>0</v>
      </c>
      <c r="Q42" s="264">
        <f t="shared" si="9"/>
        <v>0</v>
      </c>
      <c r="R42" s="264">
        <f t="shared" si="10"/>
        <v>0</v>
      </c>
      <c r="S42" s="273">
        <f t="shared" si="11"/>
        <v>0</v>
      </c>
    </row>
    <row r="43" spans="1:19">
      <c r="A43" s="848"/>
      <c r="B43" s="304" t="s">
        <v>494</v>
      </c>
      <c r="C43" s="248" t="s">
        <v>399</v>
      </c>
      <c r="D43" s="249">
        <v>9</v>
      </c>
      <c r="E43" s="120"/>
      <c r="F43" s="627"/>
      <c r="G43" s="627"/>
      <c r="H43" s="264">
        <f t="shared" ref="H43" si="12">ROUND(+F43*($N$6+$O$6)*-1,2)</f>
        <v>0</v>
      </c>
      <c r="I43" s="264">
        <f t="shared" ref="I43" si="13">+H43+F43</f>
        <v>0</v>
      </c>
      <c r="J43" s="264">
        <f t="shared" ref="J43" si="14">ROUND($J$6*I43,2)</f>
        <v>0</v>
      </c>
      <c r="K43" s="264">
        <f t="shared" ref="K43" si="15">+J43+I43</f>
        <v>0</v>
      </c>
      <c r="L43" s="264">
        <f t="shared" ref="L43" si="16">ROUND(+K43*$L$6,2)</f>
        <v>0</v>
      </c>
      <c r="M43" s="264">
        <f t="shared" ref="M43" si="17">+L43+K43</f>
        <v>0</v>
      </c>
      <c r="N43" s="264">
        <f t="shared" ref="N43" si="18">ROUND(+M43*$N$6,2)</f>
        <v>0</v>
      </c>
      <c r="O43" s="264">
        <f t="shared" ref="O43" si="19">ROUND(+M43*$O$6,2)</f>
        <v>0</v>
      </c>
      <c r="P43" s="264">
        <f t="shared" ref="P43" si="20">ROUND(+M43*$P$6,2)</f>
        <v>0</v>
      </c>
      <c r="Q43" s="264">
        <f t="shared" ref="Q43" si="21">ROUND(+P43+O43+N43,2)</f>
        <v>0</v>
      </c>
      <c r="R43" s="264">
        <f t="shared" ref="R43" si="22">ROUND(+Q43+M43,2)</f>
        <v>0</v>
      </c>
      <c r="S43" s="273">
        <f t="shared" ref="S43" si="23">ROUND(R43*D43,2)</f>
        <v>0</v>
      </c>
    </row>
    <row r="44" spans="1:19">
      <c r="A44" s="848"/>
      <c r="B44" s="304" t="s">
        <v>377</v>
      </c>
      <c r="C44" s="248" t="s">
        <v>404</v>
      </c>
      <c r="D44" s="249">
        <v>10</v>
      </c>
      <c r="E44" s="120">
        <v>385112</v>
      </c>
      <c r="F44" s="627"/>
      <c r="G44" s="627"/>
      <c r="H44" s="264">
        <f t="shared" si="0"/>
        <v>0</v>
      </c>
      <c r="I44" s="264">
        <f t="shared" si="1"/>
        <v>0</v>
      </c>
      <c r="J44" s="264">
        <f t="shared" si="2"/>
        <v>0</v>
      </c>
      <c r="K44" s="264">
        <f t="shared" si="3"/>
        <v>0</v>
      </c>
      <c r="L44" s="264">
        <f t="shared" si="4"/>
        <v>0</v>
      </c>
      <c r="M44" s="264">
        <f t="shared" si="5"/>
        <v>0</v>
      </c>
      <c r="N44" s="264">
        <f t="shared" si="6"/>
        <v>0</v>
      </c>
      <c r="O44" s="264">
        <f t="shared" si="7"/>
        <v>0</v>
      </c>
      <c r="P44" s="264">
        <f t="shared" si="8"/>
        <v>0</v>
      </c>
      <c r="Q44" s="264">
        <f t="shared" si="9"/>
        <v>0</v>
      </c>
      <c r="R44" s="264">
        <f t="shared" si="10"/>
        <v>0</v>
      </c>
      <c r="S44" s="273">
        <f t="shared" si="11"/>
        <v>0</v>
      </c>
    </row>
    <row r="45" spans="1:19" ht="30.6">
      <c r="A45" s="848"/>
      <c r="B45" s="306" t="s">
        <v>434</v>
      </c>
      <c r="C45" s="261" t="s">
        <v>401</v>
      </c>
      <c r="D45" s="266">
        <v>40</v>
      </c>
      <c r="E45" s="120">
        <v>405276</v>
      </c>
      <c r="F45" s="627"/>
      <c r="G45" s="627"/>
      <c r="H45" s="264">
        <f t="shared" si="0"/>
        <v>0</v>
      </c>
      <c r="I45" s="264">
        <f t="shared" si="1"/>
        <v>0</v>
      </c>
      <c r="J45" s="264">
        <f t="shared" si="2"/>
        <v>0</v>
      </c>
      <c r="K45" s="264">
        <f t="shared" si="3"/>
        <v>0</v>
      </c>
      <c r="L45" s="264">
        <f t="shared" si="4"/>
        <v>0</v>
      </c>
      <c r="M45" s="264">
        <f t="shared" si="5"/>
        <v>0</v>
      </c>
      <c r="N45" s="264">
        <f t="shared" si="6"/>
        <v>0</v>
      </c>
      <c r="O45" s="264">
        <f t="shared" si="7"/>
        <v>0</v>
      </c>
      <c r="P45" s="264">
        <f t="shared" si="8"/>
        <v>0</v>
      </c>
      <c r="Q45" s="264">
        <f t="shared" si="9"/>
        <v>0</v>
      </c>
      <c r="R45" s="264">
        <f t="shared" si="10"/>
        <v>0</v>
      </c>
      <c r="S45" s="273">
        <f t="shared" si="11"/>
        <v>0</v>
      </c>
    </row>
    <row r="46" spans="1:19">
      <c r="A46" s="848"/>
      <c r="B46" s="306" t="s">
        <v>378</v>
      </c>
      <c r="C46" s="248" t="s">
        <v>399</v>
      </c>
      <c r="D46" s="249">
        <v>100</v>
      </c>
      <c r="E46" s="120">
        <v>229831</v>
      </c>
      <c r="F46" s="627"/>
      <c r="G46" s="627"/>
      <c r="H46" s="264">
        <f t="shared" si="0"/>
        <v>0</v>
      </c>
      <c r="I46" s="264">
        <f t="shared" si="1"/>
        <v>0</v>
      </c>
      <c r="J46" s="264">
        <f t="shared" si="2"/>
        <v>0</v>
      </c>
      <c r="K46" s="264">
        <f t="shared" si="3"/>
        <v>0</v>
      </c>
      <c r="L46" s="264">
        <f t="shared" si="4"/>
        <v>0</v>
      </c>
      <c r="M46" s="264">
        <f t="shared" si="5"/>
        <v>0</v>
      </c>
      <c r="N46" s="264">
        <f t="shared" si="6"/>
        <v>0</v>
      </c>
      <c r="O46" s="264">
        <f t="shared" si="7"/>
        <v>0</v>
      </c>
      <c r="P46" s="264">
        <f t="shared" si="8"/>
        <v>0</v>
      </c>
      <c r="Q46" s="264">
        <f t="shared" si="9"/>
        <v>0</v>
      </c>
      <c r="R46" s="264">
        <f t="shared" si="10"/>
        <v>0</v>
      </c>
      <c r="S46" s="273">
        <f t="shared" si="11"/>
        <v>0</v>
      </c>
    </row>
    <row r="47" spans="1:19">
      <c r="A47" s="848"/>
      <c r="B47" s="304" t="s">
        <v>379</v>
      </c>
      <c r="C47" s="248" t="s">
        <v>399</v>
      </c>
      <c r="D47" s="249">
        <v>200</v>
      </c>
      <c r="E47" s="120">
        <v>150224</v>
      </c>
      <c r="F47" s="627"/>
      <c r="G47" s="627"/>
      <c r="H47" s="264">
        <f t="shared" si="0"/>
        <v>0</v>
      </c>
      <c r="I47" s="264">
        <f t="shared" si="1"/>
        <v>0</v>
      </c>
      <c r="J47" s="264">
        <f t="shared" si="2"/>
        <v>0</v>
      </c>
      <c r="K47" s="264">
        <f t="shared" si="3"/>
        <v>0</v>
      </c>
      <c r="L47" s="264">
        <f t="shared" si="4"/>
        <v>0</v>
      </c>
      <c r="M47" s="264">
        <f t="shared" si="5"/>
        <v>0</v>
      </c>
      <c r="N47" s="264">
        <f t="shared" si="6"/>
        <v>0</v>
      </c>
      <c r="O47" s="264">
        <f t="shared" si="7"/>
        <v>0</v>
      </c>
      <c r="P47" s="264">
        <f t="shared" si="8"/>
        <v>0</v>
      </c>
      <c r="Q47" s="264">
        <f t="shared" si="9"/>
        <v>0</v>
      </c>
      <c r="R47" s="264">
        <f t="shared" si="10"/>
        <v>0</v>
      </c>
      <c r="S47" s="273">
        <f t="shared" si="11"/>
        <v>0</v>
      </c>
    </row>
    <row r="48" spans="1:19">
      <c r="A48" s="848"/>
      <c r="B48" s="304" t="s">
        <v>380</v>
      </c>
      <c r="C48" s="248" t="s">
        <v>399</v>
      </c>
      <c r="D48" s="249">
        <v>18</v>
      </c>
      <c r="E48" s="120">
        <v>295598</v>
      </c>
      <c r="F48" s="627"/>
      <c r="G48" s="627"/>
      <c r="H48" s="264">
        <f t="shared" si="0"/>
        <v>0</v>
      </c>
      <c r="I48" s="264">
        <f t="shared" si="1"/>
        <v>0</v>
      </c>
      <c r="J48" s="264">
        <f t="shared" si="2"/>
        <v>0</v>
      </c>
      <c r="K48" s="264">
        <f t="shared" si="3"/>
        <v>0</v>
      </c>
      <c r="L48" s="264">
        <f t="shared" si="4"/>
        <v>0</v>
      </c>
      <c r="M48" s="264">
        <f t="shared" si="5"/>
        <v>0</v>
      </c>
      <c r="N48" s="264">
        <f t="shared" si="6"/>
        <v>0</v>
      </c>
      <c r="O48" s="264">
        <f t="shared" si="7"/>
        <v>0</v>
      </c>
      <c r="P48" s="264">
        <f t="shared" si="8"/>
        <v>0</v>
      </c>
      <c r="Q48" s="264">
        <f t="shared" si="9"/>
        <v>0</v>
      </c>
      <c r="R48" s="264">
        <f t="shared" si="10"/>
        <v>0</v>
      </c>
      <c r="S48" s="273">
        <f t="shared" si="11"/>
        <v>0</v>
      </c>
    </row>
    <row r="49" spans="1:19">
      <c r="A49" s="848"/>
      <c r="B49" s="306" t="s">
        <v>381</v>
      </c>
      <c r="C49" s="248" t="s">
        <v>399</v>
      </c>
      <c r="D49" s="249">
        <v>60</v>
      </c>
      <c r="E49" s="267">
        <v>63215</v>
      </c>
      <c r="F49" s="627"/>
      <c r="G49" s="627"/>
      <c r="H49" s="264">
        <f t="shared" si="0"/>
        <v>0</v>
      </c>
      <c r="I49" s="264">
        <f t="shared" si="1"/>
        <v>0</v>
      </c>
      <c r="J49" s="264">
        <f t="shared" si="2"/>
        <v>0</v>
      </c>
      <c r="K49" s="264">
        <f t="shared" si="3"/>
        <v>0</v>
      </c>
      <c r="L49" s="264">
        <f t="shared" si="4"/>
        <v>0</v>
      </c>
      <c r="M49" s="264">
        <f t="shared" si="5"/>
        <v>0</v>
      </c>
      <c r="N49" s="264">
        <f t="shared" si="6"/>
        <v>0</v>
      </c>
      <c r="O49" s="264">
        <f t="shared" si="7"/>
        <v>0</v>
      </c>
      <c r="P49" s="264">
        <f t="shared" si="8"/>
        <v>0</v>
      </c>
      <c r="Q49" s="264">
        <f t="shared" si="9"/>
        <v>0</v>
      </c>
      <c r="R49" s="264">
        <f t="shared" si="10"/>
        <v>0</v>
      </c>
      <c r="S49" s="273">
        <f t="shared" si="11"/>
        <v>0</v>
      </c>
    </row>
    <row r="50" spans="1:19">
      <c r="A50" s="848"/>
      <c r="B50" s="304" t="s">
        <v>382</v>
      </c>
      <c r="C50" s="248" t="s">
        <v>401</v>
      </c>
      <c r="D50" s="249">
        <v>60</v>
      </c>
      <c r="E50" s="120">
        <v>259298</v>
      </c>
      <c r="F50" s="627"/>
      <c r="G50" s="627"/>
      <c r="H50" s="264">
        <f t="shared" si="0"/>
        <v>0</v>
      </c>
      <c r="I50" s="264">
        <f t="shared" si="1"/>
        <v>0</v>
      </c>
      <c r="J50" s="264">
        <f t="shared" si="2"/>
        <v>0</v>
      </c>
      <c r="K50" s="264">
        <f t="shared" si="3"/>
        <v>0</v>
      </c>
      <c r="L50" s="264">
        <f t="shared" si="4"/>
        <v>0</v>
      </c>
      <c r="M50" s="264">
        <f t="shared" si="5"/>
        <v>0</v>
      </c>
      <c r="N50" s="264">
        <f t="shared" si="6"/>
        <v>0</v>
      </c>
      <c r="O50" s="264">
        <f t="shared" si="7"/>
        <v>0</v>
      </c>
      <c r="P50" s="264">
        <f t="shared" si="8"/>
        <v>0</v>
      </c>
      <c r="Q50" s="264">
        <f t="shared" si="9"/>
        <v>0</v>
      </c>
      <c r="R50" s="264">
        <f t="shared" si="10"/>
        <v>0</v>
      </c>
      <c r="S50" s="273">
        <f t="shared" si="11"/>
        <v>0</v>
      </c>
    </row>
    <row r="51" spans="1:19">
      <c r="A51" s="848"/>
      <c r="B51" s="306" t="s">
        <v>383</v>
      </c>
      <c r="C51" s="261" t="s">
        <v>399</v>
      </c>
      <c r="D51" s="249">
        <v>60</v>
      </c>
      <c r="E51" s="120">
        <v>228863</v>
      </c>
      <c r="F51" s="627"/>
      <c r="G51" s="627"/>
      <c r="H51" s="264">
        <f t="shared" si="0"/>
        <v>0</v>
      </c>
      <c r="I51" s="264">
        <f t="shared" si="1"/>
        <v>0</v>
      </c>
      <c r="J51" s="264">
        <f t="shared" si="2"/>
        <v>0</v>
      </c>
      <c r="K51" s="264">
        <f t="shared" si="3"/>
        <v>0</v>
      </c>
      <c r="L51" s="264">
        <f t="shared" si="4"/>
        <v>0</v>
      </c>
      <c r="M51" s="264">
        <f t="shared" si="5"/>
        <v>0</v>
      </c>
      <c r="N51" s="264">
        <f t="shared" si="6"/>
        <v>0</v>
      </c>
      <c r="O51" s="264">
        <f t="shared" si="7"/>
        <v>0</v>
      </c>
      <c r="P51" s="264">
        <f t="shared" si="8"/>
        <v>0</v>
      </c>
      <c r="Q51" s="264">
        <f t="shared" si="9"/>
        <v>0</v>
      </c>
      <c r="R51" s="264">
        <f t="shared" si="10"/>
        <v>0</v>
      </c>
      <c r="S51" s="273">
        <f t="shared" si="11"/>
        <v>0</v>
      </c>
    </row>
    <row r="52" spans="1:19">
      <c r="A52" s="848"/>
      <c r="B52" s="306" t="s">
        <v>384</v>
      </c>
      <c r="C52" s="261" t="s">
        <v>399</v>
      </c>
      <c r="D52" s="249">
        <v>60</v>
      </c>
      <c r="E52" s="120">
        <v>253025</v>
      </c>
      <c r="F52" s="627"/>
      <c r="G52" s="627"/>
      <c r="H52" s="264">
        <f t="shared" si="0"/>
        <v>0</v>
      </c>
      <c r="I52" s="264">
        <f t="shared" si="1"/>
        <v>0</v>
      </c>
      <c r="J52" s="264">
        <f t="shared" si="2"/>
        <v>0</v>
      </c>
      <c r="K52" s="264">
        <f t="shared" si="3"/>
        <v>0</v>
      </c>
      <c r="L52" s="264">
        <f t="shared" si="4"/>
        <v>0</v>
      </c>
      <c r="M52" s="264">
        <f t="shared" si="5"/>
        <v>0</v>
      </c>
      <c r="N52" s="264">
        <f t="shared" si="6"/>
        <v>0</v>
      </c>
      <c r="O52" s="264">
        <f t="shared" si="7"/>
        <v>0</v>
      </c>
      <c r="P52" s="264">
        <f t="shared" si="8"/>
        <v>0</v>
      </c>
      <c r="Q52" s="264">
        <f t="shared" si="9"/>
        <v>0</v>
      </c>
      <c r="R52" s="264">
        <f t="shared" si="10"/>
        <v>0</v>
      </c>
      <c r="S52" s="273">
        <f t="shared" si="11"/>
        <v>0</v>
      </c>
    </row>
    <row r="53" spans="1:19">
      <c r="A53" s="848"/>
      <c r="B53" s="306" t="s">
        <v>385</v>
      </c>
      <c r="C53" s="261" t="s">
        <v>260</v>
      </c>
      <c r="D53" s="249">
        <v>15</v>
      </c>
      <c r="E53" s="120">
        <v>229933</v>
      </c>
      <c r="F53" s="627"/>
      <c r="G53" s="627"/>
      <c r="H53" s="264">
        <f t="shared" si="0"/>
        <v>0</v>
      </c>
      <c r="I53" s="264">
        <f t="shared" si="1"/>
        <v>0</v>
      </c>
      <c r="J53" s="264">
        <f t="shared" si="2"/>
        <v>0</v>
      </c>
      <c r="K53" s="264">
        <f t="shared" si="3"/>
        <v>0</v>
      </c>
      <c r="L53" s="264">
        <f t="shared" si="4"/>
        <v>0</v>
      </c>
      <c r="M53" s="264">
        <f t="shared" si="5"/>
        <v>0</v>
      </c>
      <c r="N53" s="264">
        <f t="shared" si="6"/>
        <v>0</v>
      </c>
      <c r="O53" s="264">
        <f t="shared" si="7"/>
        <v>0</v>
      </c>
      <c r="P53" s="264">
        <f t="shared" si="8"/>
        <v>0</v>
      </c>
      <c r="Q53" s="264">
        <f t="shared" si="9"/>
        <v>0</v>
      </c>
      <c r="R53" s="264">
        <f t="shared" si="10"/>
        <v>0</v>
      </c>
      <c r="S53" s="273">
        <f t="shared" si="11"/>
        <v>0</v>
      </c>
    </row>
    <row r="54" spans="1:19" ht="40.799999999999997">
      <c r="A54" s="848"/>
      <c r="B54" s="304" t="s">
        <v>442</v>
      </c>
      <c r="C54" s="248" t="s">
        <v>397</v>
      </c>
      <c r="D54" s="250">
        <v>800</v>
      </c>
      <c r="E54" s="120">
        <v>405155</v>
      </c>
      <c r="F54" s="627"/>
      <c r="G54" s="627"/>
      <c r="H54" s="264">
        <f t="shared" si="0"/>
        <v>0</v>
      </c>
      <c r="I54" s="264">
        <f t="shared" si="1"/>
        <v>0</v>
      </c>
      <c r="J54" s="264">
        <f t="shared" si="2"/>
        <v>0</v>
      </c>
      <c r="K54" s="264">
        <f t="shared" si="3"/>
        <v>0</v>
      </c>
      <c r="L54" s="264">
        <f t="shared" si="4"/>
        <v>0</v>
      </c>
      <c r="M54" s="264">
        <f t="shared" si="5"/>
        <v>0</v>
      </c>
      <c r="N54" s="264">
        <f t="shared" si="6"/>
        <v>0</v>
      </c>
      <c r="O54" s="264">
        <f t="shared" si="7"/>
        <v>0</v>
      </c>
      <c r="P54" s="264">
        <f t="shared" si="8"/>
        <v>0</v>
      </c>
      <c r="Q54" s="264">
        <f t="shared" si="9"/>
        <v>0</v>
      </c>
      <c r="R54" s="264">
        <f t="shared" si="10"/>
        <v>0</v>
      </c>
      <c r="S54" s="273">
        <f t="shared" si="11"/>
        <v>0</v>
      </c>
    </row>
    <row r="55" spans="1:19">
      <c r="A55" s="848"/>
      <c r="B55" s="304" t="s">
        <v>386</v>
      </c>
      <c r="C55" s="248" t="s">
        <v>401</v>
      </c>
      <c r="D55" s="249">
        <v>20</v>
      </c>
      <c r="E55" s="120">
        <v>243220</v>
      </c>
      <c r="F55" s="627"/>
      <c r="G55" s="627"/>
      <c r="H55" s="264">
        <f t="shared" si="0"/>
        <v>0</v>
      </c>
      <c r="I55" s="264">
        <f t="shared" si="1"/>
        <v>0</v>
      </c>
      <c r="J55" s="264">
        <f t="shared" si="2"/>
        <v>0</v>
      </c>
      <c r="K55" s="264">
        <f t="shared" si="3"/>
        <v>0</v>
      </c>
      <c r="L55" s="264">
        <f t="shared" si="4"/>
        <v>0</v>
      </c>
      <c r="M55" s="264">
        <f t="shared" si="5"/>
        <v>0</v>
      </c>
      <c r="N55" s="264">
        <f t="shared" si="6"/>
        <v>0</v>
      </c>
      <c r="O55" s="264">
        <f t="shared" si="7"/>
        <v>0</v>
      </c>
      <c r="P55" s="264">
        <f t="shared" si="8"/>
        <v>0</v>
      </c>
      <c r="Q55" s="264">
        <f t="shared" si="9"/>
        <v>0</v>
      </c>
      <c r="R55" s="264">
        <f t="shared" si="10"/>
        <v>0</v>
      </c>
      <c r="S55" s="273">
        <f t="shared" si="11"/>
        <v>0</v>
      </c>
    </row>
    <row r="56" spans="1:19">
      <c r="A56" s="848"/>
      <c r="B56" s="304" t="s">
        <v>387</v>
      </c>
      <c r="C56" s="248" t="s">
        <v>400</v>
      </c>
      <c r="D56" s="249">
        <v>200</v>
      </c>
      <c r="E56" s="120">
        <v>345597</v>
      </c>
      <c r="F56" s="627"/>
      <c r="G56" s="627"/>
      <c r="H56" s="264">
        <f t="shared" si="0"/>
        <v>0</v>
      </c>
      <c r="I56" s="264">
        <f t="shared" si="1"/>
        <v>0</v>
      </c>
      <c r="J56" s="264">
        <f t="shared" si="2"/>
        <v>0</v>
      </c>
      <c r="K56" s="264">
        <f t="shared" si="3"/>
        <v>0</v>
      </c>
      <c r="L56" s="264">
        <f t="shared" si="4"/>
        <v>0</v>
      </c>
      <c r="M56" s="264">
        <f t="shared" si="5"/>
        <v>0</v>
      </c>
      <c r="N56" s="264">
        <f t="shared" si="6"/>
        <v>0</v>
      </c>
      <c r="O56" s="264">
        <f t="shared" si="7"/>
        <v>0</v>
      </c>
      <c r="P56" s="264">
        <f t="shared" si="8"/>
        <v>0</v>
      </c>
      <c r="Q56" s="264">
        <f t="shared" si="9"/>
        <v>0</v>
      </c>
      <c r="R56" s="264">
        <f t="shared" si="10"/>
        <v>0</v>
      </c>
      <c r="S56" s="273">
        <f t="shared" si="11"/>
        <v>0</v>
      </c>
    </row>
    <row r="57" spans="1:19">
      <c r="A57" s="848"/>
      <c r="B57" s="304" t="s">
        <v>388</v>
      </c>
      <c r="C57" s="248" t="s">
        <v>400</v>
      </c>
      <c r="D57" s="249">
        <v>200</v>
      </c>
      <c r="E57" s="120">
        <v>345595</v>
      </c>
      <c r="F57" s="627"/>
      <c r="G57" s="627"/>
      <c r="H57" s="264">
        <f t="shared" si="0"/>
        <v>0</v>
      </c>
      <c r="I57" s="264">
        <f t="shared" si="1"/>
        <v>0</v>
      </c>
      <c r="J57" s="264">
        <f t="shared" si="2"/>
        <v>0</v>
      </c>
      <c r="K57" s="264">
        <f t="shared" si="3"/>
        <v>0</v>
      </c>
      <c r="L57" s="264">
        <f t="shared" si="4"/>
        <v>0</v>
      </c>
      <c r="M57" s="264">
        <f t="shared" si="5"/>
        <v>0</v>
      </c>
      <c r="N57" s="264">
        <f t="shared" si="6"/>
        <v>0</v>
      </c>
      <c r="O57" s="264">
        <f t="shared" si="7"/>
        <v>0</v>
      </c>
      <c r="P57" s="264">
        <f t="shared" si="8"/>
        <v>0</v>
      </c>
      <c r="Q57" s="264">
        <f t="shared" si="9"/>
        <v>0</v>
      </c>
      <c r="R57" s="264">
        <f t="shared" si="10"/>
        <v>0</v>
      </c>
      <c r="S57" s="273">
        <f t="shared" si="11"/>
        <v>0</v>
      </c>
    </row>
    <row r="58" spans="1:19">
      <c r="A58" s="848"/>
      <c r="B58" s="304" t="s">
        <v>389</v>
      </c>
      <c r="C58" s="248" t="s">
        <v>400</v>
      </c>
      <c r="D58" s="249">
        <v>200</v>
      </c>
      <c r="E58" s="120">
        <v>269023</v>
      </c>
      <c r="F58" s="627"/>
      <c r="G58" s="627"/>
      <c r="H58" s="264">
        <f t="shared" si="0"/>
        <v>0</v>
      </c>
      <c r="I58" s="264">
        <f t="shared" si="1"/>
        <v>0</v>
      </c>
      <c r="J58" s="264">
        <f t="shared" si="2"/>
        <v>0</v>
      </c>
      <c r="K58" s="264">
        <f t="shared" si="3"/>
        <v>0</v>
      </c>
      <c r="L58" s="264">
        <f t="shared" si="4"/>
        <v>0</v>
      </c>
      <c r="M58" s="264">
        <f t="shared" si="5"/>
        <v>0</v>
      </c>
      <c r="N58" s="264">
        <f t="shared" si="6"/>
        <v>0</v>
      </c>
      <c r="O58" s="264">
        <f t="shared" si="7"/>
        <v>0</v>
      </c>
      <c r="P58" s="264">
        <f t="shared" si="8"/>
        <v>0</v>
      </c>
      <c r="Q58" s="264">
        <f t="shared" si="9"/>
        <v>0</v>
      </c>
      <c r="R58" s="264">
        <f t="shared" si="10"/>
        <v>0</v>
      </c>
      <c r="S58" s="273">
        <f t="shared" si="11"/>
        <v>0</v>
      </c>
    </row>
    <row r="59" spans="1:19">
      <c r="A59" s="848"/>
      <c r="B59" s="304" t="s">
        <v>390</v>
      </c>
      <c r="C59" s="248" t="s">
        <v>400</v>
      </c>
      <c r="D59" s="249">
        <v>50</v>
      </c>
      <c r="E59" s="120">
        <v>375949</v>
      </c>
      <c r="F59" s="627"/>
      <c r="G59" s="627"/>
      <c r="H59" s="264">
        <f t="shared" si="0"/>
        <v>0</v>
      </c>
      <c r="I59" s="264">
        <f t="shared" si="1"/>
        <v>0</v>
      </c>
      <c r="J59" s="264">
        <f t="shared" si="2"/>
        <v>0</v>
      </c>
      <c r="K59" s="264">
        <f t="shared" si="3"/>
        <v>0</v>
      </c>
      <c r="L59" s="264">
        <f t="shared" si="4"/>
        <v>0</v>
      </c>
      <c r="M59" s="264">
        <f t="shared" si="5"/>
        <v>0</v>
      </c>
      <c r="N59" s="264">
        <f t="shared" si="6"/>
        <v>0</v>
      </c>
      <c r="O59" s="264">
        <f t="shared" si="7"/>
        <v>0</v>
      </c>
      <c r="P59" s="264">
        <f t="shared" si="8"/>
        <v>0</v>
      </c>
      <c r="Q59" s="264">
        <f t="shared" si="9"/>
        <v>0</v>
      </c>
      <c r="R59" s="264">
        <f t="shared" si="10"/>
        <v>0</v>
      </c>
      <c r="S59" s="273">
        <f t="shared" si="11"/>
        <v>0</v>
      </c>
    </row>
    <row r="60" spans="1:19">
      <c r="A60" s="848"/>
      <c r="B60" s="304" t="s">
        <v>391</v>
      </c>
      <c r="C60" s="248" t="s">
        <v>400</v>
      </c>
      <c r="D60" s="249">
        <v>200</v>
      </c>
      <c r="E60" s="120">
        <v>375948</v>
      </c>
      <c r="F60" s="627"/>
      <c r="G60" s="627"/>
      <c r="H60" s="264">
        <f t="shared" si="0"/>
        <v>0</v>
      </c>
      <c r="I60" s="264">
        <f t="shared" si="1"/>
        <v>0</v>
      </c>
      <c r="J60" s="264">
        <f t="shared" si="2"/>
        <v>0</v>
      </c>
      <c r="K60" s="264">
        <f t="shared" si="3"/>
        <v>0</v>
      </c>
      <c r="L60" s="264">
        <f t="shared" si="4"/>
        <v>0</v>
      </c>
      <c r="M60" s="264">
        <f t="shared" si="5"/>
        <v>0</v>
      </c>
      <c r="N60" s="264">
        <f t="shared" si="6"/>
        <v>0</v>
      </c>
      <c r="O60" s="264">
        <f t="shared" si="7"/>
        <v>0</v>
      </c>
      <c r="P60" s="264">
        <f t="shared" si="8"/>
        <v>0</v>
      </c>
      <c r="Q60" s="264">
        <f t="shared" si="9"/>
        <v>0</v>
      </c>
      <c r="R60" s="264">
        <f t="shared" si="10"/>
        <v>0</v>
      </c>
      <c r="S60" s="273">
        <f t="shared" si="11"/>
        <v>0</v>
      </c>
    </row>
    <row r="61" spans="1:19">
      <c r="A61" s="848"/>
      <c r="B61" s="303" t="s">
        <v>392</v>
      </c>
      <c r="C61" s="248" t="s">
        <v>401</v>
      </c>
      <c r="D61" s="249">
        <v>50</v>
      </c>
      <c r="E61" s="120">
        <v>150409</v>
      </c>
      <c r="F61" s="627"/>
      <c r="G61" s="627"/>
      <c r="H61" s="264">
        <f t="shared" si="0"/>
        <v>0</v>
      </c>
      <c r="I61" s="264">
        <f t="shared" si="1"/>
        <v>0</v>
      </c>
      <c r="J61" s="264">
        <f t="shared" si="2"/>
        <v>0</v>
      </c>
      <c r="K61" s="264">
        <f t="shared" si="3"/>
        <v>0</v>
      </c>
      <c r="L61" s="264">
        <f t="shared" si="4"/>
        <v>0</v>
      </c>
      <c r="M61" s="264">
        <f t="shared" si="5"/>
        <v>0</v>
      </c>
      <c r="N61" s="264">
        <f t="shared" si="6"/>
        <v>0</v>
      </c>
      <c r="O61" s="264">
        <f t="shared" si="7"/>
        <v>0</v>
      </c>
      <c r="P61" s="264">
        <f t="shared" si="8"/>
        <v>0</v>
      </c>
      <c r="Q61" s="264">
        <f t="shared" si="9"/>
        <v>0</v>
      </c>
      <c r="R61" s="264">
        <f t="shared" si="10"/>
        <v>0</v>
      </c>
      <c r="S61" s="273">
        <f t="shared" si="11"/>
        <v>0</v>
      </c>
    </row>
    <row r="62" spans="1:19">
      <c r="A62" s="848"/>
      <c r="B62" s="304" t="s">
        <v>394</v>
      </c>
      <c r="C62" s="248" t="s">
        <v>260</v>
      </c>
      <c r="D62" s="249">
        <v>24</v>
      </c>
      <c r="E62" s="120">
        <v>332930</v>
      </c>
      <c r="F62" s="627"/>
      <c r="G62" s="627"/>
      <c r="H62" s="264">
        <f t="shared" si="0"/>
        <v>0</v>
      </c>
      <c r="I62" s="264">
        <f t="shared" si="1"/>
        <v>0</v>
      </c>
      <c r="J62" s="264">
        <f t="shared" si="2"/>
        <v>0</v>
      </c>
      <c r="K62" s="264">
        <f t="shared" si="3"/>
        <v>0</v>
      </c>
      <c r="L62" s="264">
        <f t="shared" si="4"/>
        <v>0</v>
      </c>
      <c r="M62" s="264">
        <f t="shared" si="5"/>
        <v>0</v>
      </c>
      <c r="N62" s="264">
        <f t="shared" si="6"/>
        <v>0</v>
      </c>
      <c r="O62" s="264">
        <f t="shared" si="7"/>
        <v>0</v>
      </c>
      <c r="P62" s="264">
        <f t="shared" si="8"/>
        <v>0</v>
      </c>
      <c r="Q62" s="264">
        <f t="shared" si="9"/>
        <v>0</v>
      </c>
      <c r="R62" s="264">
        <f t="shared" si="10"/>
        <v>0</v>
      </c>
      <c r="S62" s="273">
        <f t="shared" si="11"/>
        <v>0</v>
      </c>
    </row>
    <row r="63" spans="1:19">
      <c r="A63" s="848"/>
      <c r="B63" s="304" t="s">
        <v>435</v>
      </c>
      <c r="C63" s="248" t="s">
        <v>399</v>
      </c>
      <c r="D63" s="249">
        <v>100</v>
      </c>
      <c r="E63" s="120">
        <v>226137</v>
      </c>
      <c r="F63" s="627"/>
      <c r="G63" s="627"/>
      <c r="H63" s="264">
        <f t="shared" si="0"/>
        <v>0</v>
      </c>
      <c r="I63" s="264">
        <f t="shared" si="1"/>
        <v>0</v>
      </c>
      <c r="J63" s="264">
        <f t="shared" si="2"/>
        <v>0</v>
      </c>
      <c r="K63" s="264">
        <f t="shared" si="3"/>
        <v>0</v>
      </c>
      <c r="L63" s="264">
        <f t="shared" si="4"/>
        <v>0</v>
      </c>
      <c r="M63" s="264">
        <f t="shared" si="5"/>
        <v>0</v>
      </c>
      <c r="N63" s="264">
        <f t="shared" si="6"/>
        <v>0</v>
      </c>
      <c r="O63" s="264">
        <f t="shared" si="7"/>
        <v>0</v>
      </c>
      <c r="P63" s="264">
        <f t="shared" si="8"/>
        <v>0</v>
      </c>
      <c r="Q63" s="264">
        <f t="shared" si="9"/>
        <v>0</v>
      </c>
      <c r="R63" s="264">
        <f t="shared" si="10"/>
        <v>0</v>
      </c>
      <c r="S63" s="273">
        <f t="shared" si="11"/>
        <v>0</v>
      </c>
    </row>
    <row r="64" spans="1:19">
      <c r="A64" s="848"/>
      <c r="B64" s="304" t="s">
        <v>395</v>
      </c>
      <c r="C64" s="248" t="s">
        <v>399</v>
      </c>
      <c r="D64" s="249">
        <v>7</v>
      </c>
      <c r="E64" s="120">
        <v>318938</v>
      </c>
      <c r="F64" s="627"/>
      <c r="G64" s="627"/>
      <c r="H64" s="264">
        <f t="shared" si="0"/>
        <v>0</v>
      </c>
      <c r="I64" s="264">
        <f t="shared" si="1"/>
        <v>0</v>
      </c>
      <c r="J64" s="264">
        <f t="shared" si="2"/>
        <v>0</v>
      </c>
      <c r="K64" s="264">
        <f t="shared" si="3"/>
        <v>0</v>
      </c>
      <c r="L64" s="264">
        <f t="shared" si="4"/>
        <v>0</v>
      </c>
      <c r="M64" s="264">
        <f t="shared" si="5"/>
        <v>0</v>
      </c>
      <c r="N64" s="264">
        <f t="shared" si="6"/>
        <v>0</v>
      </c>
      <c r="O64" s="264">
        <f t="shared" si="7"/>
        <v>0</v>
      </c>
      <c r="P64" s="264">
        <f t="shared" si="8"/>
        <v>0</v>
      </c>
      <c r="Q64" s="264">
        <f t="shared" si="9"/>
        <v>0</v>
      </c>
      <c r="R64" s="264">
        <f t="shared" si="10"/>
        <v>0</v>
      </c>
      <c r="S64" s="273">
        <f t="shared" si="11"/>
        <v>0</v>
      </c>
    </row>
    <row r="65" spans="1:19">
      <c r="A65" s="848"/>
      <c r="B65" s="304" t="s">
        <v>436</v>
      </c>
      <c r="C65" s="248" t="s">
        <v>399</v>
      </c>
      <c r="D65" s="249">
        <v>24</v>
      </c>
      <c r="E65" s="120">
        <v>254833</v>
      </c>
      <c r="F65" s="627"/>
      <c r="G65" s="627"/>
      <c r="H65" s="264">
        <f t="shared" si="0"/>
        <v>0</v>
      </c>
      <c r="I65" s="264">
        <f t="shared" si="1"/>
        <v>0</v>
      </c>
      <c r="J65" s="264">
        <f t="shared" si="2"/>
        <v>0</v>
      </c>
      <c r="K65" s="264">
        <f t="shared" si="3"/>
        <v>0</v>
      </c>
      <c r="L65" s="264">
        <f t="shared" si="4"/>
        <v>0</v>
      </c>
      <c r="M65" s="264">
        <f t="shared" si="5"/>
        <v>0</v>
      </c>
      <c r="N65" s="264">
        <f t="shared" si="6"/>
        <v>0</v>
      </c>
      <c r="O65" s="264">
        <f t="shared" si="7"/>
        <v>0</v>
      </c>
      <c r="P65" s="264">
        <f t="shared" si="8"/>
        <v>0</v>
      </c>
      <c r="Q65" s="264">
        <f t="shared" si="9"/>
        <v>0</v>
      </c>
      <c r="R65" s="264">
        <f t="shared" si="10"/>
        <v>0</v>
      </c>
      <c r="S65" s="273">
        <f t="shared" si="11"/>
        <v>0</v>
      </c>
    </row>
    <row r="66" spans="1:19" ht="10.8" thickBot="1">
      <c r="A66" s="849"/>
      <c r="B66" s="307" t="s">
        <v>437</v>
      </c>
      <c r="C66" s="274" t="s">
        <v>399</v>
      </c>
      <c r="D66" s="290">
        <v>10</v>
      </c>
      <c r="E66" s="276"/>
      <c r="F66" s="628"/>
      <c r="G66" s="628"/>
      <c r="H66" s="279">
        <f t="shared" si="0"/>
        <v>0</v>
      </c>
      <c r="I66" s="279">
        <f t="shared" si="1"/>
        <v>0</v>
      </c>
      <c r="J66" s="279">
        <f t="shared" si="2"/>
        <v>0</v>
      </c>
      <c r="K66" s="279">
        <f t="shared" si="3"/>
        <v>0</v>
      </c>
      <c r="L66" s="279">
        <f t="shared" si="4"/>
        <v>0</v>
      </c>
      <c r="M66" s="279">
        <f t="shared" si="5"/>
        <v>0</v>
      </c>
      <c r="N66" s="279">
        <f t="shared" si="6"/>
        <v>0</v>
      </c>
      <c r="O66" s="279">
        <f t="shared" si="7"/>
        <v>0</v>
      </c>
      <c r="P66" s="279">
        <f t="shared" si="8"/>
        <v>0</v>
      </c>
      <c r="Q66" s="279">
        <f t="shared" si="9"/>
        <v>0</v>
      </c>
      <c r="R66" s="279">
        <f t="shared" si="10"/>
        <v>0</v>
      </c>
      <c r="S66" s="280">
        <f t="shared" si="11"/>
        <v>0</v>
      </c>
    </row>
    <row r="67" spans="1:19">
      <c r="A67" s="850" t="s">
        <v>440</v>
      </c>
      <c r="B67" s="319" t="s">
        <v>364</v>
      </c>
      <c r="C67" s="288" t="s">
        <v>260</v>
      </c>
      <c r="D67" s="289">
        <v>70</v>
      </c>
      <c r="E67" s="283">
        <v>396082</v>
      </c>
      <c r="F67" s="626"/>
      <c r="G67" s="626"/>
      <c r="H67" s="284">
        <f t="shared" ref="H67:H79" si="24">ROUND(+F67*($N$6+$O$6)*-1,2)</f>
        <v>0</v>
      </c>
      <c r="I67" s="284">
        <f t="shared" ref="I67:I79" si="25">+H67+F67</f>
        <v>0</v>
      </c>
      <c r="J67" s="284">
        <f t="shared" ref="J67:J79" si="26">ROUND($J$6*I67,2)</f>
        <v>0</v>
      </c>
      <c r="K67" s="284">
        <f t="shared" ref="K67:K79" si="27">+J67+I67</f>
        <v>0</v>
      </c>
      <c r="L67" s="284">
        <f t="shared" ref="L67:L79" si="28">ROUND(+K67*$L$6,2)</f>
        <v>0</v>
      </c>
      <c r="M67" s="284">
        <f t="shared" ref="M67:M79" si="29">+L67+K67</f>
        <v>0</v>
      </c>
      <c r="N67" s="284">
        <f t="shared" ref="N67:N79" si="30">ROUND(+M67*$N$6,2)</f>
        <v>0</v>
      </c>
      <c r="O67" s="284">
        <f t="shared" ref="O67:O79" si="31">ROUND(+M67*$O$6,2)</f>
        <v>0</v>
      </c>
      <c r="P67" s="284">
        <f t="shared" ref="P67:P79" si="32">ROUND(+M67*$P$6,2)</f>
        <v>0</v>
      </c>
      <c r="Q67" s="284">
        <f t="shared" ref="Q67:Q79" si="33">ROUND(+P67+O67+N67,2)</f>
        <v>0</v>
      </c>
      <c r="R67" s="284">
        <f t="shared" ref="R67:R72" si="34">ROUND(+(Q67+M67)/2,2)</f>
        <v>0</v>
      </c>
      <c r="S67" s="285">
        <f t="shared" si="11"/>
        <v>0</v>
      </c>
    </row>
    <row r="68" spans="1:19">
      <c r="A68" s="851"/>
      <c r="B68" s="320" t="s">
        <v>365</v>
      </c>
      <c r="C68" s="268" t="s">
        <v>260</v>
      </c>
      <c r="D68" s="250">
        <v>70</v>
      </c>
      <c r="E68" s="120">
        <v>385712</v>
      </c>
      <c r="F68" s="627"/>
      <c r="G68" s="627"/>
      <c r="H68" s="264">
        <f t="shared" si="24"/>
        <v>0</v>
      </c>
      <c r="I68" s="264">
        <f t="shared" si="25"/>
        <v>0</v>
      </c>
      <c r="J68" s="264">
        <f t="shared" si="26"/>
        <v>0</v>
      </c>
      <c r="K68" s="264">
        <f t="shared" si="27"/>
        <v>0</v>
      </c>
      <c r="L68" s="264">
        <f t="shared" si="28"/>
        <v>0</v>
      </c>
      <c r="M68" s="264">
        <f t="shared" si="29"/>
        <v>0</v>
      </c>
      <c r="N68" s="264">
        <f t="shared" si="30"/>
        <v>0</v>
      </c>
      <c r="O68" s="264">
        <f t="shared" si="31"/>
        <v>0</v>
      </c>
      <c r="P68" s="264">
        <f t="shared" si="32"/>
        <v>0</v>
      </c>
      <c r="Q68" s="264">
        <f t="shared" si="33"/>
        <v>0</v>
      </c>
      <c r="R68" s="264">
        <f t="shared" si="34"/>
        <v>0</v>
      </c>
      <c r="S68" s="273">
        <f t="shared" si="11"/>
        <v>0</v>
      </c>
    </row>
    <row r="69" spans="1:19">
      <c r="A69" s="851"/>
      <c r="B69" s="320" t="s">
        <v>366</v>
      </c>
      <c r="C69" s="268" t="s">
        <v>260</v>
      </c>
      <c r="D69" s="250">
        <v>70</v>
      </c>
      <c r="E69" s="120"/>
      <c r="F69" s="627"/>
      <c r="G69" s="627"/>
      <c r="H69" s="264">
        <f t="shared" si="24"/>
        <v>0</v>
      </c>
      <c r="I69" s="264">
        <f t="shared" si="25"/>
        <v>0</v>
      </c>
      <c r="J69" s="264">
        <f t="shared" si="26"/>
        <v>0</v>
      </c>
      <c r="K69" s="264">
        <f t="shared" si="27"/>
        <v>0</v>
      </c>
      <c r="L69" s="264">
        <f t="shared" si="28"/>
        <v>0</v>
      </c>
      <c r="M69" s="264">
        <f t="shared" si="29"/>
        <v>0</v>
      </c>
      <c r="N69" s="264">
        <f t="shared" si="30"/>
        <v>0</v>
      </c>
      <c r="O69" s="264">
        <f t="shared" si="31"/>
        <v>0</v>
      </c>
      <c r="P69" s="264">
        <f t="shared" si="32"/>
        <v>0</v>
      </c>
      <c r="Q69" s="264">
        <f t="shared" si="33"/>
        <v>0</v>
      </c>
      <c r="R69" s="264">
        <f t="shared" si="34"/>
        <v>0</v>
      </c>
      <c r="S69" s="273">
        <f t="shared" si="11"/>
        <v>0</v>
      </c>
    </row>
    <row r="70" spans="1:19" ht="20.399999999999999">
      <c r="A70" s="851"/>
      <c r="B70" s="320" t="s">
        <v>443</v>
      </c>
      <c r="C70" s="248" t="s">
        <v>399</v>
      </c>
      <c r="D70" s="249">
        <v>70</v>
      </c>
      <c r="E70" s="120">
        <v>216093</v>
      </c>
      <c r="F70" s="627"/>
      <c r="G70" s="627"/>
      <c r="H70" s="264">
        <f t="shared" si="24"/>
        <v>0</v>
      </c>
      <c r="I70" s="264">
        <f t="shared" si="25"/>
        <v>0</v>
      </c>
      <c r="J70" s="264">
        <f t="shared" si="26"/>
        <v>0</v>
      </c>
      <c r="K70" s="264">
        <f t="shared" si="27"/>
        <v>0</v>
      </c>
      <c r="L70" s="264">
        <f t="shared" si="28"/>
        <v>0</v>
      </c>
      <c r="M70" s="264">
        <f t="shared" si="29"/>
        <v>0</v>
      </c>
      <c r="N70" s="264">
        <f t="shared" si="30"/>
        <v>0</v>
      </c>
      <c r="O70" s="264">
        <f t="shared" si="31"/>
        <v>0</v>
      </c>
      <c r="P70" s="264">
        <f t="shared" si="32"/>
        <v>0</v>
      </c>
      <c r="Q70" s="264">
        <f t="shared" si="33"/>
        <v>0</v>
      </c>
      <c r="R70" s="264">
        <f t="shared" si="34"/>
        <v>0</v>
      </c>
      <c r="S70" s="273">
        <f t="shared" si="11"/>
        <v>0</v>
      </c>
    </row>
    <row r="71" spans="1:19">
      <c r="A71" s="851"/>
      <c r="B71" s="320" t="s">
        <v>444</v>
      </c>
      <c r="C71" s="248" t="s">
        <v>399</v>
      </c>
      <c r="D71" s="249">
        <v>70</v>
      </c>
      <c r="E71" s="120">
        <v>216093</v>
      </c>
      <c r="F71" s="627"/>
      <c r="G71" s="627"/>
      <c r="H71" s="264">
        <f t="shared" si="24"/>
        <v>0</v>
      </c>
      <c r="I71" s="264">
        <f t="shared" si="25"/>
        <v>0</v>
      </c>
      <c r="J71" s="264">
        <f t="shared" si="26"/>
        <v>0</v>
      </c>
      <c r="K71" s="264">
        <f t="shared" si="27"/>
        <v>0</v>
      </c>
      <c r="L71" s="264">
        <f t="shared" si="28"/>
        <v>0</v>
      </c>
      <c r="M71" s="264">
        <f t="shared" si="29"/>
        <v>0</v>
      </c>
      <c r="N71" s="264">
        <f t="shared" si="30"/>
        <v>0</v>
      </c>
      <c r="O71" s="264">
        <f t="shared" si="31"/>
        <v>0</v>
      </c>
      <c r="P71" s="264">
        <f t="shared" si="32"/>
        <v>0</v>
      </c>
      <c r="Q71" s="264">
        <f t="shared" si="33"/>
        <v>0</v>
      </c>
      <c r="R71" s="264">
        <f t="shared" si="34"/>
        <v>0</v>
      </c>
      <c r="S71" s="273">
        <f t="shared" si="11"/>
        <v>0</v>
      </c>
    </row>
    <row r="72" spans="1:19" ht="21" thickBot="1">
      <c r="A72" s="852"/>
      <c r="B72" s="321" t="s">
        <v>357</v>
      </c>
      <c r="C72" s="274" t="s">
        <v>399</v>
      </c>
      <c r="D72" s="290">
        <v>70</v>
      </c>
      <c r="E72" s="276">
        <v>216093</v>
      </c>
      <c r="F72" s="628"/>
      <c r="G72" s="628"/>
      <c r="H72" s="279">
        <f t="shared" si="24"/>
        <v>0</v>
      </c>
      <c r="I72" s="279">
        <f t="shared" si="25"/>
        <v>0</v>
      </c>
      <c r="J72" s="279">
        <f t="shared" si="26"/>
        <v>0</v>
      </c>
      <c r="K72" s="279">
        <f t="shared" si="27"/>
        <v>0</v>
      </c>
      <c r="L72" s="279">
        <f t="shared" si="28"/>
        <v>0</v>
      </c>
      <c r="M72" s="279">
        <f t="shared" si="29"/>
        <v>0</v>
      </c>
      <c r="N72" s="279">
        <f t="shared" si="30"/>
        <v>0</v>
      </c>
      <c r="O72" s="279">
        <f t="shared" si="31"/>
        <v>0</v>
      </c>
      <c r="P72" s="279">
        <f t="shared" si="32"/>
        <v>0</v>
      </c>
      <c r="Q72" s="279">
        <f t="shared" si="33"/>
        <v>0</v>
      </c>
      <c r="R72" s="279">
        <f t="shared" si="34"/>
        <v>0</v>
      </c>
      <c r="S72" s="280">
        <f t="shared" si="11"/>
        <v>0</v>
      </c>
    </row>
    <row r="73" spans="1:19" ht="30.6">
      <c r="A73" s="850" t="s">
        <v>453</v>
      </c>
      <c r="B73" s="317" t="s">
        <v>425</v>
      </c>
      <c r="C73" s="281" t="s">
        <v>399</v>
      </c>
      <c r="D73" s="282">
        <v>70</v>
      </c>
      <c r="E73" s="283">
        <v>443451</v>
      </c>
      <c r="F73" s="626"/>
      <c r="G73" s="626"/>
      <c r="H73" s="284">
        <f t="shared" si="24"/>
        <v>0</v>
      </c>
      <c r="I73" s="284">
        <f t="shared" si="25"/>
        <v>0</v>
      </c>
      <c r="J73" s="284">
        <f t="shared" si="26"/>
        <v>0</v>
      </c>
      <c r="K73" s="284">
        <f t="shared" si="27"/>
        <v>0</v>
      </c>
      <c r="L73" s="284">
        <f t="shared" si="28"/>
        <v>0</v>
      </c>
      <c r="M73" s="284">
        <f t="shared" si="29"/>
        <v>0</v>
      </c>
      <c r="N73" s="284">
        <f t="shared" si="30"/>
        <v>0</v>
      </c>
      <c r="O73" s="284">
        <f t="shared" si="31"/>
        <v>0</v>
      </c>
      <c r="P73" s="284">
        <f t="shared" si="32"/>
        <v>0</v>
      </c>
      <c r="Q73" s="284">
        <f t="shared" si="33"/>
        <v>0</v>
      </c>
      <c r="R73" s="284">
        <f t="shared" ref="R73:R79" si="35">ROUND(+(Q73+M73)/6,2)</f>
        <v>0</v>
      </c>
      <c r="S73" s="285">
        <f t="shared" si="11"/>
        <v>0</v>
      </c>
    </row>
    <row r="74" spans="1:19">
      <c r="A74" s="851"/>
      <c r="B74" s="306" t="s">
        <v>393</v>
      </c>
      <c r="C74" s="261" t="s">
        <v>399</v>
      </c>
      <c r="D74" s="249">
        <v>40</v>
      </c>
      <c r="E74" s="120"/>
      <c r="F74" s="627"/>
      <c r="G74" s="627"/>
      <c r="H74" s="264">
        <f t="shared" si="24"/>
        <v>0</v>
      </c>
      <c r="I74" s="264">
        <f t="shared" si="25"/>
        <v>0</v>
      </c>
      <c r="J74" s="264">
        <f t="shared" si="26"/>
        <v>0</v>
      </c>
      <c r="K74" s="264">
        <f t="shared" si="27"/>
        <v>0</v>
      </c>
      <c r="L74" s="264">
        <f t="shared" si="28"/>
        <v>0</v>
      </c>
      <c r="M74" s="264">
        <f t="shared" si="29"/>
        <v>0</v>
      </c>
      <c r="N74" s="264">
        <f t="shared" si="30"/>
        <v>0</v>
      </c>
      <c r="O74" s="264">
        <f t="shared" si="31"/>
        <v>0</v>
      </c>
      <c r="P74" s="264">
        <f t="shared" si="32"/>
        <v>0</v>
      </c>
      <c r="Q74" s="264">
        <f t="shared" si="33"/>
        <v>0</v>
      </c>
      <c r="R74" s="264">
        <f t="shared" si="35"/>
        <v>0</v>
      </c>
      <c r="S74" s="273">
        <f t="shared" si="11"/>
        <v>0</v>
      </c>
    </row>
    <row r="75" spans="1:19">
      <c r="A75" s="851"/>
      <c r="B75" s="315" t="s">
        <v>438</v>
      </c>
      <c r="C75" s="248" t="s">
        <v>399</v>
      </c>
      <c r="D75" s="251">
        <v>15</v>
      </c>
      <c r="E75" s="120"/>
      <c r="F75" s="627"/>
      <c r="G75" s="627"/>
      <c r="H75" s="264">
        <f t="shared" si="24"/>
        <v>0</v>
      </c>
      <c r="I75" s="264">
        <f t="shared" si="25"/>
        <v>0</v>
      </c>
      <c r="J75" s="264">
        <f t="shared" si="26"/>
        <v>0</v>
      </c>
      <c r="K75" s="264">
        <f t="shared" si="27"/>
        <v>0</v>
      </c>
      <c r="L75" s="264">
        <f t="shared" si="28"/>
        <v>0</v>
      </c>
      <c r="M75" s="264">
        <f t="shared" si="29"/>
        <v>0</v>
      </c>
      <c r="N75" s="264">
        <f t="shared" si="30"/>
        <v>0</v>
      </c>
      <c r="O75" s="264">
        <f t="shared" si="31"/>
        <v>0</v>
      </c>
      <c r="P75" s="264">
        <f t="shared" si="32"/>
        <v>0</v>
      </c>
      <c r="Q75" s="264">
        <f t="shared" si="33"/>
        <v>0</v>
      </c>
      <c r="R75" s="264">
        <f t="shared" si="35"/>
        <v>0</v>
      </c>
      <c r="S75" s="273">
        <f t="shared" si="11"/>
        <v>0</v>
      </c>
    </row>
    <row r="76" spans="1:19">
      <c r="A76" s="851"/>
      <c r="B76" s="315" t="s">
        <v>439</v>
      </c>
      <c r="C76" s="248" t="s">
        <v>399</v>
      </c>
      <c r="D76" s="251">
        <v>70</v>
      </c>
      <c r="E76" s="120"/>
      <c r="F76" s="627"/>
      <c r="G76" s="627"/>
      <c r="H76" s="264">
        <f t="shared" si="24"/>
        <v>0</v>
      </c>
      <c r="I76" s="264">
        <f t="shared" si="25"/>
        <v>0</v>
      </c>
      <c r="J76" s="264">
        <f t="shared" si="26"/>
        <v>0</v>
      </c>
      <c r="K76" s="264">
        <f t="shared" si="27"/>
        <v>0</v>
      </c>
      <c r="L76" s="264">
        <f t="shared" si="28"/>
        <v>0</v>
      </c>
      <c r="M76" s="264">
        <f t="shared" si="29"/>
        <v>0</v>
      </c>
      <c r="N76" s="264">
        <f t="shared" si="30"/>
        <v>0</v>
      </c>
      <c r="O76" s="264">
        <f t="shared" si="31"/>
        <v>0</v>
      </c>
      <c r="P76" s="264">
        <f t="shared" si="32"/>
        <v>0</v>
      </c>
      <c r="Q76" s="264">
        <f t="shared" si="33"/>
        <v>0</v>
      </c>
      <c r="R76" s="264">
        <f t="shared" si="35"/>
        <v>0</v>
      </c>
      <c r="S76" s="273">
        <f t="shared" si="11"/>
        <v>0</v>
      </c>
    </row>
    <row r="77" spans="1:19">
      <c r="A77" s="851"/>
      <c r="B77" s="315" t="s">
        <v>421</v>
      </c>
      <c r="C77" s="248" t="s">
        <v>399</v>
      </c>
      <c r="D77" s="251">
        <v>15</v>
      </c>
      <c r="E77" s="120">
        <v>224114</v>
      </c>
      <c r="F77" s="627"/>
      <c r="G77" s="627"/>
      <c r="H77" s="264">
        <f t="shared" si="24"/>
        <v>0</v>
      </c>
      <c r="I77" s="264">
        <f t="shared" si="25"/>
        <v>0</v>
      </c>
      <c r="J77" s="264">
        <f t="shared" si="26"/>
        <v>0</v>
      </c>
      <c r="K77" s="264">
        <f t="shared" si="27"/>
        <v>0</v>
      </c>
      <c r="L77" s="264">
        <f t="shared" si="28"/>
        <v>0</v>
      </c>
      <c r="M77" s="264">
        <f t="shared" si="29"/>
        <v>0</v>
      </c>
      <c r="N77" s="264">
        <f t="shared" si="30"/>
        <v>0</v>
      </c>
      <c r="O77" s="264">
        <f t="shared" si="31"/>
        <v>0</v>
      </c>
      <c r="P77" s="264">
        <f t="shared" si="32"/>
        <v>0</v>
      </c>
      <c r="Q77" s="264">
        <f t="shared" si="33"/>
        <v>0</v>
      </c>
      <c r="R77" s="264">
        <f t="shared" si="35"/>
        <v>0</v>
      </c>
      <c r="S77" s="273">
        <f t="shared" si="11"/>
        <v>0</v>
      </c>
    </row>
    <row r="78" spans="1:19">
      <c r="A78" s="851"/>
      <c r="B78" s="315" t="s">
        <v>422</v>
      </c>
      <c r="C78" s="248" t="s">
        <v>399</v>
      </c>
      <c r="D78" s="251">
        <v>15</v>
      </c>
      <c r="E78" s="267">
        <v>224110</v>
      </c>
      <c r="F78" s="627"/>
      <c r="G78" s="627"/>
      <c r="H78" s="264">
        <f t="shared" si="24"/>
        <v>0</v>
      </c>
      <c r="I78" s="264">
        <f t="shared" si="25"/>
        <v>0</v>
      </c>
      <c r="J78" s="264">
        <f t="shared" si="26"/>
        <v>0</v>
      </c>
      <c r="K78" s="264">
        <f t="shared" si="27"/>
        <v>0</v>
      </c>
      <c r="L78" s="264">
        <f t="shared" si="28"/>
        <v>0</v>
      </c>
      <c r="M78" s="264">
        <f t="shared" si="29"/>
        <v>0</v>
      </c>
      <c r="N78" s="264">
        <f t="shared" si="30"/>
        <v>0</v>
      </c>
      <c r="O78" s="264">
        <f t="shared" si="31"/>
        <v>0</v>
      </c>
      <c r="P78" s="264">
        <f t="shared" si="32"/>
        <v>0</v>
      </c>
      <c r="Q78" s="264">
        <f t="shared" si="33"/>
        <v>0</v>
      </c>
      <c r="R78" s="264">
        <f t="shared" si="35"/>
        <v>0</v>
      </c>
      <c r="S78" s="273">
        <f t="shared" si="11"/>
        <v>0</v>
      </c>
    </row>
    <row r="79" spans="1:19" ht="10.8" thickBot="1">
      <c r="A79" s="852"/>
      <c r="B79" s="318" t="s">
        <v>447</v>
      </c>
      <c r="C79" s="286" t="s">
        <v>399</v>
      </c>
      <c r="D79" s="287">
        <v>70</v>
      </c>
      <c r="E79" s="276"/>
      <c r="F79" s="628"/>
      <c r="G79" s="628"/>
      <c r="H79" s="279">
        <f t="shared" si="24"/>
        <v>0</v>
      </c>
      <c r="I79" s="279">
        <f t="shared" si="25"/>
        <v>0</v>
      </c>
      <c r="J79" s="279">
        <f t="shared" si="26"/>
        <v>0</v>
      </c>
      <c r="K79" s="279">
        <f t="shared" si="27"/>
        <v>0</v>
      </c>
      <c r="L79" s="279">
        <f t="shared" si="28"/>
        <v>0</v>
      </c>
      <c r="M79" s="279">
        <f t="shared" si="29"/>
        <v>0</v>
      </c>
      <c r="N79" s="279">
        <f t="shared" si="30"/>
        <v>0</v>
      </c>
      <c r="O79" s="279">
        <f t="shared" si="31"/>
        <v>0</v>
      </c>
      <c r="P79" s="279">
        <f t="shared" si="32"/>
        <v>0</v>
      </c>
      <c r="Q79" s="279">
        <f t="shared" si="33"/>
        <v>0</v>
      </c>
      <c r="R79" s="279">
        <f t="shared" si="35"/>
        <v>0</v>
      </c>
      <c r="S79" s="280">
        <f t="shared" ref="S79" si="36">ROUND(R79*D79,2)</f>
        <v>0</v>
      </c>
    </row>
    <row r="80" spans="1:19" s="258" customFormat="1" ht="10.8" thickBot="1">
      <c r="A80" s="254"/>
      <c r="B80" s="255"/>
      <c r="C80" s="256"/>
      <c r="D80" s="257"/>
      <c r="F80" s="259"/>
      <c r="G80" s="259"/>
      <c r="H80" s="260"/>
      <c r="I80" s="260"/>
      <c r="J80" s="260"/>
      <c r="K80" s="260"/>
      <c r="L80" s="260"/>
      <c r="M80" s="260"/>
      <c r="N80" s="260"/>
      <c r="O80" s="260"/>
      <c r="P80" s="260"/>
      <c r="Q80" s="260"/>
      <c r="R80" s="260"/>
    </row>
    <row r="81" spans="1:22" s="258" customFormat="1" ht="51.6" thickBot="1">
      <c r="A81" s="254"/>
      <c r="B81" s="301" t="s">
        <v>396</v>
      </c>
      <c r="C81" s="293" t="s">
        <v>260</v>
      </c>
      <c r="D81" s="294" t="s">
        <v>405</v>
      </c>
      <c r="E81" s="295" t="s">
        <v>424</v>
      </c>
      <c r="F81" s="296" t="s">
        <v>241</v>
      </c>
      <c r="G81" s="625" t="s">
        <v>720</v>
      </c>
      <c r="H81" s="297" t="s">
        <v>265</v>
      </c>
      <c r="I81" s="297" t="s">
        <v>266</v>
      </c>
      <c r="J81" s="297" t="s">
        <v>267</v>
      </c>
      <c r="K81" s="297" t="s">
        <v>77</v>
      </c>
      <c r="L81" s="297" t="s">
        <v>261</v>
      </c>
      <c r="M81" s="297" t="s">
        <v>122</v>
      </c>
      <c r="N81" s="297" t="s">
        <v>262</v>
      </c>
      <c r="O81" s="297" t="s">
        <v>123</v>
      </c>
      <c r="P81" s="297" t="s">
        <v>262</v>
      </c>
      <c r="Q81" s="297" t="s">
        <v>129</v>
      </c>
      <c r="R81" s="297" t="s">
        <v>131</v>
      </c>
      <c r="S81" s="297" t="s">
        <v>139</v>
      </c>
      <c r="T81" s="297" t="s">
        <v>263</v>
      </c>
      <c r="U81" s="297" t="s">
        <v>449</v>
      </c>
      <c r="V81" s="298" t="s">
        <v>264</v>
      </c>
    </row>
    <row r="82" spans="1:22">
      <c r="A82" s="847" t="s">
        <v>454</v>
      </c>
      <c r="B82" s="314" t="s">
        <v>409</v>
      </c>
      <c r="C82" s="252" t="s">
        <v>399</v>
      </c>
      <c r="D82" s="253">
        <v>70</v>
      </c>
      <c r="E82" s="308">
        <v>298356</v>
      </c>
      <c r="F82" s="629"/>
      <c r="G82" s="629"/>
      <c r="H82" s="310">
        <v>60</v>
      </c>
      <c r="I82" s="311">
        <v>0.2</v>
      </c>
      <c r="J82" s="309">
        <f>ROUND(+(F82*I82)/12,2)</f>
        <v>0</v>
      </c>
      <c r="K82" s="312">
        <f>ROUND(+J82*($N$6+$O$6)*-1,2)</f>
        <v>0</v>
      </c>
      <c r="L82" s="312">
        <f>+J82+K82</f>
        <v>0</v>
      </c>
      <c r="M82" s="312">
        <f>ROUND($J$6*L82,2)</f>
        <v>0</v>
      </c>
      <c r="N82" s="312">
        <f>+M82+L82</f>
        <v>0</v>
      </c>
      <c r="O82" s="312">
        <f>ROUND(+N82*$L$6,2)</f>
        <v>0</v>
      </c>
      <c r="P82" s="312">
        <f>+O82+N82</f>
        <v>0</v>
      </c>
      <c r="Q82" s="312">
        <f>ROUND(+P82*$N$6,2)</f>
        <v>0</v>
      </c>
      <c r="R82" s="312">
        <f>ROUND(+P82*$O$6,2)</f>
        <v>0</v>
      </c>
      <c r="S82" s="312">
        <f>ROUND(+P82*$P$6,2)</f>
        <v>0</v>
      </c>
      <c r="T82" s="312">
        <f>ROUND(+S82+R82+Q82,2)</f>
        <v>0</v>
      </c>
      <c r="U82" s="312">
        <f>ROUND(+(T82+P82)/6,2)</f>
        <v>0</v>
      </c>
      <c r="V82" s="313">
        <f>ROUND(U82*D82,2)</f>
        <v>0</v>
      </c>
    </row>
    <row r="83" spans="1:22">
      <c r="A83" s="848"/>
      <c r="B83" s="315" t="s">
        <v>410</v>
      </c>
      <c r="C83" s="248" t="s">
        <v>399</v>
      </c>
      <c r="D83" s="251">
        <v>2</v>
      </c>
      <c r="E83" s="120">
        <v>302248</v>
      </c>
      <c r="F83" s="627"/>
      <c r="G83" s="627"/>
      <c r="H83" s="120">
        <v>60</v>
      </c>
      <c r="I83" s="138">
        <v>0.2</v>
      </c>
      <c r="J83" s="263">
        <f t="shared" ref="J83:J95" si="37">ROUND(+(F83*I83)/12,2)</f>
        <v>0</v>
      </c>
      <c r="K83" s="264">
        <f t="shared" ref="K83:K95" si="38">ROUND(+J83*($N$6+$O$6)*-1,2)</f>
        <v>0</v>
      </c>
      <c r="L83" s="264">
        <f t="shared" ref="L83:L95" si="39">+J83+K83</f>
        <v>0</v>
      </c>
      <c r="M83" s="264">
        <f t="shared" ref="M83:M95" si="40">ROUND($J$6*L83,2)</f>
        <v>0</v>
      </c>
      <c r="N83" s="264">
        <f t="shared" ref="N83:N95" si="41">+M83+L83</f>
        <v>0</v>
      </c>
      <c r="O83" s="264">
        <f t="shared" ref="O83:O95" si="42">ROUND(+N83*$L$6,2)</f>
        <v>0</v>
      </c>
      <c r="P83" s="264">
        <f t="shared" ref="P83:P95" si="43">+O83+N83</f>
        <v>0</v>
      </c>
      <c r="Q83" s="264">
        <f t="shared" ref="Q83:Q95" si="44">ROUND(+P83*$N$6,2)</f>
        <v>0</v>
      </c>
      <c r="R83" s="264">
        <f t="shared" ref="R83:R95" si="45">ROUND(+P83*$O$6,2)</f>
        <v>0</v>
      </c>
      <c r="S83" s="264">
        <f t="shared" ref="S83:S95" si="46">ROUND(+P83*$P$6,2)</f>
        <v>0</v>
      </c>
      <c r="T83" s="264">
        <f t="shared" ref="T83:T95" si="47">ROUND(+S83+R83+Q83,2)</f>
        <v>0</v>
      </c>
      <c r="U83" s="264">
        <f t="shared" ref="U83:U95" si="48">ROUND(+(T83+P83)/6,2)</f>
        <v>0</v>
      </c>
      <c r="V83" s="273">
        <f t="shared" ref="V83:V95" si="49">ROUND(U83*D83,2)</f>
        <v>0</v>
      </c>
    </row>
    <row r="84" spans="1:22">
      <c r="A84" s="848"/>
      <c r="B84" s="315" t="s">
        <v>423</v>
      </c>
      <c r="C84" s="248" t="s">
        <v>399</v>
      </c>
      <c r="D84" s="251">
        <v>34</v>
      </c>
      <c r="E84" s="120">
        <v>111287</v>
      </c>
      <c r="F84" s="627"/>
      <c r="G84" s="627"/>
      <c r="H84" s="120">
        <v>60</v>
      </c>
      <c r="I84" s="138">
        <v>0.2</v>
      </c>
      <c r="J84" s="263">
        <f t="shared" si="37"/>
        <v>0</v>
      </c>
      <c r="K84" s="264">
        <f t="shared" si="38"/>
        <v>0</v>
      </c>
      <c r="L84" s="264">
        <f t="shared" si="39"/>
        <v>0</v>
      </c>
      <c r="M84" s="264">
        <f t="shared" si="40"/>
        <v>0</v>
      </c>
      <c r="N84" s="264">
        <f t="shared" si="41"/>
        <v>0</v>
      </c>
      <c r="O84" s="264">
        <f t="shared" si="42"/>
        <v>0</v>
      </c>
      <c r="P84" s="264">
        <f t="shared" si="43"/>
        <v>0</v>
      </c>
      <c r="Q84" s="264">
        <f t="shared" si="44"/>
        <v>0</v>
      </c>
      <c r="R84" s="264">
        <f t="shared" si="45"/>
        <v>0</v>
      </c>
      <c r="S84" s="264">
        <f t="shared" si="46"/>
        <v>0</v>
      </c>
      <c r="T84" s="264">
        <f t="shared" si="47"/>
        <v>0</v>
      </c>
      <c r="U84" s="264">
        <f t="shared" si="48"/>
        <v>0</v>
      </c>
      <c r="V84" s="273">
        <f t="shared" si="49"/>
        <v>0</v>
      </c>
    </row>
    <row r="85" spans="1:22">
      <c r="A85" s="848"/>
      <c r="B85" s="315" t="s">
        <v>411</v>
      </c>
      <c r="C85" s="248" t="s">
        <v>399</v>
      </c>
      <c r="D85" s="251">
        <v>5</v>
      </c>
      <c r="E85" s="120">
        <v>102369</v>
      </c>
      <c r="F85" s="627"/>
      <c r="G85" s="627"/>
      <c r="H85" s="120">
        <v>60</v>
      </c>
      <c r="I85" s="138">
        <v>0.2</v>
      </c>
      <c r="J85" s="263">
        <f t="shared" si="37"/>
        <v>0</v>
      </c>
      <c r="K85" s="264">
        <f t="shared" si="38"/>
        <v>0</v>
      </c>
      <c r="L85" s="264">
        <f t="shared" si="39"/>
        <v>0</v>
      </c>
      <c r="M85" s="264">
        <f t="shared" si="40"/>
        <v>0</v>
      </c>
      <c r="N85" s="264">
        <f t="shared" si="41"/>
        <v>0</v>
      </c>
      <c r="O85" s="264">
        <f t="shared" si="42"/>
        <v>0</v>
      </c>
      <c r="P85" s="264">
        <f t="shared" si="43"/>
        <v>0</v>
      </c>
      <c r="Q85" s="264">
        <f t="shared" si="44"/>
        <v>0</v>
      </c>
      <c r="R85" s="264">
        <f t="shared" si="45"/>
        <v>0</v>
      </c>
      <c r="S85" s="264">
        <f t="shared" si="46"/>
        <v>0</v>
      </c>
      <c r="T85" s="264">
        <f t="shared" si="47"/>
        <v>0</v>
      </c>
      <c r="U85" s="264">
        <f t="shared" si="48"/>
        <v>0</v>
      </c>
      <c r="V85" s="273">
        <f t="shared" si="49"/>
        <v>0</v>
      </c>
    </row>
    <row r="86" spans="1:22">
      <c r="A86" s="848"/>
      <c r="B86" s="315" t="s">
        <v>412</v>
      </c>
      <c r="C86" s="248" t="s">
        <v>399</v>
      </c>
      <c r="D86" s="251">
        <v>3</v>
      </c>
      <c r="E86" s="120"/>
      <c r="F86" s="627"/>
      <c r="G86" s="627"/>
      <c r="H86" s="120">
        <v>60</v>
      </c>
      <c r="I86" s="138">
        <v>0.2</v>
      </c>
      <c r="J86" s="263">
        <f t="shared" si="37"/>
        <v>0</v>
      </c>
      <c r="K86" s="264">
        <f t="shared" si="38"/>
        <v>0</v>
      </c>
      <c r="L86" s="264">
        <f t="shared" si="39"/>
        <v>0</v>
      </c>
      <c r="M86" s="264">
        <f t="shared" si="40"/>
        <v>0</v>
      </c>
      <c r="N86" s="264">
        <f t="shared" si="41"/>
        <v>0</v>
      </c>
      <c r="O86" s="264">
        <f t="shared" si="42"/>
        <v>0</v>
      </c>
      <c r="P86" s="264">
        <f t="shared" si="43"/>
        <v>0</v>
      </c>
      <c r="Q86" s="264">
        <f t="shared" si="44"/>
        <v>0</v>
      </c>
      <c r="R86" s="264">
        <f t="shared" si="45"/>
        <v>0</v>
      </c>
      <c r="S86" s="264">
        <f t="shared" si="46"/>
        <v>0</v>
      </c>
      <c r="T86" s="264">
        <f t="shared" si="47"/>
        <v>0</v>
      </c>
      <c r="U86" s="264">
        <f t="shared" si="48"/>
        <v>0</v>
      </c>
      <c r="V86" s="273">
        <f t="shared" si="49"/>
        <v>0</v>
      </c>
    </row>
    <row r="87" spans="1:22">
      <c r="A87" s="848"/>
      <c r="B87" s="315" t="s">
        <v>413</v>
      </c>
      <c r="C87" s="248" t="s">
        <v>399</v>
      </c>
      <c r="D87" s="251">
        <v>3</v>
      </c>
      <c r="E87" s="120"/>
      <c r="F87" s="627"/>
      <c r="G87" s="627"/>
      <c r="H87" s="120">
        <v>60</v>
      </c>
      <c r="I87" s="138">
        <v>0.2</v>
      </c>
      <c r="J87" s="263">
        <f t="shared" si="37"/>
        <v>0</v>
      </c>
      <c r="K87" s="264">
        <f t="shared" si="38"/>
        <v>0</v>
      </c>
      <c r="L87" s="264">
        <f t="shared" si="39"/>
        <v>0</v>
      </c>
      <c r="M87" s="264">
        <f t="shared" si="40"/>
        <v>0</v>
      </c>
      <c r="N87" s="264">
        <f t="shared" si="41"/>
        <v>0</v>
      </c>
      <c r="O87" s="264">
        <f t="shared" si="42"/>
        <v>0</v>
      </c>
      <c r="P87" s="264">
        <f t="shared" si="43"/>
        <v>0</v>
      </c>
      <c r="Q87" s="264">
        <f t="shared" si="44"/>
        <v>0</v>
      </c>
      <c r="R87" s="264">
        <f t="shared" si="45"/>
        <v>0</v>
      </c>
      <c r="S87" s="264">
        <f t="shared" si="46"/>
        <v>0</v>
      </c>
      <c r="T87" s="264">
        <f t="shared" si="47"/>
        <v>0</v>
      </c>
      <c r="U87" s="264">
        <f t="shared" si="48"/>
        <v>0</v>
      </c>
      <c r="V87" s="273">
        <f t="shared" si="49"/>
        <v>0</v>
      </c>
    </row>
    <row r="88" spans="1:22">
      <c r="A88" s="848"/>
      <c r="B88" s="315" t="s">
        <v>414</v>
      </c>
      <c r="C88" s="248" t="s">
        <v>399</v>
      </c>
      <c r="D88" s="251">
        <v>25</v>
      </c>
      <c r="E88" s="120">
        <v>30163</v>
      </c>
      <c r="F88" s="627"/>
      <c r="G88" s="627"/>
      <c r="H88" s="120">
        <v>60</v>
      </c>
      <c r="I88" s="138">
        <v>0.2</v>
      </c>
      <c r="J88" s="263">
        <f t="shared" si="37"/>
        <v>0</v>
      </c>
      <c r="K88" s="264">
        <f t="shared" si="38"/>
        <v>0</v>
      </c>
      <c r="L88" s="264">
        <f t="shared" si="39"/>
        <v>0</v>
      </c>
      <c r="M88" s="264">
        <f t="shared" si="40"/>
        <v>0</v>
      </c>
      <c r="N88" s="264">
        <f t="shared" si="41"/>
        <v>0</v>
      </c>
      <c r="O88" s="264">
        <f t="shared" si="42"/>
        <v>0</v>
      </c>
      <c r="P88" s="264">
        <f t="shared" si="43"/>
        <v>0</v>
      </c>
      <c r="Q88" s="264">
        <f t="shared" si="44"/>
        <v>0</v>
      </c>
      <c r="R88" s="264">
        <f t="shared" si="45"/>
        <v>0</v>
      </c>
      <c r="S88" s="264">
        <f t="shared" si="46"/>
        <v>0</v>
      </c>
      <c r="T88" s="264">
        <f t="shared" si="47"/>
        <v>0</v>
      </c>
      <c r="U88" s="264">
        <f t="shared" si="48"/>
        <v>0</v>
      </c>
      <c r="V88" s="273">
        <f t="shared" si="49"/>
        <v>0</v>
      </c>
    </row>
    <row r="89" spans="1:22" ht="20.399999999999999">
      <c r="A89" s="848"/>
      <c r="B89" s="315" t="s">
        <v>446</v>
      </c>
      <c r="C89" s="248" t="s">
        <v>399</v>
      </c>
      <c r="D89" s="251">
        <v>40</v>
      </c>
      <c r="E89" s="120"/>
      <c r="F89" s="627"/>
      <c r="G89" s="627"/>
      <c r="H89" s="120">
        <v>60</v>
      </c>
      <c r="I89" s="138">
        <v>0.2</v>
      </c>
      <c r="J89" s="263">
        <f t="shared" si="37"/>
        <v>0</v>
      </c>
      <c r="K89" s="264">
        <f t="shared" si="38"/>
        <v>0</v>
      </c>
      <c r="L89" s="264">
        <f t="shared" si="39"/>
        <v>0</v>
      </c>
      <c r="M89" s="264">
        <f t="shared" si="40"/>
        <v>0</v>
      </c>
      <c r="N89" s="264">
        <f t="shared" si="41"/>
        <v>0</v>
      </c>
      <c r="O89" s="264">
        <f t="shared" si="42"/>
        <v>0</v>
      </c>
      <c r="P89" s="264">
        <f t="shared" si="43"/>
        <v>0</v>
      </c>
      <c r="Q89" s="264">
        <f t="shared" si="44"/>
        <v>0</v>
      </c>
      <c r="R89" s="264">
        <f t="shared" si="45"/>
        <v>0</v>
      </c>
      <c r="S89" s="264">
        <f t="shared" si="46"/>
        <v>0</v>
      </c>
      <c r="T89" s="264">
        <f t="shared" si="47"/>
        <v>0</v>
      </c>
      <c r="U89" s="264">
        <f t="shared" si="48"/>
        <v>0</v>
      </c>
      <c r="V89" s="273">
        <f t="shared" si="49"/>
        <v>0</v>
      </c>
    </row>
    <row r="90" spans="1:22">
      <c r="A90" s="848"/>
      <c r="B90" s="315" t="s">
        <v>415</v>
      </c>
      <c r="C90" s="248" t="s">
        <v>399</v>
      </c>
      <c r="D90" s="251">
        <v>10</v>
      </c>
      <c r="E90" s="120"/>
      <c r="F90" s="627"/>
      <c r="G90" s="627"/>
      <c r="H90" s="120">
        <v>60</v>
      </c>
      <c r="I90" s="138">
        <v>0.2</v>
      </c>
      <c r="J90" s="263">
        <f t="shared" si="37"/>
        <v>0</v>
      </c>
      <c r="K90" s="264">
        <f t="shared" si="38"/>
        <v>0</v>
      </c>
      <c r="L90" s="264">
        <f t="shared" si="39"/>
        <v>0</v>
      </c>
      <c r="M90" s="264">
        <f t="shared" si="40"/>
        <v>0</v>
      </c>
      <c r="N90" s="264">
        <f t="shared" si="41"/>
        <v>0</v>
      </c>
      <c r="O90" s="264">
        <f t="shared" si="42"/>
        <v>0</v>
      </c>
      <c r="P90" s="264">
        <f t="shared" si="43"/>
        <v>0</v>
      </c>
      <c r="Q90" s="264">
        <f t="shared" si="44"/>
        <v>0</v>
      </c>
      <c r="R90" s="264">
        <f t="shared" si="45"/>
        <v>0</v>
      </c>
      <c r="S90" s="264">
        <f t="shared" si="46"/>
        <v>0</v>
      </c>
      <c r="T90" s="264">
        <f t="shared" si="47"/>
        <v>0</v>
      </c>
      <c r="U90" s="264">
        <f t="shared" si="48"/>
        <v>0</v>
      </c>
      <c r="V90" s="273">
        <f t="shared" si="49"/>
        <v>0</v>
      </c>
    </row>
    <row r="91" spans="1:22">
      <c r="A91" s="848"/>
      <c r="B91" s="315" t="s">
        <v>416</v>
      </c>
      <c r="C91" s="248" t="s">
        <v>399</v>
      </c>
      <c r="D91" s="251">
        <v>15</v>
      </c>
      <c r="E91" s="120"/>
      <c r="F91" s="627"/>
      <c r="G91" s="627"/>
      <c r="H91" s="120">
        <v>60</v>
      </c>
      <c r="I91" s="138">
        <v>0.2</v>
      </c>
      <c r="J91" s="263">
        <f t="shared" si="37"/>
        <v>0</v>
      </c>
      <c r="K91" s="264">
        <f t="shared" si="38"/>
        <v>0</v>
      </c>
      <c r="L91" s="264">
        <f t="shared" si="39"/>
        <v>0</v>
      </c>
      <c r="M91" s="264">
        <f t="shared" si="40"/>
        <v>0</v>
      </c>
      <c r="N91" s="264">
        <f t="shared" si="41"/>
        <v>0</v>
      </c>
      <c r="O91" s="264">
        <f t="shared" si="42"/>
        <v>0</v>
      </c>
      <c r="P91" s="264">
        <f t="shared" si="43"/>
        <v>0</v>
      </c>
      <c r="Q91" s="264">
        <f t="shared" si="44"/>
        <v>0</v>
      </c>
      <c r="R91" s="264">
        <f t="shared" si="45"/>
        <v>0</v>
      </c>
      <c r="S91" s="264">
        <f t="shared" si="46"/>
        <v>0</v>
      </c>
      <c r="T91" s="264">
        <f t="shared" si="47"/>
        <v>0</v>
      </c>
      <c r="U91" s="264">
        <f t="shared" si="48"/>
        <v>0</v>
      </c>
      <c r="V91" s="273">
        <f t="shared" si="49"/>
        <v>0</v>
      </c>
    </row>
    <row r="92" spans="1:22">
      <c r="A92" s="848"/>
      <c r="B92" s="315" t="s">
        <v>417</v>
      </c>
      <c r="C92" s="248" t="s">
        <v>399</v>
      </c>
      <c r="D92" s="251">
        <v>2</v>
      </c>
      <c r="E92" s="120"/>
      <c r="F92" s="627"/>
      <c r="G92" s="627"/>
      <c r="H92" s="120">
        <v>60</v>
      </c>
      <c r="I92" s="138">
        <v>0.2</v>
      </c>
      <c r="J92" s="263">
        <f t="shared" si="37"/>
        <v>0</v>
      </c>
      <c r="K92" s="264">
        <f t="shared" si="38"/>
        <v>0</v>
      </c>
      <c r="L92" s="264">
        <f t="shared" si="39"/>
        <v>0</v>
      </c>
      <c r="M92" s="264">
        <f t="shared" si="40"/>
        <v>0</v>
      </c>
      <c r="N92" s="264">
        <f t="shared" si="41"/>
        <v>0</v>
      </c>
      <c r="O92" s="264">
        <f t="shared" si="42"/>
        <v>0</v>
      </c>
      <c r="P92" s="264">
        <f t="shared" si="43"/>
        <v>0</v>
      </c>
      <c r="Q92" s="264">
        <f t="shared" si="44"/>
        <v>0</v>
      </c>
      <c r="R92" s="264">
        <f t="shared" si="45"/>
        <v>0</v>
      </c>
      <c r="S92" s="264">
        <f t="shared" si="46"/>
        <v>0</v>
      </c>
      <c r="T92" s="264">
        <f t="shared" si="47"/>
        <v>0</v>
      </c>
      <c r="U92" s="264">
        <f t="shared" si="48"/>
        <v>0</v>
      </c>
      <c r="V92" s="273">
        <f t="shared" si="49"/>
        <v>0</v>
      </c>
    </row>
    <row r="93" spans="1:22">
      <c r="A93" s="848"/>
      <c r="B93" s="315" t="s">
        <v>418</v>
      </c>
      <c r="C93" s="248" t="s">
        <v>399</v>
      </c>
      <c r="D93" s="251">
        <v>1</v>
      </c>
      <c r="E93" s="120"/>
      <c r="F93" s="627"/>
      <c r="G93" s="627"/>
      <c r="H93" s="120">
        <v>60</v>
      </c>
      <c r="I93" s="138">
        <v>0.2</v>
      </c>
      <c r="J93" s="263">
        <f t="shared" si="37"/>
        <v>0</v>
      </c>
      <c r="K93" s="264">
        <f t="shared" si="38"/>
        <v>0</v>
      </c>
      <c r="L93" s="264">
        <f t="shared" si="39"/>
        <v>0</v>
      </c>
      <c r="M93" s="264">
        <f t="shared" si="40"/>
        <v>0</v>
      </c>
      <c r="N93" s="264">
        <f t="shared" si="41"/>
        <v>0</v>
      </c>
      <c r="O93" s="264">
        <f t="shared" si="42"/>
        <v>0</v>
      </c>
      <c r="P93" s="264">
        <f t="shared" si="43"/>
        <v>0</v>
      </c>
      <c r="Q93" s="264">
        <f t="shared" si="44"/>
        <v>0</v>
      </c>
      <c r="R93" s="264">
        <f t="shared" si="45"/>
        <v>0</v>
      </c>
      <c r="S93" s="264">
        <f t="shared" si="46"/>
        <v>0</v>
      </c>
      <c r="T93" s="264">
        <f t="shared" si="47"/>
        <v>0</v>
      </c>
      <c r="U93" s="264">
        <f t="shared" si="48"/>
        <v>0</v>
      </c>
      <c r="V93" s="273">
        <f t="shared" si="49"/>
        <v>0</v>
      </c>
    </row>
    <row r="94" spans="1:22">
      <c r="A94" s="848"/>
      <c r="B94" s="315" t="s">
        <v>419</v>
      </c>
      <c r="C94" s="248" t="s">
        <v>399</v>
      </c>
      <c r="D94" s="251">
        <v>3</v>
      </c>
      <c r="E94" s="120"/>
      <c r="F94" s="627"/>
      <c r="G94" s="627"/>
      <c r="H94" s="120">
        <v>60</v>
      </c>
      <c r="I94" s="138">
        <v>0.2</v>
      </c>
      <c r="J94" s="263">
        <f t="shared" si="37"/>
        <v>0</v>
      </c>
      <c r="K94" s="264">
        <f t="shared" si="38"/>
        <v>0</v>
      </c>
      <c r="L94" s="264">
        <f t="shared" si="39"/>
        <v>0</v>
      </c>
      <c r="M94" s="264">
        <f t="shared" si="40"/>
        <v>0</v>
      </c>
      <c r="N94" s="264">
        <f t="shared" si="41"/>
        <v>0</v>
      </c>
      <c r="O94" s="264">
        <f t="shared" si="42"/>
        <v>0</v>
      </c>
      <c r="P94" s="264">
        <f t="shared" si="43"/>
        <v>0</v>
      </c>
      <c r="Q94" s="264">
        <f t="shared" si="44"/>
        <v>0</v>
      </c>
      <c r="R94" s="264">
        <f t="shared" si="45"/>
        <v>0</v>
      </c>
      <c r="S94" s="264">
        <f t="shared" si="46"/>
        <v>0</v>
      </c>
      <c r="T94" s="264">
        <f t="shared" si="47"/>
        <v>0</v>
      </c>
      <c r="U94" s="264">
        <f t="shared" si="48"/>
        <v>0</v>
      </c>
      <c r="V94" s="273">
        <f t="shared" si="49"/>
        <v>0</v>
      </c>
    </row>
    <row r="95" spans="1:22" ht="10.8" thickBot="1">
      <c r="A95" s="849"/>
      <c r="B95" s="316" t="s">
        <v>420</v>
      </c>
      <c r="C95" s="274" t="s">
        <v>399</v>
      </c>
      <c r="D95" s="275">
        <v>20</v>
      </c>
      <c r="E95" s="276"/>
      <c r="F95" s="628"/>
      <c r="G95" s="628"/>
      <c r="H95" s="276">
        <v>60</v>
      </c>
      <c r="I95" s="278">
        <v>0.2</v>
      </c>
      <c r="J95" s="277">
        <f t="shared" si="37"/>
        <v>0</v>
      </c>
      <c r="K95" s="279">
        <f t="shared" si="38"/>
        <v>0</v>
      </c>
      <c r="L95" s="279">
        <f t="shared" si="39"/>
        <v>0</v>
      </c>
      <c r="M95" s="279">
        <f t="shared" si="40"/>
        <v>0</v>
      </c>
      <c r="N95" s="279">
        <f t="shared" si="41"/>
        <v>0</v>
      </c>
      <c r="O95" s="279">
        <f t="shared" si="42"/>
        <v>0</v>
      </c>
      <c r="P95" s="279">
        <f t="shared" si="43"/>
        <v>0</v>
      </c>
      <c r="Q95" s="279">
        <f t="shared" si="44"/>
        <v>0</v>
      </c>
      <c r="R95" s="279">
        <f t="shared" si="45"/>
        <v>0</v>
      </c>
      <c r="S95" s="279">
        <f t="shared" si="46"/>
        <v>0</v>
      </c>
      <c r="T95" s="279">
        <f t="shared" si="47"/>
        <v>0</v>
      </c>
      <c r="U95" s="279">
        <f t="shared" si="48"/>
        <v>0</v>
      </c>
      <c r="V95" s="280">
        <f t="shared" si="49"/>
        <v>0</v>
      </c>
    </row>
    <row r="96" spans="1:22">
      <c r="B96" s="119"/>
      <c r="C96" s="119"/>
      <c r="D96" s="119"/>
      <c r="F96" s="119"/>
      <c r="G96" s="119"/>
    </row>
    <row r="97" spans="2:22">
      <c r="S97" s="270" t="s">
        <v>450</v>
      </c>
      <c r="U97" s="269"/>
      <c r="V97" s="227">
        <f>((SUM(V82:V95))+(SUM(S8:S79)))</f>
        <v>0</v>
      </c>
    </row>
    <row r="111" spans="2:22">
      <c r="B111" s="246" t="s">
        <v>448</v>
      </c>
    </row>
  </sheetData>
  <mergeCells count="4">
    <mergeCell ref="A82:A95"/>
    <mergeCell ref="A8:A66"/>
    <mergeCell ref="A67:A72"/>
    <mergeCell ref="A73:A79"/>
  </mergeCells>
  <pageMargins left="0" right="3.937007874015748E-2" top="1.0629921259842521" bottom="0.19685039370078741" header="0.31496062992125984" footer="7.874015748031496E-2"/>
  <pageSetup paperSize="9" scale="45" orientation="landscape" r:id="rId1"/>
  <headerFooter>
    <oddFooter>&amp;A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4"/>
  <sheetViews>
    <sheetView topLeftCell="J1" workbookViewId="0">
      <selection activeCell="U46" sqref="U46"/>
    </sheetView>
  </sheetViews>
  <sheetFormatPr defaultColWidth="9" defaultRowHeight="10.199999999999999"/>
  <cols>
    <col min="1" max="1" width="9" style="119"/>
    <col min="2" max="2" width="41.26953125" style="433" customWidth="1"/>
    <col min="3" max="3" width="4.36328125" style="119" customWidth="1"/>
    <col min="4" max="4" width="6" style="119" customWidth="1"/>
    <col min="5" max="16" width="5" style="119" customWidth="1"/>
    <col min="17" max="18" width="9" style="119"/>
    <col min="19" max="19" width="8.36328125" style="129" bestFit="1" customWidth="1"/>
    <col min="20" max="20" width="11.08984375" style="129" customWidth="1"/>
    <col min="21" max="31" width="11.08984375" style="119" customWidth="1"/>
    <col min="32" max="32" width="9.08984375" style="119" bestFit="1" customWidth="1"/>
    <col min="33" max="16384" width="9" style="119"/>
  </cols>
  <sheetData>
    <row r="1" spans="1:31" ht="25.8" thickBot="1">
      <c r="A1" s="869" t="s">
        <v>631</v>
      </c>
      <c r="B1" s="870"/>
      <c r="C1" s="870"/>
      <c r="D1" s="870"/>
      <c r="E1" s="870"/>
      <c r="F1" s="870"/>
      <c r="G1" s="870"/>
      <c r="H1" s="870"/>
      <c r="I1" s="870"/>
      <c r="J1" s="870"/>
      <c r="K1" s="870"/>
      <c r="L1" s="870"/>
      <c r="M1" s="870"/>
      <c r="N1" s="870"/>
      <c r="O1" s="870"/>
      <c r="P1" s="870"/>
      <c r="Q1" s="870"/>
      <c r="R1" s="870"/>
      <c r="S1" s="870"/>
      <c r="T1" s="390"/>
      <c r="U1" s="390"/>
      <c r="V1" s="390"/>
      <c r="W1" s="390"/>
      <c r="X1" s="390"/>
      <c r="Y1" s="390"/>
      <c r="Z1" s="390"/>
      <c r="AA1" s="390"/>
      <c r="AB1" s="871" t="s">
        <v>510</v>
      </c>
      <c r="AC1" s="871"/>
      <c r="AD1" s="872">
        <f>+'Custo do Insumo'!V97</f>
        <v>0</v>
      </c>
      <c r="AE1" s="872"/>
    </row>
    <row r="2" spans="1:31">
      <c r="A2" s="873"/>
      <c r="B2" s="875" t="s">
        <v>511</v>
      </c>
      <c r="C2" s="877" t="s">
        <v>260</v>
      </c>
      <c r="D2" s="879" t="s">
        <v>512</v>
      </c>
      <c r="E2" s="881" t="s">
        <v>513</v>
      </c>
      <c r="F2" s="881"/>
      <c r="G2" s="881"/>
      <c r="H2" s="881"/>
      <c r="I2" s="881"/>
      <c r="J2" s="881"/>
      <c r="K2" s="881"/>
      <c r="L2" s="881"/>
      <c r="M2" s="881"/>
      <c r="N2" s="881"/>
      <c r="O2" s="881"/>
      <c r="P2" s="881"/>
      <c r="Q2" s="879" t="s">
        <v>514</v>
      </c>
      <c r="R2" s="879" t="s">
        <v>515</v>
      </c>
      <c r="S2" s="858" t="s">
        <v>516</v>
      </c>
      <c r="T2" s="860" t="s">
        <v>517</v>
      </c>
      <c r="U2" s="860"/>
      <c r="V2" s="860"/>
      <c r="W2" s="860"/>
      <c r="X2" s="860"/>
      <c r="Y2" s="860"/>
      <c r="Z2" s="860"/>
      <c r="AA2" s="860"/>
      <c r="AB2" s="860"/>
      <c r="AC2" s="860"/>
      <c r="AD2" s="860"/>
      <c r="AE2" s="861"/>
    </row>
    <row r="3" spans="1:31" ht="10.8" thickBot="1">
      <c r="A3" s="874"/>
      <c r="B3" s="876"/>
      <c r="C3" s="878"/>
      <c r="D3" s="880"/>
      <c r="E3" s="391" t="s">
        <v>518</v>
      </c>
      <c r="F3" s="391" t="s">
        <v>519</v>
      </c>
      <c r="G3" s="391" t="s">
        <v>520</v>
      </c>
      <c r="H3" s="391" t="s">
        <v>521</v>
      </c>
      <c r="I3" s="391" t="s">
        <v>522</v>
      </c>
      <c r="J3" s="391" t="s">
        <v>523</v>
      </c>
      <c r="K3" s="391" t="s">
        <v>524</v>
      </c>
      <c r="L3" s="391" t="s">
        <v>525</v>
      </c>
      <c r="M3" s="391" t="s">
        <v>526</v>
      </c>
      <c r="N3" s="391" t="s">
        <v>527</v>
      </c>
      <c r="O3" s="391" t="s">
        <v>528</v>
      </c>
      <c r="P3" s="391" t="s">
        <v>529</v>
      </c>
      <c r="Q3" s="880"/>
      <c r="R3" s="880"/>
      <c r="S3" s="859"/>
      <c r="T3" s="391" t="s">
        <v>518</v>
      </c>
      <c r="U3" s="391" t="s">
        <v>519</v>
      </c>
      <c r="V3" s="391" t="s">
        <v>520</v>
      </c>
      <c r="W3" s="391" t="s">
        <v>521</v>
      </c>
      <c r="X3" s="391" t="s">
        <v>522</v>
      </c>
      <c r="Y3" s="391" t="s">
        <v>523</v>
      </c>
      <c r="Z3" s="391" t="s">
        <v>524</v>
      </c>
      <c r="AA3" s="391" t="s">
        <v>525</v>
      </c>
      <c r="AB3" s="391" t="s">
        <v>526</v>
      </c>
      <c r="AC3" s="391" t="s">
        <v>527</v>
      </c>
      <c r="AD3" s="391" t="s">
        <v>528</v>
      </c>
      <c r="AE3" s="392" t="s">
        <v>529</v>
      </c>
    </row>
    <row r="4" spans="1:31" ht="12" customHeight="1">
      <c r="A4" s="862" t="s">
        <v>530</v>
      </c>
      <c r="B4" s="438" t="str">
        <f>+'Custo do Insumo'!B8</f>
        <v xml:space="preserve">Álcool Etílico ou isopropílico de 65% p/p (72% v/v)a 85% p/p(89% v/v) hipoalergênico sem fragrância, secagem rápida e baixa viscosidade,. Apresentação em bolsa plástica aplicação anti-sepsia das mão. Com agente emoliente e apresentação em refil – Necessários Registro na ANVISA Apresentação em bolsa plástica, compatível com o dispensador em material descartável selado e com válvula antientupimento e antivazamento e com sistema que não permite resíduo (desperdício) de produto na bolsa. Dispensadores próprios com sistema de fixação segura através de fita autocolante. ou pedestal ou frasco dispensador. .A aquisição do produto será vinculada ao fornecimento do dispensador. Laudo de irritabilidade dérmica em humanos sadios e eficácia bactericida, emitido pela Rede Brasileira de Laboratórios Analíticos em Saúde (REBLAS). </v>
      </c>
      <c r="C4" s="393" t="str">
        <f>+'Custo do Insumo'!C8</f>
        <v>REFIL</v>
      </c>
      <c r="D4" s="428">
        <f>+'Custo do Insumo'!D8</f>
        <v>400</v>
      </c>
      <c r="E4" s="395"/>
      <c r="F4" s="395"/>
      <c r="G4" s="395"/>
      <c r="H4" s="395"/>
      <c r="I4" s="395"/>
      <c r="J4" s="395"/>
      <c r="K4" s="395"/>
      <c r="L4" s="395"/>
      <c r="M4" s="395"/>
      <c r="N4" s="395"/>
      <c r="O4" s="395"/>
      <c r="P4" s="395"/>
      <c r="Q4" s="394">
        <f>+D4*12</f>
        <v>4800</v>
      </c>
      <c r="R4" s="396">
        <f>+Q4-SUM(E4:P4)</f>
        <v>4800</v>
      </c>
      <c r="S4" s="449">
        <f>+'Custo do Insumo'!R8</f>
        <v>0</v>
      </c>
      <c r="T4" s="451">
        <f>+E4*$S4</f>
        <v>0</v>
      </c>
      <c r="U4" s="397">
        <f t="shared" ref="U4:AE62" si="0">+F4*$S4</f>
        <v>0</v>
      </c>
      <c r="V4" s="397">
        <f t="shared" si="0"/>
        <v>0</v>
      </c>
      <c r="W4" s="397">
        <f t="shared" si="0"/>
        <v>0</v>
      </c>
      <c r="X4" s="397">
        <f t="shared" si="0"/>
        <v>0</v>
      </c>
      <c r="Y4" s="397">
        <f t="shared" si="0"/>
        <v>0</v>
      </c>
      <c r="Z4" s="397">
        <f t="shared" si="0"/>
        <v>0</v>
      </c>
      <c r="AA4" s="397">
        <f t="shared" si="0"/>
        <v>0</v>
      </c>
      <c r="AB4" s="397">
        <f t="shared" si="0"/>
        <v>0</v>
      </c>
      <c r="AC4" s="397">
        <f t="shared" si="0"/>
        <v>0</v>
      </c>
      <c r="AD4" s="397">
        <f t="shared" si="0"/>
        <v>0</v>
      </c>
      <c r="AE4" s="398">
        <f t="shared" si="0"/>
        <v>0</v>
      </c>
    </row>
    <row r="5" spans="1:31" ht="12" customHeight="1">
      <c r="A5" s="863"/>
      <c r="B5" s="434" t="str">
        <f>+'Custo do Insumo'!B9</f>
        <v>Álcool Líquido a 70% desinfetante</v>
      </c>
      <c r="C5" s="399" t="str">
        <f>+'Custo do Insumo'!C9</f>
        <v>LITRO</v>
      </c>
      <c r="D5" s="435">
        <f>+'Custo do Insumo'!D9</f>
        <v>96</v>
      </c>
      <c r="E5" s="455"/>
      <c r="F5" s="401"/>
      <c r="G5" s="401"/>
      <c r="H5" s="401"/>
      <c r="I5" s="401"/>
      <c r="J5" s="401"/>
      <c r="K5" s="401"/>
      <c r="L5" s="401"/>
      <c r="M5" s="401"/>
      <c r="N5" s="401"/>
      <c r="O5" s="401"/>
      <c r="P5" s="401"/>
      <c r="Q5" s="400">
        <f t="shared" ref="Q5:Q62" si="1">+D5*12</f>
        <v>1152</v>
      </c>
      <c r="R5" s="402">
        <f t="shared" ref="R5:R62" si="2">+Q5-SUM(E5:P5)</f>
        <v>1152</v>
      </c>
      <c r="S5" s="450">
        <f>+'Custo do Insumo'!R9</f>
        <v>0</v>
      </c>
      <c r="T5" s="452">
        <f t="shared" ref="T5:AE26" si="3">+E5*$S5</f>
        <v>0</v>
      </c>
      <c r="U5" s="403">
        <f t="shared" si="3"/>
        <v>0</v>
      </c>
      <c r="V5" s="403">
        <f t="shared" si="3"/>
        <v>0</v>
      </c>
      <c r="W5" s="403">
        <f t="shared" si="3"/>
        <v>0</v>
      </c>
      <c r="X5" s="403">
        <f t="shared" si="3"/>
        <v>0</v>
      </c>
      <c r="Y5" s="403">
        <f t="shared" si="3"/>
        <v>0</v>
      </c>
      <c r="Z5" s="403">
        <f t="shared" si="3"/>
        <v>0</v>
      </c>
      <c r="AA5" s="403">
        <f t="shared" si="3"/>
        <v>0</v>
      </c>
      <c r="AB5" s="403">
        <f t="shared" si="3"/>
        <v>0</v>
      </c>
      <c r="AC5" s="403">
        <f t="shared" si="3"/>
        <v>0</v>
      </c>
      <c r="AD5" s="403">
        <f t="shared" si="3"/>
        <v>0</v>
      </c>
      <c r="AE5" s="404">
        <f t="shared" si="3"/>
        <v>0</v>
      </c>
    </row>
    <row r="6" spans="1:31" ht="12" customHeight="1">
      <c r="A6" s="863"/>
      <c r="B6" s="434" t="str">
        <f>+'Custo do Insumo'!B10</f>
        <v>Aromatizante ambiental, aerossol com composição mínima de quaternário de amônio: 0,07%, solubizantes, coadjuvantes, perfumes, Butano/Propano (tipo Bom Ar ou Similar)</v>
      </c>
      <c r="C6" s="399" t="str">
        <f>+'Custo do Insumo'!C10</f>
        <v>UND.</v>
      </c>
      <c r="D6" s="435">
        <f>+'Custo do Insumo'!D10</f>
        <v>25</v>
      </c>
      <c r="E6" s="455"/>
      <c r="F6" s="401"/>
      <c r="G6" s="401"/>
      <c r="H6" s="401"/>
      <c r="I6" s="401"/>
      <c r="J6" s="401"/>
      <c r="K6" s="401"/>
      <c r="L6" s="401"/>
      <c r="M6" s="401"/>
      <c r="N6" s="401"/>
      <c r="O6" s="401"/>
      <c r="P6" s="401"/>
      <c r="Q6" s="400">
        <f t="shared" si="1"/>
        <v>300</v>
      </c>
      <c r="R6" s="402">
        <f t="shared" si="2"/>
        <v>300</v>
      </c>
      <c r="S6" s="450">
        <f>+'Custo do Insumo'!R10</f>
        <v>0</v>
      </c>
      <c r="T6" s="452">
        <f t="shared" si="3"/>
        <v>0</v>
      </c>
      <c r="U6" s="403">
        <f t="shared" si="3"/>
        <v>0</v>
      </c>
      <c r="V6" s="403">
        <f t="shared" si="3"/>
        <v>0</v>
      </c>
      <c r="W6" s="403">
        <f t="shared" si="3"/>
        <v>0</v>
      </c>
      <c r="X6" s="403">
        <f t="shared" si="3"/>
        <v>0</v>
      </c>
      <c r="Y6" s="403">
        <f t="shared" si="3"/>
        <v>0</v>
      </c>
      <c r="Z6" s="403">
        <f t="shared" si="3"/>
        <v>0</v>
      </c>
      <c r="AA6" s="403">
        <f t="shared" si="3"/>
        <v>0</v>
      </c>
      <c r="AB6" s="403">
        <f t="shared" si="3"/>
        <v>0</v>
      </c>
      <c r="AC6" s="403">
        <f t="shared" si="3"/>
        <v>0</v>
      </c>
      <c r="AD6" s="403">
        <f t="shared" si="3"/>
        <v>0</v>
      </c>
      <c r="AE6" s="404">
        <f t="shared" si="3"/>
        <v>0</v>
      </c>
    </row>
    <row r="7" spans="1:31" ht="12" customHeight="1">
      <c r="A7" s="863"/>
      <c r="B7" s="434" t="str">
        <f>+'Custo do Insumo'!B11</f>
        <v>Esponja de lã de aço, formato retangular, aplicação limpeza geral, textura macia e isenta de sinais de oxidação, medindo, no mínimo, 100x75. Composição: lã de aço carbono, pacote com 08 unidades (tipo Bom Bril ou Similar)</v>
      </c>
      <c r="C7" s="399" t="str">
        <f>+'Custo do Insumo'!C11</f>
        <v>PCT.</v>
      </c>
      <c r="D7" s="435">
        <f>+'Custo do Insumo'!D11</f>
        <v>10</v>
      </c>
      <c r="E7" s="455"/>
      <c r="F7" s="401"/>
      <c r="G7" s="401"/>
      <c r="H7" s="401"/>
      <c r="I7" s="401"/>
      <c r="J7" s="401"/>
      <c r="K7" s="401"/>
      <c r="L7" s="401"/>
      <c r="M7" s="401"/>
      <c r="N7" s="401"/>
      <c r="O7" s="401"/>
      <c r="P7" s="401"/>
      <c r="Q7" s="400">
        <f t="shared" si="1"/>
        <v>120</v>
      </c>
      <c r="R7" s="402">
        <f t="shared" si="2"/>
        <v>120</v>
      </c>
      <c r="S7" s="450">
        <f>+'Custo do Insumo'!R11</f>
        <v>0</v>
      </c>
      <c r="T7" s="452">
        <f t="shared" si="3"/>
        <v>0</v>
      </c>
      <c r="U7" s="403">
        <f t="shared" si="3"/>
        <v>0</v>
      </c>
      <c r="V7" s="403">
        <f t="shared" si="3"/>
        <v>0</v>
      </c>
      <c r="W7" s="403">
        <f t="shared" si="3"/>
        <v>0</v>
      </c>
      <c r="X7" s="403">
        <f t="shared" si="3"/>
        <v>0</v>
      </c>
      <c r="Y7" s="403">
        <f t="shared" si="3"/>
        <v>0</v>
      </c>
      <c r="Z7" s="403">
        <f t="shared" si="3"/>
        <v>0</v>
      </c>
      <c r="AA7" s="403">
        <f t="shared" si="3"/>
        <v>0</v>
      </c>
      <c r="AB7" s="403">
        <f t="shared" si="3"/>
        <v>0</v>
      </c>
      <c r="AC7" s="403">
        <f t="shared" si="3"/>
        <v>0</v>
      </c>
      <c r="AD7" s="403">
        <f t="shared" si="3"/>
        <v>0</v>
      </c>
      <c r="AE7" s="404">
        <f t="shared" si="3"/>
        <v>0</v>
      </c>
    </row>
    <row r="8" spans="1:31" ht="12" customHeight="1">
      <c r="A8" s="863"/>
      <c r="B8" s="434" t="str">
        <f>+'Custo do Insumo'!B12</f>
        <v>Cêra  Acrílica Líquida  Auto brilho – Emb. c/ 5 Litros.</v>
      </c>
      <c r="C8" s="399" t="str">
        <f>+'Custo do Insumo'!C12</f>
        <v>UND.</v>
      </c>
      <c r="D8" s="435">
        <f>+'Custo do Insumo'!D12</f>
        <v>70</v>
      </c>
      <c r="E8" s="455"/>
      <c r="F8" s="401"/>
      <c r="G8" s="401"/>
      <c r="H8" s="401"/>
      <c r="I8" s="401"/>
      <c r="J8" s="401"/>
      <c r="K8" s="401"/>
      <c r="L8" s="401"/>
      <c r="M8" s="401"/>
      <c r="N8" s="401"/>
      <c r="O8" s="401"/>
      <c r="P8" s="401"/>
      <c r="Q8" s="400">
        <f t="shared" si="1"/>
        <v>840</v>
      </c>
      <c r="R8" s="402">
        <f t="shared" si="2"/>
        <v>840</v>
      </c>
      <c r="S8" s="450">
        <f>+'Custo do Insumo'!R12</f>
        <v>0</v>
      </c>
      <c r="T8" s="452">
        <f t="shared" si="3"/>
        <v>0</v>
      </c>
      <c r="U8" s="403">
        <f t="shared" si="3"/>
        <v>0</v>
      </c>
      <c r="V8" s="403">
        <f t="shared" si="3"/>
        <v>0</v>
      </c>
      <c r="W8" s="403">
        <f t="shared" si="3"/>
        <v>0</v>
      </c>
      <c r="X8" s="403">
        <f t="shared" si="3"/>
        <v>0</v>
      </c>
      <c r="Y8" s="403">
        <f t="shared" si="3"/>
        <v>0</v>
      </c>
      <c r="Z8" s="403">
        <f t="shared" si="3"/>
        <v>0</v>
      </c>
      <c r="AA8" s="403">
        <f t="shared" si="3"/>
        <v>0</v>
      </c>
      <c r="AB8" s="403">
        <f t="shared" si="3"/>
        <v>0</v>
      </c>
      <c r="AC8" s="403">
        <f t="shared" si="3"/>
        <v>0</v>
      </c>
      <c r="AD8" s="403">
        <f t="shared" si="3"/>
        <v>0</v>
      </c>
      <c r="AE8" s="404">
        <f t="shared" si="3"/>
        <v>0</v>
      </c>
    </row>
    <row r="9" spans="1:31" ht="12" customHeight="1">
      <c r="A9" s="863"/>
      <c r="B9" s="434" t="str">
        <f>+'Custo do Insumo'!B13</f>
        <v>Hipoclorito de sódio concentrado a 1% - Emb. c/ 1 litro</v>
      </c>
      <c r="C9" s="399" t="str">
        <f>+'Custo do Insumo'!C13</f>
        <v>UND.</v>
      </c>
      <c r="D9" s="435">
        <f>+'Custo do Insumo'!D13</f>
        <v>100</v>
      </c>
      <c r="E9" s="455"/>
      <c r="F9" s="401"/>
      <c r="G9" s="401"/>
      <c r="H9" s="401"/>
      <c r="I9" s="401"/>
      <c r="J9" s="401"/>
      <c r="K9" s="401"/>
      <c r="L9" s="401"/>
      <c r="M9" s="401"/>
      <c r="N9" s="401"/>
      <c r="O9" s="401"/>
      <c r="P9" s="401"/>
      <c r="Q9" s="400">
        <f t="shared" si="1"/>
        <v>1200</v>
      </c>
      <c r="R9" s="402">
        <f t="shared" si="2"/>
        <v>1200</v>
      </c>
      <c r="S9" s="450">
        <f>+'Custo do Insumo'!R13</f>
        <v>0</v>
      </c>
      <c r="T9" s="452">
        <f t="shared" si="3"/>
        <v>0</v>
      </c>
      <c r="U9" s="403">
        <f t="shared" si="3"/>
        <v>0</v>
      </c>
      <c r="V9" s="403">
        <f t="shared" si="3"/>
        <v>0</v>
      </c>
      <c r="W9" s="403">
        <f t="shared" si="3"/>
        <v>0</v>
      </c>
      <c r="X9" s="403">
        <f t="shared" si="3"/>
        <v>0</v>
      </c>
      <c r="Y9" s="403">
        <f t="shared" si="3"/>
        <v>0</v>
      </c>
      <c r="Z9" s="403">
        <f t="shared" si="3"/>
        <v>0</v>
      </c>
      <c r="AA9" s="403">
        <f t="shared" si="3"/>
        <v>0</v>
      </c>
      <c r="AB9" s="403">
        <f t="shared" si="3"/>
        <v>0</v>
      </c>
      <c r="AC9" s="403">
        <f t="shared" si="3"/>
        <v>0</v>
      </c>
      <c r="AD9" s="403">
        <f t="shared" si="3"/>
        <v>0</v>
      </c>
      <c r="AE9" s="404">
        <f t="shared" si="3"/>
        <v>0</v>
      </c>
    </row>
    <row r="10" spans="1:31" ht="12" customHeight="1">
      <c r="A10" s="863"/>
      <c r="B10" s="434" t="str">
        <f>+'Custo do Insumo'!B14</f>
        <v>Desinfetante de superfícies fixas e equipamentos a base de quaternário de amônia(PHMB) OU glucoprotamina ou ácido peracético. Necessário Registro na ANVISA</v>
      </c>
      <c r="C10" s="399" t="str">
        <f>+'Custo do Insumo'!C14</f>
        <v>LITROS</v>
      </c>
      <c r="D10" s="435">
        <f>+'Custo do Insumo'!D14</f>
        <v>72</v>
      </c>
      <c r="E10" s="455"/>
      <c r="F10" s="401"/>
      <c r="G10" s="401"/>
      <c r="H10" s="401"/>
      <c r="I10" s="401"/>
      <c r="J10" s="401"/>
      <c r="K10" s="401"/>
      <c r="L10" s="401"/>
      <c r="M10" s="401"/>
      <c r="N10" s="401"/>
      <c r="O10" s="401"/>
      <c r="P10" s="401"/>
      <c r="Q10" s="400">
        <f t="shared" si="1"/>
        <v>864</v>
      </c>
      <c r="R10" s="402">
        <f t="shared" si="2"/>
        <v>864</v>
      </c>
      <c r="S10" s="450">
        <f>+'Custo do Insumo'!R14</f>
        <v>0</v>
      </c>
      <c r="T10" s="452">
        <f t="shared" si="3"/>
        <v>0</v>
      </c>
      <c r="U10" s="403">
        <f t="shared" si="3"/>
        <v>0</v>
      </c>
      <c r="V10" s="403">
        <f t="shared" si="3"/>
        <v>0</v>
      </c>
      <c r="W10" s="403">
        <f t="shared" si="3"/>
        <v>0</v>
      </c>
      <c r="X10" s="403">
        <f t="shared" si="3"/>
        <v>0</v>
      </c>
      <c r="Y10" s="403">
        <f t="shared" si="3"/>
        <v>0</v>
      </c>
      <c r="Z10" s="403">
        <f t="shared" si="3"/>
        <v>0</v>
      </c>
      <c r="AA10" s="403">
        <f t="shared" si="3"/>
        <v>0</v>
      </c>
      <c r="AB10" s="403">
        <f t="shared" si="3"/>
        <v>0</v>
      </c>
      <c r="AC10" s="403">
        <f t="shared" si="3"/>
        <v>0</v>
      </c>
      <c r="AD10" s="403">
        <f t="shared" si="3"/>
        <v>0</v>
      </c>
      <c r="AE10" s="404">
        <f t="shared" si="3"/>
        <v>0</v>
      </c>
    </row>
    <row r="11" spans="1:31" ht="12" customHeight="1">
      <c r="A11" s="863"/>
      <c r="B11" s="434" t="str">
        <f>+'Custo do Insumo'!B15</f>
        <v>Desinfetante características: ativo, tensoativo não iônico, solventes, antioxidante, fragrância lavanda, veículo e propelente - Emb. c/ 5 litros</v>
      </c>
      <c r="C11" s="399" t="str">
        <f>+'Custo do Insumo'!C15</f>
        <v>UND.</v>
      </c>
      <c r="D11" s="435">
        <f>+'Custo do Insumo'!D15</f>
        <v>30</v>
      </c>
      <c r="E11" s="455"/>
      <c r="F11" s="401"/>
      <c r="G11" s="401"/>
      <c r="H11" s="401"/>
      <c r="I11" s="401"/>
      <c r="J11" s="401"/>
      <c r="K11" s="401"/>
      <c r="L11" s="401"/>
      <c r="M11" s="401"/>
      <c r="N11" s="401"/>
      <c r="O11" s="401"/>
      <c r="P11" s="401"/>
      <c r="Q11" s="400">
        <f t="shared" si="1"/>
        <v>360</v>
      </c>
      <c r="R11" s="402">
        <f t="shared" si="2"/>
        <v>360</v>
      </c>
      <c r="S11" s="450">
        <f>+'Custo do Insumo'!R15</f>
        <v>0</v>
      </c>
      <c r="T11" s="452">
        <f t="shared" si="3"/>
        <v>0</v>
      </c>
      <c r="U11" s="403">
        <f t="shared" si="3"/>
        <v>0</v>
      </c>
      <c r="V11" s="403">
        <f t="shared" si="3"/>
        <v>0</v>
      </c>
      <c r="W11" s="403">
        <f t="shared" si="3"/>
        <v>0</v>
      </c>
      <c r="X11" s="403">
        <f t="shared" si="3"/>
        <v>0</v>
      </c>
      <c r="Y11" s="403">
        <f t="shared" si="3"/>
        <v>0</v>
      </c>
      <c r="Z11" s="403">
        <f t="shared" si="3"/>
        <v>0</v>
      </c>
      <c r="AA11" s="403">
        <f t="shared" si="3"/>
        <v>0</v>
      </c>
      <c r="AB11" s="403">
        <f t="shared" si="3"/>
        <v>0</v>
      </c>
      <c r="AC11" s="403">
        <f t="shared" si="3"/>
        <v>0</v>
      </c>
      <c r="AD11" s="403">
        <f t="shared" si="3"/>
        <v>0</v>
      </c>
      <c r="AE11" s="404">
        <f t="shared" si="3"/>
        <v>0</v>
      </c>
    </row>
    <row r="12" spans="1:31" ht="12" customHeight="1">
      <c r="A12" s="863"/>
      <c r="B12" s="434" t="str">
        <f>+'Custo do Insumo'!B16</f>
        <v xml:space="preserve">Detergente líquido concentrado, neutro características: tensoativo iônico, sais inorgânicos, sequestrante, neutralizante, conservante, coadjuvante, corantes, essência e veículo - Emb. c/ 5 litros </v>
      </c>
      <c r="C12" s="399" t="str">
        <f>+'Custo do Insumo'!C16</f>
        <v>UND.</v>
      </c>
      <c r="D12" s="435">
        <f>+'Custo do Insumo'!D16</f>
        <v>60</v>
      </c>
      <c r="E12" s="455"/>
      <c r="F12" s="401"/>
      <c r="G12" s="401"/>
      <c r="H12" s="401"/>
      <c r="I12" s="401"/>
      <c r="J12" s="401"/>
      <c r="K12" s="401"/>
      <c r="L12" s="401"/>
      <c r="M12" s="401"/>
      <c r="N12" s="401"/>
      <c r="O12" s="401"/>
      <c r="P12" s="401"/>
      <c r="Q12" s="400">
        <f t="shared" si="1"/>
        <v>720</v>
      </c>
      <c r="R12" s="402">
        <f t="shared" si="2"/>
        <v>720</v>
      </c>
      <c r="S12" s="450">
        <f>+'Custo do Insumo'!R16</f>
        <v>0</v>
      </c>
      <c r="T12" s="452">
        <f t="shared" si="3"/>
        <v>0</v>
      </c>
      <c r="U12" s="403">
        <f t="shared" si="3"/>
        <v>0</v>
      </c>
      <c r="V12" s="403">
        <f t="shared" si="3"/>
        <v>0</v>
      </c>
      <c r="W12" s="403">
        <f t="shared" si="3"/>
        <v>0</v>
      </c>
      <c r="X12" s="403">
        <f t="shared" si="3"/>
        <v>0</v>
      </c>
      <c r="Y12" s="403">
        <f t="shared" si="3"/>
        <v>0</v>
      </c>
      <c r="Z12" s="403">
        <f t="shared" si="3"/>
        <v>0</v>
      </c>
      <c r="AA12" s="403">
        <f t="shared" si="3"/>
        <v>0</v>
      </c>
      <c r="AB12" s="403">
        <f t="shared" si="3"/>
        <v>0</v>
      </c>
      <c r="AC12" s="403">
        <f t="shared" si="3"/>
        <v>0</v>
      </c>
      <c r="AD12" s="403">
        <f t="shared" si="3"/>
        <v>0</v>
      </c>
      <c r="AE12" s="404">
        <f t="shared" si="3"/>
        <v>0</v>
      </c>
    </row>
    <row r="13" spans="1:31" ht="12" customHeight="1">
      <c r="A13" s="863"/>
      <c r="B13" s="434" t="str">
        <f>+'Custo do Insumo'!B17</f>
        <v>Disco Verde - 410 MM</v>
      </c>
      <c r="C13" s="399" t="str">
        <f>+'Custo do Insumo'!C17</f>
        <v>UND.</v>
      </c>
      <c r="D13" s="435">
        <f>+'Custo do Insumo'!D17</f>
        <v>20</v>
      </c>
      <c r="E13" s="455"/>
      <c r="F13" s="401"/>
      <c r="G13" s="401"/>
      <c r="H13" s="401"/>
      <c r="I13" s="401"/>
      <c r="J13" s="401"/>
      <c r="K13" s="401"/>
      <c r="L13" s="401"/>
      <c r="M13" s="401"/>
      <c r="N13" s="401"/>
      <c r="O13" s="401"/>
      <c r="P13" s="401"/>
      <c r="Q13" s="400">
        <f t="shared" si="1"/>
        <v>240</v>
      </c>
      <c r="R13" s="402">
        <f t="shared" si="2"/>
        <v>240</v>
      </c>
      <c r="S13" s="450">
        <f>+'Custo do Insumo'!R17</f>
        <v>0</v>
      </c>
      <c r="T13" s="452">
        <f t="shared" si="3"/>
        <v>0</v>
      </c>
      <c r="U13" s="403">
        <f t="shared" si="3"/>
        <v>0</v>
      </c>
      <c r="V13" s="403">
        <f t="shared" si="3"/>
        <v>0</v>
      </c>
      <c r="W13" s="403">
        <f t="shared" si="3"/>
        <v>0</v>
      </c>
      <c r="X13" s="403">
        <f t="shared" si="3"/>
        <v>0</v>
      </c>
      <c r="Y13" s="403">
        <f t="shared" si="3"/>
        <v>0</v>
      </c>
      <c r="Z13" s="403">
        <f t="shared" si="3"/>
        <v>0</v>
      </c>
      <c r="AA13" s="403">
        <f t="shared" si="3"/>
        <v>0</v>
      </c>
      <c r="AB13" s="403">
        <f t="shared" si="3"/>
        <v>0</v>
      </c>
      <c r="AC13" s="403">
        <f t="shared" si="3"/>
        <v>0</v>
      </c>
      <c r="AD13" s="403">
        <f t="shared" si="3"/>
        <v>0</v>
      </c>
      <c r="AE13" s="404">
        <f t="shared" si="3"/>
        <v>0</v>
      </c>
    </row>
    <row r="14" spans="1:31" ht="12" customHeight="1">
      <c r="A14" s="863"/>
      <c r="B14" s="434" t="str">
        <f>+'Custo do Insumo'!B18</f>
        <v>Disco Preto - 410 MM</v>
      </c>
      <c r="C14" s="399" t="str">
        <f>+'Custo do Insumo'!C18</f>
        <v>UND.</v>
      </c>
      <c r="D14" s="435">
        <f>+'Custo do Insumo'!D18</f>
        <v>20</v>
      </c>
      <c r="E14" s="455"/>
      <c r="F14" s="401"/>
      <c r="G14" s="401"/>
      <c r="H14" s="401"/>
      <c r="I14" s="401"/>
      <c r="J14" s="401"/>
      <c r="K14" s="401"/>
      <c r="L14" s="401"/>
      <c r="M14" s="401"/>
      <c r="N14" s="401"/>
      <c r="O14" s="401"/>
      <c r="P14" s="401"/>
      <c r="Q14" s="400">
        <f t="shared" si="1"/>
        <v>240</v>
      </c>
      <c r="R14" s="402">
        <f t="shared" si="2"/>
        <v>240</v>
      </c>
      <c r="S14" s="450">
        <f>+'Custo do Insumo'!R18</f>
        <v>0</v>
      </c>
      <c r="T14" s="452">
        <f t="shared" si="3"/>
        <v>0</v>
      </c>
      <c r="U14" s="403">
        <f t="shared" si="3"/>
        <v>0</v>
      </c>
      <c r="V14" s="403">
        <f t="shared" si="3"/>
        <v>0</v>
      </c>
      <c r="W14" s="403">
        <f t="shared" si="3"/>
        <v>0</v>
      </c>
      <c r="X14" s="403">
        <f t="shared" si="3"/>
        <v>0</v>
      </c>
      <c r="Y14" s="403">
        <f t="shared" si="3"/>
        <v>0</v>
      </c>
      <c r="Z14" s="403">
        <f t="shared" si="3"/>
        <v>0</v>
      </c>
      <c r="AA14" s="403">
        <f t="shared" si="3"/>
        <v>0</v>
      </c>
      <c r="AB14" s="403">
        <f t="shared" si="3"/>
        <v>0</v>
      </c>
      <c r="AC14" s="403">
        <f t="shared" si="3"/>
        <v>0</v>
      </c>
      <c r="AD14" s="403">
        <f t="shared" si="3"/>
        <v>0</v>
      </c>
      <c r="AE14" s="404">
        <f t="shared" si="3"/>
        <v>0</v>
      </c>
    </row>
    <row r="15" spans="1:31" ht="12" customHeight="1">
      <c r="A15" s="863"/>
      <c r="B15" s="434" t="str">
        <f>+'Custo do Insumo'!B19</f>
        <v>Disco Verde - 350 MM</v>
      </c>
      <c r="C15" s="399" t="str">
        <f>+'Custo do Insumo'!C19</f>
        <v>UND.</v>
      </c>
      <c r="D15" s="435">
        <f>+'Custo do Insumo'!D19</f>
        <v>20</v>
      </c>
      <c r="E15" s="455"/>
      <c r="F15" s="401"/>
      <c r="G15" s="401"/>
      <c r="H15" s="401"/>
      <c r="I15" s="401"/>
      <c r="J15" s="401"/>
      <c r="K15" s="401"/>
      <c r="L15" s="401"/>
      <c r="M15" s="401"/>
      <c r="N15" s="401"/>
      <c r="O15" s="401"/>
      <c r="P15" s="401"/>
      <c r="Q15" s="400">
        <f t="shared" si="1"/>
        <v>240</v>
      </c>
      <c r="R15" s="402">
        <f t="shared" si="2"/>
        <v>240</v>
      </c>
      <c r="S15" s="450">
        <f>+'Custo do Insumo'!R19</f>
        <v>0</v>
      </c>
      <c r="T15" s="452">
        <f t="shared" si="3"/>
        <v>0</v>
      </c>
      <c r="U15" s="403">
        <f t="shared" si="3"/>
        <v>0</v>
      </c>
      <c r="V15" s="403">
        <f t="shared" si="3"/>
        <v>0</v>
      </c>
      <c r="W15" s="403">
        <f t="shared" si="3"/>
        <v>0</v>
      </c>
      <c r="X15" s="403">
        <f t="shared" si="3"/>
        <v>0</v>
      </c>
      <c r="Y15" s="403">
        <f t="shared" si="3"/>
        <v>0</v>
      </c>
      <c r="Z15" s="403">
        <f t="shared" si="3"/>
        <v>0</v>
      </c>
      <c r="AA15" s="403">
        <f t="shared" si="3"/>
        <v>0</v>
      </c>
      <c r="AB15" s="403">
        <f t="shared" si="3"/>
        <v>0</v>
      </c>
      <c r="AC15" s="403">
        <f t="shared" si="3"/>
        <v>0</v>
      </c>
      <c r="AD15" s="403">
        <f t="shared" si="3"/>
        <v>0</v>
      </c>
      <c r="AE15" s="404">
        <f t="shared" si="3"/>
        <v>0</v>
      </c>
    </row>
    <row r="16" spans="1:31" ht="12" customHeight="1">
      <c r="A16" s="863"/>
      <c r="B16" s="434" t="str">
        <f>+'Custo do Insumo'!B20</f>
        <v>Disco Preto- 350 MM</v>
      </c>
      <c r="C16" s="399" t="str">
        <f>+'Custo do Insumo'!C20</f>
        <v>UND.</v>
      </c>
      <c r="D16" s="435">
        <f>+'Custo do Insumo'!D20</f>
        <v>20</v>
      </c>
      <c r="E16" s="455"/>
      <c r="F16" s="401"/>
      <c r="G16" s="401"/>
      <c r="H16" s="401"/>
      <c r="I16" s="401"/>
      <c r="J16" s="401"/>
      <c r="K16" s="401"/>
      <c r="L16" s="401"/>
      <c r="M16" s="401"/>
      <c r="N16" s="401"/>
      <c r="O16" s="401"/>
      <c r="P16" s="401"/>
      <c r="Q16" s="400">
        <f t="shared" si="1"/>
        <v>240</v>
      </c>
      <c r="R16" s="402">
        <f t="shared" si="2"/>
        <v>240</v>
      </c>
      <c r="S16" s="450">
        <f>+'Custo do Insumo'!R20</f>
        <v>0</v>
      </c>
      <c r="T16" s="452">
        <f t="shared" si="3"/>
        <v>0</v>
      </c>
      <c r="U16" s="403">
        <f t="shared" si="3"/>
        <v>0</v>
      </c>
      <c r="V16" s="403">
        <f t="shared" si="3"/>
        <v>0</v>
      </c>
      <c r="W16" s="403">
        <f t="shared" si="3"/>
        <v>0</v>
      </c>
      <c r="X16" s="403">
        <f t="shared" si="3"/>
        <v>0</v>
      </c>
      <c r="Y16" s="403">
        <f t="shared" si="3"/>
        <v>0</v>
      </c>
      <c r="Z16" s="403">
        <f t="shared" si="3"/>
        <v>0</v>
      </c>
      <c r="AA16" s="403">
        <f t="shared" si="3"/>
        <v>0</v>
      </c>
      <c r="AB16" s="403">
        <f t="shared" si="3"/>
        <v>0</v>
      </c>
      <c r="AC16" s="403">
        <f t="shared" si="3"/>
        <v>0</v>
      </c>
      <c r="AD16" s="403">
        <f t="shared" si="3"/>
        <v>0</v>
      </c>
      <c r="AE16" s="404">
        <f t="shared" si="3"/>
        <v>0</v>
      </c>
    </row>
    <row r="17" spans="1:31" ht="12" customHeight="1">
      <c r="A17" s="863"/>
      <c r="B17" s="434" t="str">
        <f>+'Custo do Insumo'!B21</f>
        <v>Disco Vermelho - 350 MM</v>
      </c>
      <c r="C17" s="399" t="str">
        <f>+'Custo do Insumo'!C21</f>
        <v>UND.</v>
      </c>
      <c r="D17" s="435">
        <f>+'Custo do Insumo'!D21</f>
        <v>20</v>
      </c>
      <c r="E17" s="455"/>
      <c r="F17" s="401"/>
      <c r="G17" s="401"/>
      <c r="H17" s="401"/>
      <c r="I17" s="401"/>
      <c r="J17" s="401"/>
      <c r="K17" s="401"/>
      <c r="L17" s="401"/>
      <c r="M17" s="401"/>
      <c r="N17" s="401"/>
      <c r="O17" s="401"/>
      <c r="P17" s="401"/>
      <c r="Q17" s="400">
        <f t="shared" si="1"/>
        <v>240</v>
      </c>
      <c r="R17" s="402">
        <f t="shared" si="2"/>
        <v>240</v>
      </c>
      <c r="S17" s="450">
        <f>+'Custo do Insumo'!R21</f>
        <v>0</v>
      </c>
      <c r="T17" s="452">
        <f t="shared" si="3"/>
        <v>0</v>
      </c>
      <c r="U17" s="403">
        <f t="shared" si="3"/>
        <v>0</v>
      </c>
      <c r="V17" s="403">
        <f t="shared" si="3"/>
        <v>0</v>
      </c>
      <c r="W17" s="403">
        <f t="shared" si="3"/>
        <v>0</v>
      </c>
      <c r="X17" s="403">
        <f t="shared" si="3"/>
        <v>0</v>
      </c>
      <c r="Y17" s="403">
        <f t="shared" si="3"/>
        <v>0</v>
      </c>
      <c r="Z17" s="403">
        <f t="shared" si="3"/>
        <v>0</v>
      </c>
      <c r="AA17" s="403">
        <f t="shared" si="3"/>
        <v>0</v>
      </c>
      <c r="AB17" s="403">
        <f t="shared" si="3"/>
        <v>0</v>
      </c>
      <c r="AC17" s="403">
        <f t="shared" si="3"/>
        <v>0</v>
      </c>
      <c r="AD17" s="403">
        <f t="shared" si="3"/>
        <v>0</v>
      </c>
      <c r="AE17" s="404">
        <f t="shared" si="3"/>
        <v>0</v>
      </c>
    </row>
    <row r="18" spans="1:31" ht="12" customHeight="1">
      <c r="A18" s="863"/>
      <c r="B18" s="434" t="str">
        <f>+'Custo do Insumo'!B22</f>
        <v>Disco Branco - 350 MM</v>
      </c>
      <c r="C18" s="399" t="str">
        <f>+'Custo do Insumo'!C22</f>
        <v>UND.</v>
      </c>
      <c r="D18" s="435">
        <f>+'Custo do Insumo'!D22</f>
        <v>20</v>
      </c>
      <c r="E18" s="455"/>
      <c r="F18" s="401"/>
      <c r="G18" s="401"/>
      <c r="H18" s="401"/>
      <c r="I18" s="401"/>
      <c r="J18" s="401"/>
      <c r="K18" s="401"/>
      <c r="L18" s="401"/>
      <c r="M18" s="401"/>
      <c r="N18" s="401"/>
      <c r="O18" s="401"/>
      <c r="P18" s="401"/>
      <c r="Q18" s="400">
        <f t="shared" si="1"/>
        <v>240</v>
      </c>
      <c r="R18" s="402">
        <f t="shared" si="2"/>
        <v>240</v>
      </c>
      <c r="S18" s="450">
        <f>+'Custo do Insumo'!R22</f>
        <v>0</v>
      </c>
      <c r="T18" s="452">
        <f t="shared" si="3"/>
        <v>0</v>
      </c>
      <c r="U18" s="403">
        <f t="shared" si="3"/>
        <v>0</v>
      </c>
      <c r="V18" s="403">
        <f t="shared" si="3"/>
        <v>0</v>
      </c>
      <c r="W18" s="403">
        <f t="shared" si="3"/>
        <v>0</v>
      </c>
      <c r="X18" s="403">
        <f t="shared" si="3"/>
        <v>0</v>
      </c>
      <c r="Y18" s="403">
        <f t="shared" si="3"/>
        <v>0</v>
      </c>
      <c r="Z18" s="403">
        <f t="shared" si="3"/>
        <v>0</v>
      </c>
      <c r="AA18" s="403">
        <f t="shared" si="3"/>
        <v>0</v>
      </c>
      <c r="AB18" s="403">
        <f t="shared" si="3"/>
        <v>0</v>
      </c>
      <c r="AC18" s="403">
        <f t="shared" si="3"/>
        <v>0</v>
      </c>
      <c r="AD18" s="403">
        <f t="shared" si="3"/>
        <v>0</v>
      </c>
      <c r="AE18" s="404">
        <f t="shared" si="3"/>
        <v>0</v>
      </c>
    </row>
    <row r="19" spans="1:31" ht="12" customHeight="1">
      <c r="A19" s="863"/>
      <c r="B19" s="434" t="str">
        <f>+'Custo do Insumo'!B23</f>
        <v>Esponja de louça dupla face (fibra e espuma), formato retangular, medindo 110x75x23mm, abrasividade média. Composição: espuma de poliuretano com bactericida, fibra sintética com abrasivo.</v>
      </c>
      <c r="C19" s="399" t="str">
        <f>+'Custo do Insumo'!C23</f>
        <v>UND.</v>
      </c>
      <c r="D19" s="435">
        <f>+'Custo do Insumo'!D23</f>
        <v>300</v>
      </c>
      <c r="E19" s="455"/>
      <c r="F19" s="401"/>
      <c r="G19" s="401"/>
      <c r="H19" s="401"/>
      <c r="I19" s="401"/>
      <c r="J19" s="401"/>
      <c r="K19" s="401"/>
      <c r="L19" s="401"/>
      <c r="M19" s="401"/>
      <c r="N19" s="401"/>
      <c r="O19" s="401"/>
      <c r="P19" s="401"/>
      <c r="Q19" s="400">
        <f t="shared" si="1"/>
        <v>3600</v>
      </c>
      <c r="R19" s="402">
        <f t="shared" si="2"/>
        <v>3600</v>
      </c>
      <c r="S19" s="450">
        <f>+'Custo do Insumo'!R23</f>
        <v>0</v>
      </c>
      <c r="T19" s="452">
        <f t="shared" si="3"/>
        <v>0</v>
      </c>
      <c r="U19" s="403">
        <f t="shared" si="3"/>
        <v>0</v>
      </c>
      <c r="V19" s="403">
        <f t="shared" si="3"/>
        <v>0</v>
      </c>
      <c r="W19" s="403">
        <f t="shared" si="3"/>
        <v>0</v>
      </c>
      <c r="X19" s="403">
        <f t="shared" si="3"/>
        <v>0</v>
      </c>
      <c r="Y19" s="403">
        <f t="shared" si="3"/>
        <v>0</v>
      </c>
      <c r="Z19" s="403">
        <f t="shared" si="3"/>
        <v>0</v>
      </c>
      <c r="AA19" s="403">
        <f t="shared" si="3"/>
        <v>0</v>
      </c>
      <c r="AB19" s="403">
        <f t="shared" si="3"/>
        <v>0</v>
      </c>
      <c r="AC19" s="403">
        <f t="shared" si="3"/>
        <v>0</v>
      </c>
      <c r="AD19" s="403">
        <f t="shared" si="3"/>
        <v>0</v>
      </c>
      <c r="AE19" s="404">
        <f t="shared" si="3"/>
        <v>0</v>
      </c>
    </row>
    <row r="20" spans="1:31" ht="12" customHeight="1">
      <c r="A20" s="863"/>
      <c r="B20" s="434" t="str">
        <f>+'Custo do Insumo'!B24</f>
        <v>Escova para roupa, confeccionada em madeira com cerdas de nylon, formato oval.</v>
      </c>
      <c r="C20" s="399" t="str">
        <f>+'Custo do Insumo'!C24</f>
        <v>UND.</v>
      </c>
      <c r="D20" s="435">
        <f>+'Custo do Insumo'!D24</f>
        <v>24</v>
      </c>
      <c r="E20" s="455"/>
      <c r="F20" s="401"/>
      <c r="G20" s="401"/>
      <c r="H20" s="401"/>
      <c r="I20" s="401"/>
      <c r="J20" s="401"/>
      <c r="K20" s="401"/>
      <c r="L20" s="401"/>
      <c r="M20" s="401"/>
      <c r="N20" s="401"/>
      <c r="O20" s="401"/>
      <c r="P20" s="401"/>
      <c r="Q20" s="400">
        <f t="shared" si="1"/>
        <v>288</v>
      </c>
      <c r="R20" s="402">
        <f t="shared" si="2"/>
        <v>288</v>
      </c>
      <c r="S20" s="450">
        <f>+'Custo do Insumo'!R24</f>
        <v>0</v>
      </c>
      <c r="T20" s="452">
        <f t="shared" si="3"/>
        <v>0</v>
      </c>
      <c r="U20" s="403">
        <f t="shared" si="3"/>
        <v>0</v>
      </c>
      <c r="V20" s="403">
        <f t="shared" si="3"/>
        <v>0</v>
      </c>
      <c r="W20" s="403">
        <f t="shared" si="3"/>
        <v>0</v>
      </c>
      <c r="X20" s="403">
        <f t="shared" si="3"/>
        <v>0</v>
      </c>
      <c r="Y20" s="403">
        <f t="shared" si="3"/>
        <v>0</v>
      </c>
      <c r="Z20" s="403">
        <f t="shared" si="3"/>
        <v>0</v>
      </c>
      <c r="AA20" s="403">
        <f t="shared" si="3"/>
        <v>0</v>
      </c>
      <c r="AB20" s="403">
        <f t="shared" si="3"/>
        <v>0</v>
      </c>
      <c r="AC20" s="403">
        <f t="shared" si="3"/>
        <v>0</v>
      </c>
      <c r="AD20" s="403">
        <f t="shared" si="3"/>
        <v>0</v>
      </c>
      <c r="AE20" s="404">
        <f t="shared" si="3"/>
        <v>0</v>
      </c>
    </row>
    <row r="21" spans="1:31" ht="12" customHeight="1">
      <c r="A21" s="863"/>
      <c r="B21" s="434" t="str">
        <f>+'Custo do Insumo'!B25</f>
        <v>FIBRA PARA LIMPEZA DE USO GERAL; MEDIDAS: 102MM X 260MM X 11MM; COMPOSIÇÃO: NY LON; PRODUTO ABRASIVO, IDEAL PARA MÉDIAS SUJIDADE</v>
      </c>
      <c r="C21" s="399" t="str">
        <f>+'Custo do Insumo'!C25</f>
        <v>UND.</v>
      </c>
      <c r="D21" s="435">
        <f>+'Custo do Insumo'!D25</f>
        <v>300</v>
      </c>
      <c r="E21" s="455"/>
      <c r="F21" s="401"/>
      <c r="G21" s="401"/>
      <c r="H21" s="401"/>
      <c r="I21" s="401"/>
      <c r="J21" s="401"/>
      <c r="K21" s="401"/>
      <c r="L21" s="401"/>
      <c r="M21" s="401"/>
      <c r="N21" s="401"/>
      <c r="O21" s="401"/>
      <c r="P21" s="401"/>
      <c r="Q21" s="400">
        <f t="shared" si="1"/>
        <v>3600</v>
      </c>
      <c r="R21" s="402">
        <f t="shared" si="2"/>
        <v>3600</v>
      </c>
      <c r="S21" s="450">
        <f>+'Custo do Insumo'!R25</f>
        <v>0</v>
      </c>
      <c r="T21" s="452">
        <f t="shared" si="3"/>
        <v>0</v>
      </c>
      <c r="U21" s="403">
        <f t="shared" si="3"/>
        <v>0</v>
      </c>
      <c r="V21" s="403">
        <f t="shared" si="3"/>
        <v>0</v>
      </c>
      <c r="W21" s="403">
        <f t="shared" si="3"/>
        <v>0</v>
      </c>
      <c r="X21" s="403">
        <f t="shared" si="3"/>
        <v>0</v>
      </c>
      <c r="Y21" s="403">
        <f t="shared" si="3"/>
        <v>0</v>
      </c>
      <c r="Z21" s="403">
        <f t="shared" si="3"/>
        <v>0</v>
      </c>
      <c r="AA21" s="403">
        <f t="shared" si="3"/>
        <v>0</v>
      </c>
      <c r="AB21" s="403">
        <f t="shared" si="3"/>
        <v>0</v>
      </c>
      <c r="AC21" s="403">
        <f t="shared" si="3"/>
        <v>0</v>
      </c>
      <c r="AD21" s="403">
        <f t="shared" si="3"/>
        <v>0</v>
      </c>
      <c r="AE21" s="404">
        <f t="shared" si="3"/>
        <v>0</v>
      </c>
    </row>
    <row r="22" spans="1:31" ht="12" customHeight="1">
      <c r="A22" s="863"/>
      <c r="B22" s="434" t="str">
        <f>+'Custo do Insumo'!B26</f>
        <v>Limpa Alumínio - Emb. c/ 5 litros</v>
      </c>
      <c r="C22" s="399" t="str">
        <f>+'Custo do Insumo'!C26</f>
        <v>BOMBONA</v>
      </c>
      <c r="D22" s="435">
        <f>+'Custo do Insumo'!D26</f>
        <v>9</v>
      </c>
      <c r="E22" s="455"/>
      <c r="F22" s="401"/>
      <c r="G22" s="401"/>
      <c r="H22" s="401"/>
      <c r="I22" s="401"/>
      <c r="J22" s="401"/>
      <c r="K22" s="401"/>
      <c r="L22" s="401"/>
      <c r="M22" s="401"/>
      <c r="N22" s="401"/>
      <c r="O22" s="401"/>
      <c r="P22" s="401"/>
      <c r="Q22" s="400">
        <f t="shared" si="1"/>
        <v>108</v>
      </c>
      <c r="R22" s="402">
        <f t="shared" si="2"/>
        <v>108</v>
      </c>
      <c r="S22" s="450">
        <f>+'Custo do Insumo'!R26</f>
        <v>0</v>
      </c>
      <c r="T22" s="452">
        <f t="shared" si="3"/>
        <v>0</v>
      </c>
      <c r="U22" s="403">
        <f t="shared" si="3"/>
        <v>0</v>
      </c>
      <c r="V22" s="403">
        <f t="shared" si="3"/>
        <v>0</v>
      </c>
      <c r="W22" s="403">
        <f t="shared" si="3"/>
        <v>0</v>
      </c>
      <c r="X22" s="403">
        <f t="shared" si="3"/>
        <v>0</v>
      </c>
      <c r="Y22" s="403">
        <f t="shared" si="3"/>
        <v>0</v>
      </c>
      <c r="Z22" s="403">
        <f t="shared" si="3"/>
        <v>0</v>
      </c>
      <c r="AA22" s="403">
        <f t="shared" si="3"/>
        <v>0</v>
      </c>
      <c r="AB22" s="403">
        <f t="shared" si="3"/>
        <v>0</v>
      </c>
      <c r="AC22" s="403">
        <f t="shared" si="3"/>
        <v>0</v>
      </c>
      <c r="AD22" s="403">
        <f t="shared" si="3"/>
        <v>0</v>
      </c>
      <c r="AE22" s="404">
        <f t="shared" si="3"/>
        <v>0</v>
      </c>
    </row>
    <row r="23" spans="1:31" ht="12" customHeight="1">
      <c r="A23" s="863"/>
      <c r="B23" s="434" t="str">
        <f>+'Custo do Insumo'!B27</f>
        <v>Pano de limpeza características: 100% algodão, saco alvejado, 50 x 70cm, c/ acabamento, branco</v>
      </c>
      <c r="C23" s="399" t="str">
        <f>+'Custo do Insumo'!C27</f>
        <v>UND</v>
      </c>
      <c r="D23" s="435">
        <f>+'Custo do Insumo'!D27</f>
        <v>700</v>
      </c>
      <c r="E23" s="455"/>
      <c r="F23" s="401"/>
      <c r="G23" s="401"/>
      <c r="H23" s="401"/>
      <c r="I23" s="401"/>
      <c r="J23" s="401"/>
      <c r="K23" s="401"/>
      <c r="L23" s="401"/>
      <c r="M23" s="401"/>
      <c r="N23" s="401"/>
      <c r="O23" s="401"/>
      <c r="P23" s="401"/>
      <c r="Q23" s="400">
        <f t="shared" si="1"/>
        <v>8400</v>
      </c>
      <c r="R23" s="402">
        <f t="shared" si="2"/>
        <v>8400</v>
      </c>
      <c r="S23" s="450">
        <f>+'Custo do Insumo'!R27</f>
        <v>0</v>
      </c>
      <c r="T23" s="452">
        <f t="shared" si="3"/>
        <v>0</v>
      </c>
      <c r="U23" s="403">
        <f t="shared" si="3"/>
        <v>0</v>
      </c>
      <c r="V23" s="403">
        <f t="shared" si="3"/>
        <v>0</v>
      </c>
      <c r="W23" s="403">
        <f t="shared" si="3"/>
        <v>0</v>
      </c>
      <c r="X23" s="403">
        <f t="shared" si="3"/>
        <v>0</v>
      </c>
      <c r="Y23" s="403">
        <f t="shared" si="3"/>
        <v>0</v>
      </c>
      <c r="Z23" s="403">
        <f t="shared" si="3"/>
        <v>0</v>
      </c>
      <c r="AA23" s="403">
        <f t="shared" si="3"/>
        <v>0</v>
      </c>
      <c r="AB23" s="403">
        <f t="shared" si="3"/>
        <v>0</v>
      </c>
      <c r="AC23" s="403">
        <f t="shared" si="3"/>
        <v>0</v>
      </c>
      <c r="AD23" s="403">
        <f t="shared" si="3"/>
        <v>0</v>
      </c>
      <c r="AE23" s="404">
        <f t="shared" si="3"/>
        <v>0</v>
      </c>
    </row>
    <row r="24" spans="1:31" ht="12" customHeight="1">
      <c r="A24" s="863"/>
      <c r="B24" s="434" t="str">
        <f>+'Custo do Insumo'!B28</f>
        <v>Pano multiuso para limpeza características: tamanho 300m x 28cm, nas cores azul ou rosa, com furinhos que auxiliam na remoção da sujeira, composto de 100% de viscose e látex sintético que absorve mais facilmente líquidos, lavável, seca rapidamente e não retém odores. - Rolo 300m</v>
      </c>
      <c r="C24" s="399" t="str">
        <f>+'Custo do Insumo'!C28</f>
        <v>UND.</v>
      </c>
      <c r="D24" s="435">
        <f>+'Custo do Insumo'!D28</f>
        <v>12</v>
      </c>
      <c r="E24" s="455"/>
      <c r="F24" s="401"/>
      <c r="G24" s="401"/>
      <c r="H24" s="401"/>
      <c r="I24" s="401"/>
      <c r="J24" s="401"/>
      <c r="K24" s="401"/>
      <c r="L24" s="401"/>
      <c r="M24" s="401"/>
      <c r="N24" s="401"/>
      <c r="O24" s="401"/>
      <c r="P24" s="401"/>
      <c r="Q24" s="400">
        <f t="shared" si="1"/>
        <v>144</v>
      </c>
      <c r="R24" s="402">
        <f t="shared" si="2"/>
        <v>144</v>
      </c>
      <c r="S24" s="450">
        <f>+'Custo do Insumo'!R28</f>
        <v>0</v>
      </c>
      <c r="T24" s="452">
        <f t="shared" si="3"/>
        <v>0</v>
      </c>
      <c r="U24" s="403">
        <f t="shared" si="3"/>
        <v>0</v>
      </c>
      <c r="V24" s="403">
        <f t="shared" si="3"/>
        <v>0</v>
      </c>
      <c r="W24" s="403">
        <f t="shared" si="3"/>
        <v>0</v>
      </c>
      <c r="X24" s="403">
        <f t="shared" si="3"/>
        <v>0</v>
      </c>
      <c r="Y24" s="403">
        <f t="shared" si="3"/>
        <v>0</v>
      </c>
      <c r="Z24" s="403">
        <f t="shared" si="3"/>
        <v>0</v>
      </c>
      <c r="AA24" s="403">
        <f t="shared" si="3"/>
        <v>0</v>
      </c>
      <c r="AB24" s="403">
        <f t="shared" si="3"/>
        <v>0</v>
      </c>
      <c r="AC24" s="403">
        <f t="shared" si="3"/>
        <v>0</v>
      </c>
      <c r="AD24" s="403">
        <f t="shared" si="3"/>
        <v>0</v>
      </c>
      <c r="AE24" s="404">
        <f t="shared" si="3"/>
        <v>0</v>
      </c>
    </row>
    <row r="25" spans="1:31" ht="12" customHeight="1">
      <c r="A25" s="863"/>
      <c r="B25" s="434" t="str">
        <f>+'Custo do Insumo'!B29</f>
        <v>Limpa  Pedra  - Emb. c/ 5 litros</v>
      </c>
      <c r="C25" s="399" t="str">
        <f>+'Custo do Insumo'!C29</f>
        <v>BOMBONA</v>
      </c>
      <c r="D25" s="435">
        <f>+'Custo do Insumo'!D29</f>
        <v>15</v>
      </c>
      <c r="E25" s="455"/>
      <c r="F25" s="401"/>
      <c r="G25" s="401"/>
      <c r="H25" s="401"/>
      <c r="I25" s="401"/>
      <c r="J25" s="401"/>
      <c r="K25" s="401"/>
      <c r="L25" s="401"/>
      <c r="M25" s="401"/>
      <c r="N25" s="401"/>
      <c r="O25" s="401"/>
      <c r="P25" s="401"/>
      <c r="Q25" s="400">
        <f t="shared" si="1"/>
        <v>180</v>
      </c>
      <c r="R25" s="402">
        <f t="shared" si="2"/>
        <v>180</v>
      </c>
      <c r="S25" s="450">
        <f>+'Custo do Insumo'!R29</f>
        <v>0</v>
      </c>
      <c r="T25" s="452">
        <f t="shared" si="3"/>
        <v>0</v>
      </c>
      <c r="U25" s="403">
        <f t="shared" si="3"/>
        <v>0</v>
      </c>
      <c r="V25" s="403">
        <f t="shared" si="3"/>
        <v>0</v>
      </c>
      <c r="W25" s="403">
        <f t="shared" si="3"/>
        <v>0</v>
      </c>
      <c r="X25" s="403">
        <f t="shared" si="3"/>
        <v>0</v>
      </c>
      <c r="Y25" s="403">
        <f t="shared" si="3"/>
        <v>0</v>
      </c>
      <c r="Z25" s="403">
        <f t="shared" si="3"/>
        <v>0</v>
      </c>
      <c r="AA25" s="403">
        <f t="shared" si="3"/>
        <v>0</v>
      </c>
      <c r="AB25" s="403">
        <f t="shared" si="3"/>
        <v>0</v>
      </c>
      <c r="AC25" s="403">
        <f t="shared" si="3"/>
        <v>0</v>
      </c>
      <c r="AD25" s="403">
        <f t="shared" si="3"/>
        <v>0</v>
      </c>
      <c r="AE25" s="404">
        <f t="shared" si="3"/>
        <v>0</v>
      </c>
    </row>
    <row r="26" spans="1:31" ht="12" customHeight="1">
      <c r="A26" s="863"/>
      <c r="B26" s="434" t="str">
        <f>+'Custo do Insumo'!B30</f>
        <v>Lustra móveis. Emulsão aquosa cremosa, perfumada, para aplicação em móveis e superfícies lisas. Aromas diversos. Frasco plástico de 200 ml com bico econômico. A embalagem deverá conter externamente os dados de identificação, procedência, número do lote, validade e número de registro no Ministério da Saúde.</v>
      </c>
      <c r="C26" s="399" t="str">
        <f>+'Custo do Insumo'!C30</f>
        <v>UND.</v>
      </c>
      <c r="D26" s="435">
        <f>+'Custo do Insumo'!D30</f>
        <v>24</v>
      </c>
      <c r="E26" s="455"/>
      <c r="F26" s="401"/>
      <c r="G26" s="401"/>
      <c r="H26" s="401"/>
      <c r="I26" s="401"/>
      <c r="J26" s="401"/>
      <c r="K26" s="401"/>
      <c r="L26" s="401"/>
      <c r="M26" s="401"/>
      <c r="N26" s="401"/>
      <c r="O26" s="401"/>
      <c r="P26" s="401"/>
      <c r="Q26" s="400">
        <f t="shared" si="1"/>
        <v>288</v>
      </c>
      <c r="R26" s="402">
        <f t="shared" si="2"/>
        <v>288</v>
      </c>
      <c r="S26" s="450">
        <f>+'Custo do Insumo'!R30</f>
        <v>0</v>
      </c>
      <c r="T26" s="452">
        <f t="shared" si="3"/>
        <v>0</v>
      </c>
      <c r="U26" s="403">
        <f t="shared" si="3"/>
        <v>0</v>
      </c>
      <c r="V26" s="403">
        <f t="shared" si="3"/>
        <v>0</v>
      </c>
      <c r="W26" s="403">
        <f t="shared" ref="U26:AE46" si="4">+H26*$S26</f>
        <v>0</v>
      </c>
      <c r="X26" s="403">
        <f t="shared" si="4"/>
        <v>0</v>
      </c>
      <c r="Y26" s="403">
        <f t="shared" si="4"/>
        <v>0</v>
      </c>
      <c r="Z26" s="403">
        <f t="shared" si="4"/>
        <v>0</v>
      </c>
      <c r="AA26" s="403">
        <f t="shared" si="4"/>
        <v>0</v>
      </c>
      <c r="AB26" s="403">
        <f t="shared" si="4"/>
        <v>0</v>
      </c>
      <c r="AC26" s="403">
        <f t="shared" si="4"/>
        <v>0</v>
      </c>
      <c r="AD26" s="403">
        <f t="shared" si="4"/>
        <v>0</v>
      </c>
      <c r="AE26" s="404">
        <f t="shared" si="4"/>
        <v>0</v>
      </c>
    </row>
    <row r="27" spans="1:31" ht="12" customHeight="1">
      <c r="A27" s="863"/>
      <c r="B27" s="434" t="str">
        <f>+'Custo do Insumo'!B31</f>
        <v>Luva Latex Amarela - TAM. P</v>
      </c>
      <c r="C27" s="399" t="str">
        <f>+'Custo do Insumo'!C31</f>
        <v>PAR</v>
      </c>
      <c r="D27" s="435">
        <f>+'Custo do Insumo'!D31</f>
        <v>200</v>
      </c>
      <c r="E27" s="455"/>
      <c r="F27" s="401"/>
      <c r="G27" s="401"/>
      <c r="H27" s="401"/>
      <c r="I27" s="401"/>
      <c r="J27" s="401"/>
      <c r="K27" s="401"/>
      <c r="L27" s="401"/>
      <c r="M27" s="401"/>
      <c r="N27" s="401"/>
      <c r="O27" s="401"/>
      <c r="P27" s="401"/>
      <c r="Q27" s="400">
        <f t="shared" si="1"/>
        <v>2400</v>
      </c>
      <c r="R27" s="402">
        <f t="shared" si="2"/>
        <v>2400</v>
      </c>
      <c r="S27" s="450">
        <f>+'Custo do Insumo'!R31</f>
        <v>0</v>
      </c>
      <c r="T27" s="452">
        <f t="shared" ref="T27:T46" si="5">+E27*$S27</f>
        <v>0</v>
      </c>
      <c r="U27" s="403">
        <f t="shared" si="4"/>
        <v>0</v>
      </c>
      <c r="V27" s="403">
        <f t="shared" si="4"/>
        <v>0</v>
      </c>
      <c r="W27" s="403">
        <f t="shared" si="4"/>
        <v>0</v>
      </c>
      <c r="X27" s="403">
        <f t="shared" si="4"/>
        <v>0</v>
      </c>
      <c r="Y27" s="403">
        <f t="shared" si="4"/>
        <v>0</v>
      </c>
      <c r="Z27" s="403">
        <f t="shared" si="4"/>
        <v>0</v>
      </c>
      <c r="AA27" s="403">
        <f t="shared" si="4"/>
        <v>0</v>
      </c>
      <c r="AB27" s="403">
        <f t="shared" si="4"/>
        <v>0</v>
      </c>
      <c r="AC27" s="403">
        <f t="shared" si="4"/>
        <v>0</v>
      </c>
      <c r="AD27" s="403">
        <f t="shared" si="4"/>
        <v>0</v>
      </c>
      <c r="AE27" s="404">
        <f t="shared" si="4"/>
        <v>0</v>
      </c>
    </row>
    <row r="28" spans="1:31" ht="12" customHeight="1">
      <c r="A28" s="863"/>
      <c r="B28" s="434" t="str">
        <f>+'Custo do Insumo'!B32</f>
        <v>Luva Latex Amarela - TAM. M</v>
      </c>
      <c r="C28" s="399" t="str">
        <f>+'Custo do Insumo'!C32</f>
        <v>PAR</v>
      </c>
      <c r="D28" s="435">
        <f>+'Custo do Insumo'!D32</f>
        <v>200</v>
      </c>
      <c r="E28" s="455"/>
      <c r="F28" s="401"/>
      <c r="G28" s="401"/>
      <c r="H28" s="401"/>
      <c r="I28" s="401"/>
      <c r="J28" s="401"/>
      <c r="K28" s="401"/>
      <c r="L28" s="401"/>
      <c r="M28" s="401"/>
      <c r="N28" s="401"/>
      <c r="O28" s="401"/>
      <c r="P28" s="401"/>
      <c r="Q28" s="400">
        <f t="shared" si="1"/>
        <v>2400</v>
      </c>
      <c r="R28" s="402">
        <f t="shared" si="2"/>
        <v>2400</v>
      </c>
      <c r="S28" s="450">
        <f>+'Custo do Insumo'!R32</f>
        <v>0</v>
      </c>
      <c r="T28" s="452">
        <f t="shared" si="5"/>
        <v>0</v>
      </c>
      <c r="U28" s="403">
        <f t="shared" si="4"/>
        <v>0</v>
      </c>
      <c r="V28" s="403">
        <f t="shared" si="4"/>
        <v>0</v>
      </c>
      <c r="W28" s="403">
        <f t="shared" si="4"/>
        <v>0</v>
      </c>
      <c r="X28" s="403">
        <f t="shared" si="4"/>
        <v>0</v>
      </c>
      <c r="Y28" s="403">
        <f t="shared" si="4"/>
        <v>0</v>
      </c>
      <c r="Z28" s="403">
        <f t="shared" si="4"/>
        <v>0</v>
      </c>
      <c r="AA28" s="403">
        <f t="shared" si="4"/>
        <v>0</v>
      </c>
      <c r="AB28" s="403">
        <f t="shared" si="4"/>
        <v>0</v>
      </c>
      <c r="AC28" s="403">
        <f t="shared" si="4"/>
        <v>0</v>
      </c>
      <c r="AD28" s="403">
        <f t="shared" si="4"/>
        <v>0</v>
      </c>
      <c r="AE28" s="404">
        <f t="shared" si="4"/>
        <v>0</v>
      </c>
    </row>
    <row r="29" spans="1:31" ht="12" customHeight="1">
      <c r="A29" s="863"/>
      <c r="B29" s="434" t="str">
        <f>+'Custo do Insumo'!B33</f>
        <v>Luva Latex Amarela TAM. G</v>
      </c>
      <c r="C29" s="399" t="str">
        <f>+'Custo do Insumo'!C33</f>
        <v>PAR</v>
      </c>
      <c r="D29" s="435">
        <f>+'Custo do Insumo'!D33</f>
        <v>200</v>
      </c>
      <c r="E29" s="455"/>
      <c r="F29" s="401"/>
      <c r="G29" s="401"/>
      <c r="H29" s="401"/>
      <c r="I29" s="401"/>
      <c r="J29" s="401"/>
      <c r="K29" s="401"/>
      <c r="L29" s="401"/>
      <c r="M29" s="401"/>
      <c r="N29" s="401"/>
      <c r="O29" s="401"/>
      <c r="P29" s="401"/>
      <c r="Q29" s="400">
        <f t="shared" si="1"/>
        <v>2400</v>
      </c>
      <c r="R29" s="402">
        <f t="shared" si="2"/>
        <v>2400</v>
      </c>
      <c r="S29" s="450">
        <f>+'Custo do Insumo'!R33</f>
        <v>0</v>
      </c>
      <c r="T29" s="452">
        <f t="shared" si="5"/>
        <v>0</v>
      </c>
      <c r="U29" s="403">
        <f t="shared" si="4"/>
        <v>0</v>
      </c>
      <c r="V29" s="403">
        <f t="shared" si="4"/>
        <v>0</v>
      </c>
      <c r="W29" s="403">
        <f t="shared" si="4"/>
        <v>0</v>
      </c>
      <c r="X29" s="403">
        <f t="shared" si="4"/>
        <v>0</v>
      </c>
      <c r="Y29" s="403">
        <f t="shared" si="4"/>
        <v>0</v>
      </c>
      <c r="Z29" s="403">
        <f t="shared" si="4"/>
        <v>0</v>
      </c>
      <c r="AA29" s="403">
        <f t="shared" si="4"/>
        <v>0</v>
      </c>
      <c r="AB29" s="403">
        <f t="shared" si="4"/>
        <v>0</v>
      </c>
      <c r="AC29" s="403">
        <f t="shared" si="4"/>
        <v>0</v>
      </c>
      <c r="AD29" s="403">
        <f t="shared" si="4"/>
        <v>0</v>
      </c>
      <c r="AE29" s="404">
        <f t="shared" si="4"/>
        <v>0</v>
      </c>
    </row>
    <row r="30" spans="1:31" ht="12" customHeight="1">
      <c r="A30" s="863"/>
      <c r="B30" s="434" t="str">
        <f>+'Custo do Insumo'!B34</f>
        <v>Luva  Latex Verde - TAM. P</v>
      </c>
      <c r="C30" s="399" t="str">
        <f>+'Custo do Insumo'!C34</f>
        <v>PAR</v>
      </c>
      <c r="D30" s="435">
        <f>+'Custo do Insumo'!D34</f>
        <v>200</v>
      </c>
      <c r="E30" s="455"/>
      <c r="F30" s="401"/>
      <c r="G30" s="401"/>
      <c r="H30" s="401"/>
      <c r="I30" s="401"/>
      <c r="J30" s="401"/>
      <c r="K30" s="401"/>
      <c r="L30" s="401"/>
      <c r="M30" s="401"/>
      <c r="N30" s="401"/>
      <c r="O30" s="401"/>
      <c r="P30" s="401"/>
      <c r="Q30" s="400">
        <f t="shared" si="1"/>
        <v>2400</v>
      </c>
      <c r="R30" s="402">
        <f t="shared" si="2"/>
        <v>2400</v>
      </c>
      <c r="S30" s="450">
        <f>+'Custo do Insumo'!R34</f>
        <v>0</v>
      </c>
      <c r="T30" s="452">
        <f t="shared" si="5"/>
        <v>0</v>
      </c>
      <c r="U30" s="403">
        <f t="shared" si="4"/>
        <v>0</v>
      </c>
      <c r="V30" s="403">
        <f t="shared" si="4"/>
        <v>0</v>
      </c>
      <c r="W30" s="403">
        <f t="shared" si="4"/>
        <v>0</v>
      </c>
      <c r="X30" s="403">
        <f t="shared" si="4"/>
        <v>0</v>
      </c>
      <c r="Y30" s="403">
        <f t="shared" si="4"/>
        <v>0</v>
      </c>
      <c r="Z30" s="403">
        <f t="shared" si="4"/>
        <v>0</v>
      </c>
      <c r="AA30" s="403">
        <f t="shared" si="4"/>
        <v>0</v>
      </c>
      <c r="AB30" s="403">
        <f t="shared" si="4"/>
        <v>0</v>
      </c>
      <c r="AC30" s="403">
        <f t="shared" si="4"/>
        <v>0</v>
      </c>
      <c r="AD30" s="403">
        <f t="shared" si="4"/>
        <v>0</v>
      </c>
      <c r="AE30" s="404">
        <f t="shared" si="4"/>
        <v>0</v>
      </c>
    </row>
    <row r="31" spans="1:31" ht="12" customHeight="1">
      <c r="A31" s="863"/>
      <c r="B31" s="434" t="str">
        <f>+'Custo do Insumo'!B35</f>
        <v>Luva  Latex Verde - TAM. M</v>
      </c>
      <c r="C31" s="399" t="str">
        <f>+'Custo do Insumo'!C35</f>
        <v>PAR</v>
      </c>
      <c r="D31" s="435">
        <f>+'Custo do Insumo'!D35</f>
        <v>200</v>
      </c>
      <c r="E31" s="455"/>
      <c r="F31" s="401"/>
      <c r="G31" s="401"/>
      <c r="H31" s="401"/>
      <c r="I31" s="401"/>
      <c r="J31" s="401"/>
      <c r="K31" s="401"/>
      <c r="L31" s="401"/>
      <c r="M31" s="401"/>
      <c r="N31" s="401"/>
      <c r="O31" s="401"/>
      <c r="P31" s="401"/>
      <c r="Q31" s="400">
        <f t="shared" si="1"/>
        <v>2400</v>
      </c>
      <c r="R31" s="402">
        <f t="shared" si="2"/>
        <v>2400</v>
      </c>
      <c r="S31" s="450">
        <f>+'Custo do Insumo'!R35</f>
        <v>0</v>
      </c>
      <c r="T31" s="452">
        <f t="shared" si="5"/>
        <v>0</v>
      </c>
      <c r="U31" s="403">
        <f t="shared" si="4"/>
        <v>0</v>
      </c>
      <c r="V31" s="403">
        <f t="shared" si="4"/>
        <v>0</v>
      </c>
      <c r="W31" s="403">
        <f t="shared" si="4"/>
        <v>0</v>
      </c>
      <c r="X31" s="403">
        <f t="shared" si="4"/>
        <v>0</v>
      </c>
      <c r="Y31" s="403">
        <f t="shared" si="4"/>
        <v>0</v>
      </c>
      <c r="Z31" s="403">
        <f t="shared" si="4"/>
        <v>0</v>
      </c>
      <c r="AA31" s="403">
        <f t="shared" si="4"/>
        <v>0</v>
      </c>
      <c r="AB31" s="403">
        <f t="shared" si="4"/>
        <v>0</v>
      </c>
      <c r="AC31" s="403">
        <f t="shared" si="4"/>
        <v>0</v>
      </c>
      <c r="AD31" s="403">
        <f t="shared" si="4"/>
        <v>0</v>
      </c>
      <c r="AE31" s="404">
        <f t="shared" si="4"/>
        <v>0</v>
      </c>
    </row>
    <row r="32" spans="1:31" ht="12" customHeight="1">
      <c r="A32" s="863"/>
      <c r="B32" s="434" t="str">
        <f>+'Custo do Insumo'!B36</f>
        <v>Luva  Latex Verde - TAM. G</v>
      </c>
      <c r="C32" s="399" t="str">
        <f>+'Custo do Insumo'!C36</f>
        <v>PAR</v>
      </c>
      <c r="D32" s="435">
        <f>+'Custo do Insumo'!D36</f>
        <v>200</v>
      </c>
      <c r="E32" s="455"/>
      <c r="F32" s="401"/>
      <c r="G32" s="401"/>
      <c r="H32" s="401"/>
      <c r="I32" s="401"/>
      <c r="J32" s="401"/>
      <c r="K32" s="401"/>
      <c r="L32" s="401"/>
      <c r="M32" s="401"/>
      <c r="N32" s="401"/>
      <c r="O32" s="401"/>
      <c r="P32" s="401"/>
      <c r="Q32" s="400">
        <f t="shared" si="1"/>
        <v>2400</v>
      </c>
      <c r="R32" s="402">
        <f t="shared" si="2"/>
        <v>2400</v>
      </c>
      <c r="S32" s="450">
        <f>+'Custo do Insumo'!R36</f>
        <v>0</v>
      </c>
      <c r="T32" s="452">
        <f t="shared" si="5"/>
        <v>0</v>
      </c>
      <c r="U32" s="403">
        <f t="shared" si="4"/>
        <v>0</v>
      </c>
      <c r="V32" s="403">
        <f t="shared" si="4"/>
        <v>0</v>
      </c>
      <c r="W32" s="403">
        <f t="shared" si="4"/>
        <v>0</v>
      </c>
      <c r="X32" s="403">
        <f t="shared" si="4"/>
        <v>0</v>
      </c>
      <c r="Y32" s="403">
        <f t="shared" si="4"/>
        <v>0</v>
      </c>
      <c r="Z32" s="403">
        <f t="shared" si="4"/>
        <v>0</v>
      </c>
      <c r="AA32" s="403">
        <f t="shared" si="4"/>
        <v>0</v>
      </c>
      <c r="AB32" s="403">
        <f t="shared" si="4"/>
        <v>0</v>
      </c>
      <c r="AC32" s="403">
        <f t="shared" si="4"/>
        <v>0</v>
      </c>
      <c r="AD32" s="403">
        <f t="shared" si="4"/>
        <v>0</v>
      </c>
      <c r="AE32" s="404">
        <f t="shared" si="4"/>
        <v>0</v>
      </c>
    </row>
    <row r="33" spans="1:31" ht="12" customHeight="1">
      <c r="A33" s="863"/>
      <c r="B33" s="434" t="str">
        <f>+'Custo do Insumo'!B37</f>
        <v>Luva de Latex Amarela - Cano longo</v>
      </c>
      <c r="C33" s="399" t="str">
        <f>+'Custo do Insumo'!C37</f>
        <v>PAR</v>
      </c>
      <c r="D33" s="435">
        <f>+'Custo do Insumo'!D37</f>
        <v>9</v>
      </c>
      <c r="E33" s="455"/>
      <c r="F33" s="401"/>
      <c r="G33" s="401"/>
      <c r="H33" s="401"/>
      <c r="I33" s="401"/>
      <c r="J33" s="401"/>
      <c r="K33" s="401"/>
      <c r="L33" s="401"/>
      <c r="M33" s="401"/>
      <c r="N33" s="401"/>
      <c r="O33" s="401"/>
      <c r="P33" s="401"/>
      <c r="Q33" s="400">
        <f t="shared" si="1"/>
        <v>108</v>
      </c>
      <c r="R33" s="402">
        <f t="shared" si="2"/>
        <v>108</v>
      </c>
      <c r="S33" s="450">
        <f>+'Custo do Insumo'!R37</f>
        <v>0</v>
      </c>
      <c r="T33" s="452">
        <f t="shared" si="5"/>
        <v>0</v>
      </c>
      <c r="U33" s="403">
        <f t="shared" si="4"/>
        <v>0</v>
      </c>
      <c r="V33" s="403">
        <f t="shared" si="4"/>
        <v>0</v>
      </c>
      <c r="W33" s="403">
        <f t="shared" si="4"/>
        <v>0</v>
      </c>
      <c r="X33" s="403">
        <f t="shared" si="4"/>
        <v>0</v>
      </c>
      <c r="Y33" s="403">
        <f t="shared" si="4"/>
        <v>0</v>
      </c>
      <c r="Z33" s="403">
        <f t="shared" si="4"/>
        <v>0</v>
      </c>
      <c r="AA33" s="403">
        <f t="shared" si="4"/>
        <v>0</v>
      </c>
      <c r="AB33" s="403">
        <f t="shared" si="4"/>
        <v>0</v>
      </c>
      <c r="AC33" s="403">
        <f t="shared" si="4"/>
        <v>0</v>
      </c>
      <c r="AD33" s="403">
        <f t="shared" si="4"/>
        <v>0</v>
      </c>
      <c r="AE33" s="404">
        <f t="shared" si="4"/>
        <v>0</v>
      </c>
    </row>
    <row r="34" spans="1:31" ht="12" customHeight="1">
      <c r="A34" s="863"/>
      <c r="B34" s="434" t="str">
        <f>+'Custo do Insumo'!B38</f>
        <v>Luva de Latex Verde - Cano longo</v>
      </c>
      <c r="C34" s="399" t="str">
        <f>+'Custo do Insumo'!C38</f>
        <v>PAR</v>
      </c>
      <c r="D34" s="435">
        <f>+'Custo do Insumo'!D38</f>
        <v>9</v>
      </c>
      <c r="E34" s="455"/>
      <c r="F34" s="401"/>
      <c r="G34" s="401"/>
      <c r="H34" s="401"/>
      <c r="I34" s="401"/>
      <c r="J34" s="401"/>
      <c r="K34" s="401"/>
      <c r="L34" s="401"/>
      <c r="M34" s="401"/>
      <c r="N34" s="401"/>
      <c r="O34" s="401"/>
      <c r="P34" s="401"/>
      <c r="Q34" s="400">
        <f t="shared" si="1"/>
        <v>108</v>
      </c>
      <c r="R34" s="402">
        <f t="shared" si="2"/>
        <v>108</v>
      </c>
      <c r="S34" s="450">
        <f>+'Custo do Insumo'!R38</f>
        <v>0</v>
      </c>
      <c r="T34" s="452">
        <f t="shared" si="5"/>
        <v>0</v>
      </c>
      <c r="U34" s="403">
        <f t="shared" si="4"/>
        <v>0</v>
      </c>
      <c r="V34" s="403">
        <f t="shared" si="4"/>
        <v>0</v>
      </c>
      <c r="W34" s="403">
        <f t="shared" si="4"/>
        <v>0</v>
      </c>
      <c r="X34" s="403">
        <f t="shared" si="4"/>
        <v>0</v>
      </c>
      <c r="Y34" s="403">
        <f t="shared" si="4"/>
        <v>0</v>
      </c>
      <c r="Z34" s="403">
        <f t="shared" si="4"/>
        <v>0</v>
      </c>
      <c r="AA34" s="403">
        <f t="shared" si="4"/>
        <v>0</v>
      </c>
      <c r="AB34" s="403">
        <f t="shared" si="4"/>
        <v>0</v>
      </c>
      <c r="AC34" s="403">
        <f t="shared" si="4"/>
        <v>0</v>
      </c>
      <c r="AD34" s="403">
        <f t="shared" si="4"/>
        <v>0</v>
      </c>
      <c r="AE34" s="404">
        <f t="shared" si="4"/>
        <v>0</v>
      </c>
    </row>
    <row r="35" spans="1:31" ht="12" customHeight="1">
      <c r="A35" s="863"/>
      <c r="B35" s="434" t="str">
        <f>+'Custo do Insumo'!B39</f>
        <v>Óculos de Segurança - arco plastico</v>
      </c>
      <c r="C35" s="399" t="str">
        <f>+'Custo do Insumo'!C39</f>
        <v>UND.</v>
      </c>
      <c r="D35" s="435">
        <f>+'Custo do Insumo'!D39</f>
        <v>30</v>
      </c>
      <c r="E35" s="455"/>
      <c r="F35" s="401"/>
      <c r="G35" s="401"/>
      <c r="H35" s="401"/>
      <c r="I35" s="401"/>
      <c r="J35" s="401"/>
      <c r="K35" s="401"/>
      <c r="L35" s="401"/>
      <c r="M35" s="401"/>
      <c r="N35" s="401"/>
      <c r="O35" s="401"/>
      <c r="P35" s="401"/>
      <c r="Q35" s="400">
        <f t="shared" si="1"/>
        <v>360</v>
      </c>
      <c r="R35" s="402">
        <f t="shared" si="2"/>
        <v>360</v>
      </c>
      <c r="S35" s="450">
        <f>+'Custo do Insumo'!R39</f>
        <v>0</v>
      </c>
      <c r="T35" s="452">
        <f t="shared" si="5"/>
        <v>0</v>
      </c>
      <c r="U35" s="403">
        <f t="shared" si="4"/>
        <v>0</v>
      </c>
      <c r="V35" s="403">
        <f t="shared" si="4"/>
        <v>0</v>
      </c>
      <c r="W35" s="403">
        <f t="shared" si="4"/>
        <v>0</v>
      </c>
      <c r="X35" s="403">
        <f t="shared" si="4"/>
        <v>0</v>
      </c>
      <c r="Y35" s="403">
        <f t="shared" si="4"/>
        <v>0</v>
      </c>
      <c r="Z35" s="403">
        <f t="shared" si="4"/>
        <v>0</v>
      </c>
      <c r="AA35" s="403">
        <f t="shared" si="4"/>
        <v>0</v>
      </c>
      <c r="AB35" s="403">
        <f t="shared" si="4"/>
        <v>0</v>
      </c>
      <c r="AC35" s="403">
        <f t="shared" si="4"/>
        <v>0</v>
      </c>
      <c r="AD35" s="403">
        <f t="shared" si="4"/>
        <v>0</v>
      </c>
      <c r="AE35" s="404">
        <f t="shared" si="4"/>
        <v>0</v>
      </c>
    </row>
    <row r="36" spans="1:31" ht="12" customHeight="1">
      <c r="A36" s="863"/>
      <c r="B36" s="434" t="str">
        <f>+'Custo do Insumo'!B40</f>
        <v>Avental de Vinil de Alta resistencia</v>
      </c>
      <c r="C36" s="399" t="str">
        <f>+'Custo do Insumo'!C40</f>
        <v>UND.</v>
      </c>
      <c r="D36" s="435">
        <f>+'Custo do Insumo'!D40</f>
        <v>9</v>
      </c>
      <c r="E36" s="455"/>
      <c r="F36" s="401"/>
      <c r="G36" s="401"/>
      <c r="H36" s="401"/>
      <c r="I36" s="401"/>
      <c r="J36" s="401"/>
      <c r="K36" s="401"/>
      <c r="L36" s="401"/>
      <c r="M36" s="401"/>
      <c r="N36" s="401"/>
      <c r="O36" s="401"/>
      <c r="P36" s="401"/>
      <c r="Q36" s="400">
        <f t="shared" si="1"/>
        <v>108</v>
      </c>
      <c r="R36" s="402">
        <f t="shared" si="2"/>
        <v>108</v>
      </c>
      <c r="S36" s="450">
        <f>+'Custo do Insumo'!R40</f>
        <v>0</v>
      </c>
      <c r="T36" s="452">
        <f t="shared" si="5"/>
        <v>0</v>
      </c>
      <c r="U36" s="403">
        <f t="shared" si="4"/>
        <v>0</v>
      </c>
      <c r="V36" s="403">
        <f t="shared" si="4"/>
        <v>0</v>
      </c>
      <c r="W36" s="403">
        <f t="shared" si="4"/>
        <v>0</v>
      </c>
      <c r="X36" s="403">
        <f t="shared" si="4"/>
        <v>0</v>
      </c>
      <c r="Y36" s="403">
        <f t="shared" si="4"/>
        <v>0</v>
      </c>
      <c r="Z36" s="403">
        <f t="shared" si="4"/>
        <v>0</v>
      </c>
      <c r="AA36" s="403">
        <f t="shared" si="4"/>
        <v>0</v>
      </c>
      <c r="AB36" s="403">
        <f t="shared" si="4"/>
        <v>0</v>
      </c>
      <c r="AC36" s="403">
        <f t="shared" si="4"/>
        <v>0</v>
      </c>
      <c r="AD36" s="403">
        <f t="shared" si="4"/>
        <v>0</v>
      </c>
      <c r="AE36" s="404">
        <f t="shared" si="4"/>
        <v>0</v>
      </c>
    </row>
    <row r="37" spans="1:31" ht="12" customHeight="1">
      <c r="A37" s="863"/>
      <c r="B37" s="434" t="str">
        <f>+'Custo do Insumo'!B41</f>
        <v xml:space="preserve">Avental descartável </v>
      </c>
      <c r="C37" s="399" t="str">
        <f>+'Custo do Insumo'!C41</f>
        <v>UND.</v>
      </c>
      <c r="D37" s="435">
        <f>+'Custo do Insumo'!D41</f>
        <v>1500</v>
      </c>
      <c r="E37" s="455"/>
      <c r="F37" s="401"/>
      <c r="G37" s="401"/>
      <c r="H37" s="401"/>
      <c r="I37" s="401"/>
      <c r="J37" s="401"/>
      <c r="K37" s="401"/>
      <c r="L37" s="401"/>
      <c r="M37" s="401"/>
      <c r="N37" s="401"/>
      <c r="O37" s="401"/>
      <c r="P37" s="401"/>
      <c r="Q37" s="400">
        <f t="shared" si="1"/>
        <v>18000</v>
      </c>
      <c r="R37" s="402">
        <f t="shared" si="2"/>
        <v>18000</v>
      </c>
      <c r="S37" s="450">
        <f>+'Custo do Insumo'!R41</f>
        <v>0</v>
      </c>
      <c r="T37" s="452">
        <f t="shared" si="5"/>
        <v>0</v>
      </c>
      <c r="U37" s="403">
        <f t="shared" si="4"/>
        <v>0</v>
      </c>
      <c r="V37" s="403">
        <f t="shared" si="4"/>
        <v>0</v>
      </c>
      <c r="W37" s="403">
        <f t="shared" si="4"/>
        <v>0</v>
      </c>
      <c r="X37" s="403">
        <f t="shared" si="4"/>
        <v>0</v>
      </c>
      <c r="Y37" s="403">
        <f t="shared" si="4"/>
        <v>0</v>
      </c>
      <c r="Z37" s="403">
        <f t="shared" si="4"/>
        <v>0</v>
      </c>
      <c r="AA37" s="403">
        <f t="shared" si="4"/>
        <v>0</v>
      </c>
      <c r="AB37" s="403">
        <f t="shared" si="4"/>
        <v>0</v>
      </c>
      <c r="AC37" s="403">
        <f t="shared" si="4"/>
        <v>0</v>
      </c>
      <c r="AD37" s="403">
        <f t="shared" si="4"/>
        <v>0</v>
      </c>
      <c r="AE37" s="404">
        <f t="shared" si="4"/>
        <v>0</v>
      </c>
    </row>
    <row r="38" spans="1:31" ht="12" customHeight="1">
      <c r="A38" s="863"/>
      <c r="B38" s="434" t="str">
        <f>+'Custo do Insumo'!B42</f>
        <v>Máscara Descartável - N95</v>
      </c>
      <c r="C38" s="399" t="str">
        <f>+'Custo do Insumo'!C42</f>
        <v>UND.</v>
      </c>
      <c r="D38" s="435">
        <f>+'Custo do Insumo'!D42</f>
        <v>32</v>
      </c>
      <c r="E38" s="455"/>
      <c r="F38" s="401"/>
      <c r="G38" s="401"/>
      <c r="H38" s="401"/>
      <c r="I38" s="401"/>
      <c r="J38" s="401"/>
      <c r="K38" s="401"/>
      <c r="L38" s="401"/>
      <c r="M38" s="401"/>
      <c r="N38" s="401"/>
      <c r="O38" s="401"/>
      <c r="P38" s="401"/>
      <c r="Q38" s="400">
        <f t="shared" si="1"/>
        <v>384</v>
      </c>
      <c r="R38" s="402">
        <f t="shared" si="2"/>
        <v>384</v>
      </c>
      <c r="S38" s="450">
        <f>+'Custo do Insumo'!R42</f>
        <v>0</v>
      </c>
      <c r="T38" s="452">
        <f t="shared" si="5"/>
        <v>0</v>
      </c>
      <c r="U38" s="403">
        <f t="shared" si="4"/>
        <v>0</v>
      </c>
      <c r="V38" s="403">
        <f t="shared" si="4"/>
        <v>0</v>
      </c>
      <c r="W38" s="403">
        <f t="shared" si="4"/>
        <v>0</v>
      </c>
      <c r="X38" s="403">
        <f t="shared" si="4"/>
        <v>0</v>
      </c>
      <c r="Y38" s="403">
        <f t="shared" si="4"/>
        <v>0</v>
      </c>
      <c r="Z38" s="403">
        <f t="shared" si="4"/>
        <v>0</v>
      </c>
      <c r="AA38" s="403">
        <f t="shared" si="4"/>
        <v>0</v>
      </c>
      <c r="AB38" s="403">
        <f t="shared" si="4"/>
        <v>0</v>
      </c>
      <c r="AC38" s="403">
        <f t="shared" si="4"/>
        <v>0</v>
      </c>
      <c r="AD38" s="403">
        <f t="shared" si="4"/>
        <v>0</v>
      </c>
      <c r="AE38" s="404">
        <f t="shared" si="4"/>
        <v>0</v>
      </c>
    </row>
    <row r="39" spans="1:31" ht="12" customHeight="1">
      <c r="A39" s="863"/>
      <c r="B39" s="434" t="str">
        <f>+'Custo do Insumo'!B43</f>
        <v>Bota de Borracha - Cano longo - Cor Branca</v>
      </c>
      <c r="C39" s="399" t="str">
        <f>+'Custo do Insumo'!C43</f>
        <v>UND.</v>
      </c>
      <c r="D39" s="435">
        <f>+'Custo do Insumo'!D43</f>
        <v>9</v>
      </c>
      <c r="E39" s="455"/>
      <c r="F39" s="401"/>
      <c r="G39" s="401"/>
      <c r="H39" s="401"/>
      <c r="I39" s="401"/>
      <c r="J39" s="401"/>
      <c r="K39" s="401"/>
      <c r="L39" s="401"/>
      <c r="M39" s="401"/>
      <c r="N39" s="401"/>
      <c r="O39" s="401"/>
      <c r="P39" s="401"/>
      <c r="Q39" s="400">
        <f t="shared" si="1"/>
        <v>108</v>
      </c>
      <c r="R39" s="402">
        <f t="shared" si="2"/>
        <v>108</v>
      </c>
      <c r="S39" s="450">
        <f>+'Custo do Insumo'!R43</f>
        <v>0</v>
      </c>
      <c r="T39" s="452">
        <f t="shared" si="5"/>
        <v>0</v>
      </c>
      <c r="U39" s="403">
        <f t="shared" si="4"/>
        <v>0</v>
      </c>
      <c r="V39" s="403">
        <f t="shared" si="4"/>
        <v>0</v>
      </c>
      <c r="W39" s="403">
        <f t="shared" si="4"/>
        <v>0</v>
      </c>
      <c r="X39" s="403">
        <f t="shared" si="4"/>
        <v>0</v>
      </c>
      <c r="Y39" s="403">
        <f t="shared" si="4"/>
        <v>0</v>
      </c>
      <c r="Z39" s="403">
        <f t="shared" si="4"/>
        <v>0</v>
      </c>
      <c r="AA39" s="403">
        <f t="shared" si="4"/>
        <v>0</v>
      </c>
      <c r="AB39" s="403">
        <f t="shared" si="4"/>
        <v>0</v>
      </c>
      <c r="AC39" s="403">
        <f t="shared" si="4"/>
        <v>0</v>
      </c>
      <c r="AD39" s="403">
        <f t="shared" si="4"/>
        <v>0</v>
      </c>
      <c r="AE39" s="404">
        <f t="shared" si="4"/>
        <v>0</v>
      </c>
    </row>
    <row r="40" spans="1:31" ht="12" customHeight="1">
      <c r="A40" s="863"/>
      <c r="B40" s="434" t="str">
        <f>+'Custo do Insumo'!B44</f>
        <v>Máscara Descartável - CX. C/ 100 UND.</v>
      </c>
      <c r="C40" s="399" t="str">
        <f>+'Custo do Insumo'!C44</f>
        <v>CAIXA</v>
      </c>
      <c r="D40" s="435">
        <f>+'Custo do Insumo'!D44</f>
        <v>10</v>
      </c>
      <c r="E40" s="455"/>
      <c r="F40" s="401"/>
      <c r="G40" s="401"/>
      <c r="H40" s="401"/>
      <c r="I40" s="401"/>
      <c r="J40" s="401"/>
      <c r="K40" s="401"/>
      <c r="L40" s="401"/>
      <c r="M40" s="401"/>
      <c r="N40" s="401"/>
      <c r="O40" s="401"/>
      <c r="P40" s="401"/>
      <c r="Q40" s="400">
        <f t="shared" si="1"/>
        <v>120</v>
      </c>
      <c r="R40" s="402">
        <f t="shared" si="2"/>
        <v>120</v>
      </c>
      <c r="S40" s="450">
        <f>+'Custo do Insumo'!R44</f>
        <v>0</v>
      </c>
      <c r="T40" s="452">
        <f t="shared" si="5"/>
        <v>0</v>
      </c>
      <c r="U40" s="403">
        <f t="shared" si="4"/>
        <v>0</v>
      </c>
      <c r="V40" s="403">
        <f t="shared" si="4"/>
        <v>0</v>
      </c>
      <c r="W40" s="403">
        <f t="shared" si="4"/>
        <v>0</v>
      </c>
      <c r="X40" s="403">
        <f t="shared" si="4"/>
        <v>0</v>
      </c>
      <c r="Y40" s="403">
        <f t="shared" si="4"/>
        <v>0</v>
      </c>
      <c r="Z40" s="403">
        <f t="shared" si="4"/>
        <v>0</v>
      </c>
      <c r="AA40" s="403">
        <f t="shared" si="4"/>
        <v>0</v>
      </c>
      <c r="AB40" s="403">
        <f t="shared" si="4"/>
        <v>0</v>
      </c>
      <c r="AC40" s="403">
        <f t="shared" si="4"/>
        <v>0</v>
      </c>
      <c r="AD40" s="403">
        <f t="shared" si="4"/>
        <v>0</v>
      </c>
      <c r="AE40" s="404">
        <f t="shared" si="4"/>
        <v>0</v>
      </c>
    </row>
    <row r="41" spans="1:31" ht="12" customHeight="1">
      <c r="A41" s="863"/>
      <c r="B41" s="434" t="str">
        <f>+'Custo do Insumo'!B45</f>
        <v>Limpador instantâneo multiuso concentrado  características: líquido, composto de linear alquil benzeno sulfonato de sódio, alcalinizante, tensoativo não iônico, sequestrante, solubilizante, éter glicólico, álcool, perfume e água. Bombona com 05 litros</v>
      </c>
      <c r="C41" s="399" t="str">
        <f>+'Custo do Insumo'!C45</f>
        <v>BOMBONA</v>
      </c>
      <c r="D41" s="435">
        <f>+'Custo do Insumo'!D45</f>
        <v>40</v>
      </c>
      <c r="E41" s="455"/>
      <c r="F41" s="401"/>
      <c r="G41" s="401"/>
      <c r="H41" s="401"/>
      <c r="I41" s="401"/>
      <c r="J41" s="401"/>
      <c r="K41" s="401"/>
      <c r="L41" s="401"/>
      <c r="M41" s="401"/>
      <c r="N41" s="401"/>
      <c r="O41" s="401"/>
      <c r="P41" s="401"/>
      <c r="Q41" s="400">
        <f t="shared" si="1"/>
        <v>480</v>
      </c>
      <c r="R41" s="402">
        <f t="shared" si="2"/>
        <v>480</v>
      </c>
      <c r="S41" s="450">
        <f>+'Custo do Insumo'!R45</f>
        <v>0</v>
      </c>
      <c r="T41" s="452">
        <f t="shared" si="5"/>
        <v>0</v>
      </c>
      <c r="U41" s="403">
        <f t="shared" si="4"/>
        <v>0</v>
      </c>
      <c r="V41" s="403">
        <f t="shared" si="4"/>
        <v>0</v>
      </c>
      <c r="W41" s="403">
        <f t="shared" si="4"/>
        <v>0</v>
      </c>
      <c r="X41" s="403">
        <f t="shared" si="4"/>
        <v>0</v>
      </c>
      <c r="Y41" s="403">
        <f t="shared" si="4"/>
        <v>0</v>
      </c>
      <c r="Z41" s="403">
        <f t="shared" si="4"/>
        <v>0</v>
      </c>
      <c r="AA41" s="403">
        <f t="shared" si="4"/>
        <v>0</v>
      </c>
      <c r="AB41" s="403">
        <f t="shared" si="4"/>
        <v>0</v>
      </c>
      <c r="AC41" s="403">
        <f t="shared" si="4"/>
        <v>0</v>
      </c>
      <c r="AD41" s="403">
        <f t="shared" si="4"/>
        <v>0</v>
      </c>
      <c r="AE41" s="404">
        <f t="shared" si="4"/>
        <v>0</v>
      </c>
    </row>
    <row r="42" spans="1:31" ht="12" customHeight="1">
      <c r="A42" s="863"/>
      <c r="B42" s="434" t="str">
        <f>+'Custo do Insumo'!B46</f>
        <v>Pá de Lixo c/ Cabo cata cata</v>
      </c>
      <c r="C42" s="399" t="str">
        <f>+'Custo do Insumo'!C46</f>
        <v>UND.</v>
      </c>
      <c r="D42" s="435">
        <f>+'Custo do Insumo'!D46</f>
        <v>100</v>
      </c>
      <c r="E42" s="455"/>
      <c r="F42" s="401"/>
      <c r="G42" s="401"/>
      <c r="H42" s="401"/>
      <c r="I42" s="401"/>
      <c r="J42" s="401"/>
      <c r="K42" s="401"/>
      <c r="L42" s="401"/>
      <c r="M42" s="401"/>
      <c r="N42" s="401"/>
      <c r="O42" s="401"/>
      <c r="P42" s="401"/>
      <c r="Q42" s="400">
        <f t="shared" si="1"/>
        <v>1200</v>
      </c>
      <c r="R42" s="402">
        <f t="shared" si="2"/>
        <v>1200</v>
      </c>
      <c r="S42" s="450">
        <f>+'Custo do Insumo'!R46</f>
        <v>0</v>
      </c>
      <c r="T42" s="452">
        <f t="shared" si="5"/>
        <v>0</v>
      </c>
      <c r="U42" s="403">
        <f t="shared" si="4"/>
        <v>0</v>
      </c>
      <c r="V42" s="403">
        <f t="shared" si="4"/>
        <v>0</v>
      </c>
      <c r="W42" s="403">
        <f t="shared" si="4"/>
        <v>0</v>
      </c>
      <c r="X42" s="403">
        <f t="shared" si="4"/>
        <v>0</v>
      </c>
      <c r="Y42" s="403">
        <f t="shared" si="4"/>
        <v>0</v>
      </c>
      <c r="Z42" s="403">
        <f t="shared" si="4"/>
        <v>0</v>
      </c>
      <c r="AA42" s="403">
        <f t="shared" si="4"/>
        <v>0</v>
      </c>
      <c r="AB42" s="403">
        <f t="shared" si="4"/>
        <v>0</v>
      </c>
      <c r="AC42" s="403">
        <f t="shared" si="4"/>
        <v>0</v>
      </c>
      <c r="AD42" s="403">
        <f t="shared" si="4"/>
        <v>0</v>
      </c>
      <c r="AE42" s="404">
        <f t="shared" si="4"/>
        <v>0</v>
      </c>
    </row>
    <row r="43" spans="1:31" ht="12" customHeight="1">
      <c r="A43" s="863"/>
      <c r="B43" s="434" t="str">
        <f>+'Custo do Insumo'!B47</f>
        <v>Pedra Sanitária</v>
      </c>
      <c r="C43" s="399" t="str">
        <f>+'Custo do Insumo'!C47</f>
        <v>UND.</v>
      </c>
      <c r="D43" s="435">
        <f>+'Custo do Insumo'!D47</f>
        <v>200</v>
      </c>
      <c r="E43" s="455"/>
      <c r="F43" s="401"/>
      <c r="G43" s="401"/>
      <c r="H43" s="401"/>
      <c r="I43" s="401"/>
      <c r="J43" s="401"/>
      <c r="K43" s="401"/>
      <c r="L43" s="401"/>
      <c r="M43" s="401"/>
      <c r="N43" s="401"/>
      <c r="O43" s="401"/>
      <c r="P43" s="401"/>
      <c r="Q43" s="400">
        <f t="shared" si="1"/>
        <v>2400</v>
      </c>
      <c r="R43" s="402">
        <f t="shared" si="2"/>
        <v>2400</v>
      </c>
      <c r="S43" s="450">
        <f>+'Custo do Insumo'!R47</f>
        <v>0</v>
      </c>
      <c r="T43" s="452">
        <f t="shared" si="5"/>
        <v>0</v>
      </c>
      <c r="U43" s="403">
        <f t="shared" si="4"/>
        <v>0</v>
      </c>
      <c r="V43" s="403">
        <f t="shared" si="4"/>
        <v>0</v>
      </c>
      <c r="W43" s="403">
        <f t="shared" si="4"/>
        <v>0</v>
      </c>
      <c r="X43" s="403">
        <f t="shared" si="4"/>
        <v>0</v>
      </c>
      <c r="Y43" s="403">
        <f t="shared" si="4"/>
        <v>0</v>
      </c>
      <c r="Z43" s="403">
        <f t="shared" si="4"/>
        <v>0</v>
      </c>
      <c r="AA43" s="403">
        <f t="shared" si="4"/>
        <v>0</v>
      </c>
      <c r="AB43" s="403">
        <f t="shared" si="4"/>
        <v>0</v>
      </c>
      <c r="AC43" s="403">
        <f t="shared" si="4"/>
        <v>0</v>
      </c>
      <c r="AD43" s="403">
        <f t="shared" si="4"/>
        <v>0</v>
      </c>
      <c r="AE43" s="404">
        <f t="shared" si="4"/>
        <v>0</v>
      </c>
    </row>
    <row r="44" spans="1:31" ht="12" customHeight="1">
      <c r="A44" s="863"/>
      <c r="B44" s="434" t="str">
        <f>+'Custo do Insumo'!B48</f>
        <v>Polidor de metal 200 ML</v>
      </c>
      <c r="C44" s="399" t="str">
        <f>+'Custo do Insumo'!C48</f>
        <v>UND.</v>
      </c>
      <c r="D44" s="435">
        <f>+'Custo do Insumo'!D48</f>
        <v>18</v>
      </c>
      <c r="E44" s="455"/>
      <c r="F44" s="401"/>
      <c r="G44" s="401"/>
      <c r="H44" s="401"/>
      <c r="I44" s="401"/>
      <c r="J44" s="401"/>
      <c r="K44" s="401"/>
      <c r="L44" s="401"/>
      <c r="M44" s="401"/>
      <c r="N44" s="401"/>
      <c r="O44" s="401"/>
      <c r="P44" s="401"/>
      <c r="Q44" s="400">
        <f t="shared" si="1"/>
        <v>216</v>
      </c>
      <c r="R44" s="402">
        <f t="shared" si="2"/>
        <v>216</v>
      </c>
      <c r="S44" s="450">
        <f>+'Custo do Insumo'!R48</f>
        <v>0</v>
      </c>
      <c r="T44" s="452">
        <f t="shared" si="5"/>
        <v>0</v>
      </c>
      <c r="U44" s="403">
        <f t="shared" si="4"/>
        <v>0</v>
      </c>
      <c r="V44" s="403">
        <f t="shared" si="4"/>
        <v>0</v>
      </c>
      <c r="W44" s="403">
        <f t="shared" si="4"/>
        <v>0</v>
      </c>
      <c r="X44" s="403">
        <f t="shared" si="4"/>
        <v>0</v>
      </c>
      <c r="Y44" s="403">
        <f t="shared" si="4"/>
        <v>0</v>
      </c>
      <c r="Z44" s="403">
        <f t="shared" si="4"/>
        <v>0</v>
      </c>
      <c r="AA44" s="403">
        <f t="shared" si="4"/>
        <v>0</v>
      </c>
      <c r="AB44" s="403">
        <f t="shared" si="4"/>
        <v>0</v>
      </c>
      <c r="AC44" s="403">
        <f t="shared" si="4"/>
        <v>0</v>
      </c>
      <c r="AD44" s="403">
        <f t="shared" si="4"/>
        <v>0</v>
      </c>
      <c r="AE44" s="404">
        <f t="shared" si="4"/>
        <v>0</v>
      </c>
    </row>
    <row r="45" spans="1:31" ht="12" customHeight="1">
      <c r="A45" s="863"/>
      <c r="B45" s="434" t="str">
        <f>+'Custo do Insumo'!B49</f>
        <v>Pulverizador Plástico</v>
      </c>
      <c r="C45" s="399" t="str">
        <f>+'Custo do Insumo'!C49</f>
        <v>UND.</v>
      </c>
      <c r="D45" s="435">
        <f>+'Custo do Insumo'!D49</f>
        <v>60</v>
      </c>
      <c r="E45" s="455"/>
      <c r="F45" s="401"/>
      <c r="G45" s="401"/>
      <c r="H45" s="401"/>
      <c r="I45" s="401"/>
      <c r="J45" s="401"/>
      <c r="K45" s="401"/>
      <c r="L45" s="401"/>
      <c r="M45" s="401"/>
      <c r="N45" s="401"/>
      <c r="O45" s="401"/>
      <c r="P45" s="401"/>
      <c r="Q45" s="400">
        <f t="shared" si="1"/>
        <v>720</v>
      </c>
      <c r="R45" s="402">
        <f t="shared" si="2"/>
        <v>720</v>
      </c>
      <c r="S45" s="450">
        <f>+'Custo do Insumo'!R49</f>
        <v>0</v>
      </c>
      <c r="T45" s="452">
        <f t="shared" si="5"/>
        <v>0</v>
      </c>
      <c r="U45" s="403">
        <f t="shared" si="4"/>
        <v>0</v>
      </c>
      <c r="V45" s="403">
        <f t="shared" si="4"/>
        <v>0</v>
      </c>
      <c r="W45" s="403">
        <f t="shared" si="4"/>
        <v>0</v>
      </c>
      <c r="X45" s="403">
        <f t="shared" si="4"/>
        <v>0</v>
      </c>
      <c r="Y45" s="403">
        <f t="shared" si="4"/>
        <v>0</v>
      </c>
      <c r="Z45" s="403">
        <f t="shared" si="4"/>
        <v>0</v>
      </c>
      <c r="AA45" s="403">
        <f t="shared" si="4"/>
        <v>0</v>
      </c>
      <c r="AB45" s="403">
        <f t="shared" si="4"/>
        <v>0</v>
      </c>
      <c r="AC45" s="403">
        <f t="shared" si="4"/>
        <v>0</v>
      </c>
      <c r="AD45" s="403">
        <f t="shared" si="4"/>
        <v>0</v>
      </c>
      <c r="AE45" s="404">
        <f t="shared" si="4"/>
        <v>0</v>
      </c>
    </row>
    <row r="46" spans="1:31" ht="12" customHeight="1">
      <c r="A46" s="863"/>
      <c r="B46" s="434" t="str">
        <f>+'Custo do Insumo'!B50</f>
        <v>Removedor  de Cera - 5 LITROS</v>
      </c>
      <c r="C46" s="399" t="str">
        <f>+'Custo do Insumo'!C50</f>
        <v>BOMBONA</v>
      </c>
      <c r="D46" s="435">
        <f>+'Custo do Insumo'!D50</f>
        <v>60</v>
      </c>
      <c r="E46" s="455"/>
      <c r="F46" s="401"/>
      <c r="G46" s="401"/>
      <c r="H46" s="401"/>
      <c r="I46" s="401"/>
      <c r="J46" s="401"/>
      <c r="K46" s="401"/>
      <c r="L46" s="401"/>
      <c r="M46" s="401"/>
      <c r="N46" s="401"/>
      <c r="O46" s="401"/>
      <c r="P46" s="401"/>
      <c r="Q46" s="400">
        <f t="shared" si="1"/>
        <v>720</v>
      </c>
      <c r="R46" s="402">
        <f t="shared" si="2"/>
        <v>720</v>
      </c>
      <c r="S46" s="450">
        <f>+'Custo do Insumo'!R50</f>
        <v>0</v>
      </c>
      <c r="T46" s="452">
        <f t="shared" si="5"/>
        <v>0</v>
      </c>
      <c r="U46" s="403">
        <f t="shared" si="4"/>
        <v>0</v>
      </c>
      <c r="V46" s="403">
        <f t="shared" si="4"/>
        <v>0</v>
      </c>
      <c r="W46" s="403">
        <f t="shared" si="4"/>
        <v>0</v>
      </c>
      <c r="X46" s="403">
        <f t="shared" si="4"/>
        <v>0</v>
      </c>
      <c r="Y46" s="403">
        <f t="shared" si="4"/>
        <v>0</v>
      </c>
      <c r="Z46" s="403">
        <f t="shared" si="4"/>
        <v>0</v>
      </c>
      <c r="AA46" s="403">
        <f t="shared" si="4"/>
        <v>0</v>
      </c>
      <c r="AB46" s="403">
        <f t="shared" si="4"/>
        <v>0</v>
      </c>
      <c r="AC46" s="403">
        <f t="shared" si="4"/>
        <v>0</v>
      </c>
      <c r="AD46" s="403">
        <f t="shared" si="4"/>
        <v>0</v>
      </c>
      <c r="AE46" s="404">
        <f t="shared" si="4"/>
        <v>0</v>
      </c>
    </row>
    <row r="47" spans="1:31" ht="12" customHeight="1">
      <c r="A47" s="863"/>
      <c r="B47" s="434" t="str">
        <f>+'Custo do Insumo'!B51</f>
        <v>Rodo Plástico 40 CM</v>
      </c>
      <c r="C47" s="399" t="str">
        <f>+'Custo do Insumo'!C51</f>
        <v>UND.</v>
      </c>
      <c r="D47" s="435">
        <f>+'Custo do Insumo'!D51</f>
        <v>60</v>
      </c>
      <c r="E47" s="455"/>
      <c r="F47" s="401"/>
      <c r="G47" s="401"/>
      <c r="H47" s="401"/>
      <c r="I47" s="401"/>
      <c r="J47" s="401"/>
      <c r="K47" s="401"/>
      <c r="L47" s="401"/>
      <c r="M47" s="401"/>
      <c r="N47" s="401"/>
      <c r="O47" s="401"/>
      <c r="P47" s="401"/>
      <c r="Q47" s="400">
        <f t="shared" si="1"/>
        <v>720</v>
      </c>
      <c r="R47" s="402">
        <f t="shared" si="2"/>
        <v>720</v>
      </c>
      <c r="S47" s="450">
        <f>+'Custo do Insumo'!R51</f>
        <v>0</v>
      </c>
      <c r="T47" s="452">
        <f t="shared" ref="T47:T62" si="6">+E47*$S47</f>
        <v>0</v>
      </c>
      <c r="U47" s="403">
        <f t="shared" si="0"/>
        <v>0</v>
      </c>
      <c r="V47" s="403">
        <f t="shared" si="0"/>
        <v>0</v>
      </c>
      <c r="W47" s="403">
        <f t="shared" si="0"/>
        <v>0</v>
      </c>
      <c r="X47" s="403">
        <f t="shared" si="0"/>
        <v>0</v>
      </c>
      <c r="Y47" s="403">
        <f t="shared" si="0"/>
        <v>0</v>
      </c>
      <c r="Z47" s="403">
        <f t="shared" si="0"/>
        <v>0</v>
      </c>
      <c r="AA47" s="403">
        <f t="shared" si="0"/>
        <v>0</v>
      </c>
      <c r="AB47" s="403">
        <f t="shared" si="0"/>
        <v>0</v>
      </c>
      <c r="AC47" s="403">
        <f t="shared" si="0"/>
        <v>0</v>
      </c>
      <c r="AD47" s="403">
        <f t="shared" si="0"/>
        <v>0</v>
      </c>
      <c r="AE47" s="404">
        <f t="shared" si="0"/>
        <v>0</v>
      </c>
    </row>
    <row r="48" spans="1:31" ht="12" customHeight="1">
      <c r="A48" s="863"/>
      <c r="B48" s="434" t="str">
        <f>+'Custo do Insumo'!B52</f>
        <v>Rodo Plástico 60 CM</v>
      </c>
      <c r="C48" s="399" t="str">
        <f>+'Custo do Insumo'!C52</f>
        <v>UND.</v>
      </c>
      <c r="D48" s="435">
        <f>+'Custo do Insumo'!D52</f>
        <v>60</v>
      </c>
      <c r="E48" s="455"/>
      <c r="F48" s="401"/>
      <c r="G48" s="401"/>
      <c r="H48" s="401"/>
      <c r="I48" s="401"/>
      <c r="J48" s="401"/>
      <c r="K48" s="401"/>
      <c r="L48" s="401"/>
      <c r="M48" s="401"/>
      <c r="N48" s="401"/>
      <c r="O48" s="401"/>
      <c r="P48" s="401"/>
      <c r="Q48" s="400">
        <f t="shared" si="1"/>
        <v>720</v>
      </c>
      <c r="R48" s="402">
        <f t="shared" si="2"/>
        <v>720</v>
      </c>
      <c r="S48" s="450">
        <f>+'Custo do Insumo'!R52</f>
        <v>0</v>
      </c>
      <c r="T48" s="452">
        <f t="shared" si="6"/>
        <v>0</v>
      </c>
      <c r="U48" s="403">
        <f t="shared" si="0"/>
        <v>0</v>
      </c>
      <c r="V48" s="403">
        <f t="shared" si="0"/>
        <v>0</v>
      </c>
      <c r="W48" s="403">
        <f t="shared" si="0"/>
        <v>0</v>
      </c>
      <c r="X48" s="403">
        <f t="shared" si="0"/>
        <v>0</v>
      </c>
      <c r="Y48" s="403">
        <f t="shared" si="0"/>
        <v>0</v>
      </c>
      <c r="Z48" s="403">
        <f t="shared" si="0"/>
        <v>0</v>
      </c>
      <c r="AA48" s="403">
        <f t="shared" si="0"/>
        <v>0</v>
      </c>
      <c r="AB48" s="403">
        <f t="shared" si="0"/>
        <v>0</v>
      </c>
      <c r="AC48" s="403">
        <f t="shared" si="0"/>
        <v>0</v>
      </c>
      <c r="AD48" s="403">
        <f t="shared" si="0"/>
        <v>0</v>
      </c>
      <c r="AE48" s="404">
        <f t="shared" si="0"/>
        <v>0</v>
      </c>
    </row>
    <row r="49" spans="1:32" ht="12" customHeight="1">
      <c r="A49" s="863"/>
      <c r="B49" s="434" t="str">
        <f>+'Custo do Insumo'!B53</f>
        <v>Rodo Limpa Vidro com haste telescópica Bettanin Lava e Seca ou Similar</v>
      </c>
      <c r="C49" s="399" t="str">
        <f>+'Custo do Insumo'!C53</f>
        <v>UND</v>
      </c>
      <c r="D49" s="435">
        <f>+'Custo do Insumo'!D53</f>
        <v>15</v>
      </c>
      <c r="E49" s="455"/>
      <c r="F49" s="401"/>
      <c r="G49" s="401"/>
      <c r="H49" s="401"/>
      <c r="I49" s="401"/>
      <c r="J49" s="401"/>
      <c r="K49" s="401"/>
      <c r="L49" s="401"/>
      <c r="M49" s="401"/>
      <c r="N49" s="401"/>
      <c r="O49" s="401"/>
      <c r="P49" s="401"/>
      <c r="Q49" s="400">
        <f t="shared" si="1"/>
        <v>180</v>
      </c>
      <c r="R49" s="402">
        <f t="shared" si="2"/>
        <v>180</v>
      </c>
      <c r="S49" s="450">
        <f>+'Custo do Insumo'!R53</f>
        <v>0</v>
      </c>
      <c r="T49" s="452">
        <f t="shared" si="6"/>
        <v>0</v>
      </c>
      <c r="U49" s="403">
        <f t="shared" si="0"/>
        <v>0</v>
      </c>
      <c r="V49" s="403">
        <f t="shared" si="0"/>
        <v>0</v>
      </c>
      <c r="W49" s="403">
        <f t="shared" si="0"/>
        <v>0</v>
      </c>
      <c r="X49" s="403">
        <f t="shared" si="0"/>
        <v>0</v>
      </c>
      <c r="Y49" s="403">
        <f t="shared" si="0"/>
        <v>0</v>
      </c>
      <c r="Z49" s="403">
        <f t="shared" si="0"/>
        <v>0</v>
      </c>
      <c r="AA49" s="403">
        <f t="shared" si="0"/>
        <v>0</v>
      </c>
      <c r="AB49" s="403">
        <f t="shared" si="0"/>
        <v>0</v>
      </c>
      <c r="AC49" s="403">
        <f t="shared" si="0"/>
        <v>0</v>
      </c>
      <c r="AD49" s="403">
        <f t="shared" si="0"/>
        <v>0</v>
      </c>
      <c r="AE49" s="404">
        <f t="shared" si="0"/>
        <v>0</v>
      </c>
    </row>
    <row r="50" spans="1:32" ht="12" customHeight="1">
      <c r="A50" s="863"/>
      <c r="B50" s="434" t="str">
        <f>+'Custo do Insumo'!B54</f>
        <v>Sabonete Líquido, Aspecto Físico Líquido Viscoso, Cor Branca, Sem associação de anti-séptico odor  floral, acidez 6,5, aplicação  saboneteira para sabonetes líquidos, características adicionais com  creme hidratante/refil, composição cocoamidopropil betaína, propilenoglicol, diestear, densidade 1,015, aroma  suave. Adicionais: apresentação em refil.</v>
      </c>
      <c r="C50" s="399" t="str">
        <f>+'Custo do Insumo'!C54</f>
        <v>REFIL</v>
      </c>
      <c r="D50" s="435">
        <f>+'Custo do Insumo'!D54</f>
        <v>800</v>
      </c>
      <c r="E50" s="455"/>
      <c r="F50" s="401"/>
      <c r="G50" s="401"/>
      <c r="H50" s="401"/>
      <c r="I50" s="401"/>
      <c r="J50" s="401"/>
      <c r="K50" s="401"/>
      <c r="L50" s="401"/>
      <c r="M50" s="401"/>
      <c r="N50" s="401"/>
      <c r="O50" s="401"/>
      <c r="P50" s="401"/>
      <c r="Q50" s="400">
        <f t="shared" si="1"/>
        <v>9600</v>
      </c>
      <c r="R50" s="402">
        <f t="shared" si="2"/>
        <v>9600</v>
      </c>
      <c r="S50" s="450">
        <f>+'Custo do Insumo'!R54</f>
        <v>0</v>
      </c>
      <c r="T50" s="452">
        <f t="shared" si="6"/>
        <v>0</v>
      </c>
      <c r="U50" s="403">
        <f t="shared" si="0"/>
        <v>0</v>
      </c>
      <c r="V50" s="403">
        <f t="shared" si="0"/>
        <v>0</v>
      </c>
      <c r="W50" s="403">
        <f t="shared" si="0"/>
        <v>0</v>
      </c>
      <c r="X50" s="403">
        <f t="shared" si="0"/>
        <v>0</v>
      </c>
      <c r="Y50" s="403">
        <f t="shared" si="0"/>
        <v>0</v>
      </c>
      <c r="Z50" s="403">
        <f t="shared" si="0"/>
        <v>0</v>
      </c>
      <c r="AA50" s="403">
        <f t="shared" si="0"/>
        <v>0</v>
      </c>
      <c r="AB50" s="403">
        <f t="shared" si="0"/>
        <v>0</v>
      </c>
      <c r="AC50" s="403">
        <f t="shared" si="0"/>
        <v>0</v>
      </c>
      <c r="AD50" s="403">
        <f t="shared" si="0"/>
        <v>0</v>
      </c>
      <c r="AE50" s="404">
        <f t="shared" si="0"/>
        <v>0</v>
      </c>
    </row>
    <row r="51" spans="1:32" ht="12" customHeight="1">
      <c r="A51" s="863"/>
      <c r="B51" s="434" t="str">
        <f>+'Custo do Insumo'!B55</f>
        <v>Sabonete Líquido Concentrado neutro- 5 LITROS</v>
      </c>
      <c r="C51" s="399" t="str">
        <f>+'Custo do Insumo'!C55</f>
        <v>BOMBONA</v>
      </c>
      <c r="D51" s="435">
        <f>+'Custo do Insumo'!D55</f>
        <v>20</v>
      </c>
      <c r="E51" s="455"/>
      <c r="F51" s="401"/>
      <c r="G51" s="401"/>
      <c r="H51" s="401"/>
      <c r="I51" s="401"/>
      <c r="J51" s="401"/>
      <c r="K51" s="401"/>
      <c r="L51" s="401"/>
      <c r="M51" s="401"/>
      <c r="N51" s="401"/>
      <c r="O51" s="401"/>
      <c r="P51" s="401"/>
      <c r="Q51" s="400">
        <f t="shared" si="1"/>
        <v>240</v>
      </c>
      <c r="R51" s="402">
        <f t="shared" si="2"/>
        <v>240</v>
      </c>
      <c r="S51" s="450">
        <f>+'Custo do Insumo'!R55</f>
        <v>0</v>
      </c>
      <c r="T51" s="452">
        <f t="shared" si="6"/>
        <v>0</v>
      </c>
      <c r="U51" s="403">
        <f t="shared" si="0"/>
        <v>0</v>
      </c>
      <c r="V51" s="403">
        <f t="shared" si="0"/>
        <v>0</v>
      </c>
      <c r="W51" s="403">
        <f t="shared" si="0"/>
        <v>0</v>
      </c>
      <c r="X51" s="403">
        <f t="shared" si="0"/>
        <v>0</v>
      </c>
      <c r="Y51" s="403">
        <f t="shared" si="0"/>
        <v>0</v>
      </c>
      <c r="Z51" s="403">
        <f t="shared" si="0"/>
        <v>0</v>
      </c>
      <c r="AA51" s="403">
        <f t="shared" si="0"/>
        <v>0</v>
      </c>
      <c r="AB51" s="403">
        <f t="shared" si="0"/>
        <v>0</v>
      </c>
      <c r="AC51" s="403">
        <f t="shared" si="0"/>
        <v>0</v>
      </c>
      <c r="AD51" s="403">
        <f t="shared" si="0"/>
        <v>0</v>
      </c>
      <c r="AE51" s="404">
        <f t="shared" si="0"/>
        <v>0</v>
      </c>
    </row>
    <row r="52" spans="1:32" ht="12" customHeight="1">
      <c r="A52" s="863"/>
      <c r="B52" s="434" t="str">
        <f>+'Custo do Insumo'!B56</f>
        <v>Saco de Lixo Azul 60 Litros - PCT. c/ 100 UND.</v>
      </c>
      <c r="C52" s="399" t="str">
        <f>+'Custo do Insumo'!C56</f>
        <v>PCT.</v>
      </c>
      <c r="D52" s="435">
        <f>+'Custo do Insumo'!D56</f>
        <v>200</v>
      </c>
      <c r="E52" s="455"/>
      <c r="F52" s="401"/>
      <c r="G52" s="401"/>
      <c r="H52" s="401"/>
      <c r="I52" s="401"/>
      <c r="J52" s="401"/>
      <c r="K52" s="401"/>
      <c r="L52" s="401"/>
      <c r="M52" s="401"/>
      <c r="N52" s="401"/>
      <c r="O52" s="401"/>
      <c r="P52" s="401"/>
      <c r="Q52" s="400">
        <f t="shared" si="1"/>
        <v>2400</v>
      </c>
      <c r="R52" s="402">
        <f t="shared" si="2"/>
        <v>2400</v>
      </c>
      <c r="S52" s="450">
        <f>+'Custo do Insumo'!R56</f>
        <v>0</v>
      </c>
      <c r="T52" s="452">
        <f t="shared" si="6"/>
        <v>0</v>
      </c>
      <c r="U52" s="403">
        <f t="shared" si="0"/>
        <v>0</v>
      </c>
      <c r="V52" s="403">
        <f t="shared" si="0"/>
        <v>0</v>
      </c>
      <c r="W52" s="403">
        <f t="shared" si="0"/>
        <v>0</v>
      </c>
      <c r="X52" s="403">
        <f t="shared" si="0"/>
        <v>0</v>
      </c>
      <c r="Y52" s="403">
        <f t="shared" si="0"/>
        <v>0</v>
      </c>
      <c r="Z52" s="403">
        <f t="shared" si="0"/>
        <v>0</v>
      </c>
      <c r="AA52" s="403">
        <f t="shared" si="0"/>
        <v>0</v>
      </c>
      <c r="AB52" s="403">
        <f t="shared" si="0"/>
        <v>0</v>
      </c>
      <c r="AC52" s="403">
        <f t="shared" si="0"/>
        <v>0</v>
      </c>
      <c r="AD52" s="403">
        <f t="shared" si="0"/>
        <v>0</v>
      </c>
      <c r="AE52" s="404">
        <f t="shared" si="0"/>
        <v>0</v>
      </c>
    </row>
    <row r="53" spans="1:32" ht="12" customHeight="1">
      <c r="A53" s="863"/>
      <c r="B53" s="434" t="str">
        <f>+'Custo do Insumo'!B57</f>
        <v>Saco de Lixo Azul 100 LITROS - PCT. c/ 100 UND.</v>
      </c>
      <c r="C53" s="399" t="str">
        <f>+'Custo do Insumo'!C57</f>
        <v>PCT.</v>
      </c>
      <c r="D53" s="435">
        <f>+'Custo do Insumo'!D57</f>
        <v>200</v>
      </c>
      <c r="E53" s="455"/>
      <c r="F53" s="401"/>
      <c r="G53" s="401"/>
      <c r="H53" s="401"/>
      <c r="I53" s="401"/>
      <c r="J53" s="401"/>
      <c r="K53" s="401"/>
      <c r="L53" s="401"/>
      <c r="M53" s="401"/>
      <c r="N53" s="401"/>
      <c r="O53" s="401"/>
      <c r="P53" s="401"/>
      <c r="Q53" s="400">
        <f t="shared" si="1"/>
        <v>2400</v>
      </c>
      <c r="R53" s="402">
        <f t="shared" si="2"/>
        <v>2400</v>
      </c>
      <c r="S53" s="450">
        <f>+'Custo do Insumo'!R57</f>
        <v>0</v>
      </c>
      <c r="T53" s="452">
        <f t="shared" si="6"/>
        <v>0</v>
      </c>
      <c r="U53" s="403">
        <f t="shared" si="0"/>
        <v>0</v>
      </c>
      <c r="V53" s="403">
        <f t="shared" si="0"/>
        <v>0</v>
      </c>
      <c r="W53" s="403">
        <f t="shared" si="0"/>
        <v>0</v>
      </c>
      <c r="X53" s="403">
        <f t="shared" si="0"/>
        <v>0</v>
      </c>
      <c r="Y53" s="403">
        <f t="shared" si="0"/>
        <v>0</v>
      </c>
      <c r="Z53" s="403">
        <f t="shared" si="0"/>
        <v>0</v>
      </c>
      <c r="AA53" s="403">
        <f t="shared" si="0"/>
        <v>0</v>
      </c>
      <c r="AB53" s="403">
        <f t="shared" si="0"/>
        <v>0</v>
      </c>
      <c r="AC53" s="403">
        <f t="shared" si="0"/>
        <v>0</v>
      </c>
      <c r="AD53" s="403">
        <f t="shared" si="0"/>
        <v>0</v>
      </c>
      <c r="AE53" s="404">
        <f t="shared" si="0"/>
        <v>0</v>
      </c>
    </row>
    <row r="54" spans="1:32" ht="12" customHeight="1">
      <c r="A54" s="863"/>
      <c r="B54" s="434" t="str">
        <f>+'Custo do Insumo'!B58</f>
        <v>Saco de Lixo Azul 200 LITROS - PCT. C/ 100 UND.</v>
      </c>
      <c r="C54" s="399" t="str">
        <f>+'Custo do Insumo'!C58</f>
        <v>PCT.</v>
      </c>
      <c r="D54" s="435">
        <f>+'Custo do Insumo'!D58</f>
        <v>200</v>
      </c>
      <c r="E54" s="455"/>
      <c r="F54" s="401"/>
      <c r="G54" s="401"/>
      <c r="H54" s="401"/>
      <c r="I54" s="401"/>
      <c r="J54" s="401"/>
      <c r="K54" s="401"/>
      <c r="L54" s="401"/>
      <c r="M54" s="401"/>
      <c r="N54" s="401"/>
      <c r="O54" s="401"/>
      <c r="P54" s="401"/>
      <c r="Q54" s="400">
        <f t="shared" si="1"/>
        <v>2400</v>
      </c>
      <c r="R54" s="402">
        <f t="shared" si="2"/>
        <v>2400</v>
      </c>
      <c r="S54" s="450">
        <f>+'Custo do Insumo'!R58</f>
        <v>0</v>
      </c>
      <c r="T54" s="452">
        <f t="shared" si="6"/>
        <v>0</v>
      </c>
      <c r="U54" s="403">
        <f t="shared" si="0"/>
        <v>0</v>
      </c>
      <c r="V54" s="403">
        <f t="shared" si="0"/>
        <v>0</v>
      </c>
      <c r="W54" s="403">
        <f t="shared" si="0"/>
        <v>0</v>
      </c>
      <c r="X54" s="403">
        <f t="shared" si="0"/>
        <v>0</v>
      </c>
      <c r="Y54" s="403">
        <f t="shared" si="0"/>
        <v>0</v>
      </c>
      <c r="Z54" s="403">
        <f t="shared" si="0"/>
        <v>0</v>
      </c>
      <c r="AA54" s="403">
        <f t="shared" si="0"/>
        <v>0</v>
      </c>
      <c r="AB54" s="403">
        <f t="shared" si="0"/>
        <v>0</v>
      </c>
      <c r="AC54" s="403">
        <f t="shared" si="0"/>
        <v>0</v>
      </c>
      <c r="AD54" s="403">
        <f t="shared" si="0"/>
        <v>0</v>
      </c>
      <c r="AE54" s="404">
        <f t="shared" si="0"/>
        <v>0</v>
      </c>
    </row>
    <row r="55" spans="1:32" ht="12" customHeight="1">
      <c r="A55" s="863"/>
      <c r="B55" s="434" t="str">
        <f>+'Custo do Insumo'!B59</f>
        <v>Saco de Lixo Branco Infec. 60 litros - PCT. c/ 100 UND.</v>
      </c>
      <c r="C55" s="399" t="str">
        <f>+'Custo do Insumo'!C59</f>
        <v>PCT.</v>
      </c>
      <c r="D55" s="435">
        <f>+'Custo do Insumo'!D59</f>
        <v>50</v>
      </c>
      <c r="E55" s="455"/>
      <c r="F55" s="401"/>
      <c r="G55" s="401"/>
      <c r="H55" s="401"/>
      <c r="I55" s="401"/>
      <c r="J55" s="401"/>
      <c r="K55" s="401"/>
      <c r="L55" s="401"/>
      <c r="M55" s="401"/>
      <c r="N55" s="401"/>
      <c r="O55" s="401"/>
      <c r="P55" s="401"/>
      <c r="Q55" s="400">
        <f t="shared" si="1"/>
        <v>600</v>
      </c>
      <c r="R55" s="402">
        <f t="shared" si="2"/>
        <v>600</v>
      </c>
      <c r="S55" s="450">
        <f>+'Custo do Insumo'!R59</f>
        <v>0</v>
      </c>
      <c r="T55" s="452">
        <f t="shared" si="6"/>
        <v>0</v>
      </c>
      <c r="U55" s="403">
        <f t="shared" si="0"/>
        <v>0</v>
      </c>
      <c r="V55" s="403">
        <f t="shared" si="0"/>
        <v>0</v>
      </c>
      <c r="W55" s="403">
        <f t="shared" si="0"/>
        <v>0</v>
      </c>
      <c r="X55" s="403">
        <f t="shared" si="0"/>
        <v>0</v>
      </c>
      <c r="Y55" s="403">
        <f t="shared" si="0"/>
        <v>0</v>
      </c>
      <c r="Z55" s="403">
        <f t="shared" si="0"/>
        <v>0</v>
      </c>
      <c r="AA55" s="403">
        <f t="shared" si="0"/>
        <v>0</v>
      </c>
      <c r="AB55" s="403">
        <f t="shared" si="0"/>
        <v>0</v>
      </c>
      <c r="AC55" s="403">
        <f t="shared" si="0"/>
        <v>0</v>
      </c>
      <c r="AD55" s="403">
        <f t="shared" si="0"/>
        <v>0</v>
      </c>
      <c r="AE55" s="404">
        <f t="shared" si="0"/>
        <v>0</v>
      </c>
    </row>
    <row r="56" spans="1:32" ht="12" customHeight="1">
      <c r="A56" s="863"/>
      <c r="B56" s="434" t="str">
        <f>+'Custo do Insumo'!B60</f>
        <v>Saco de Lixo Branco Infec  200 LITROS - PCT. C/100 UND.</v>
      </c>
      <c r="C56" s="399" t="str">
        <f>+'Custo do Insumo'!C60</f>
        <v>PCT.</v>
      </c>
      <c r="D56" s="435">
        <f>+'Custo do Insumo'!D60</f>
        <v>200</v>
      </c>
      <c r="E56" s="455"/>
      <c r="F56" s="401"/>
      <c r="G56" s="401"/>
      <c r="H56" s="401"/>
      <c r="I56" s="401"/>
      <c r="J56" s="401"/>
      <c r="K56" s="401"/>
      <c r="L56" s="401"/>
      <c r="M56" s="401"/>
      <c r="N56" s="401"/>
      <c r="O56" s="401"/>
      <c r="P56" s="401"/>
      <c r="Q56" s="400">
        <f t="shared" si="1"/>
        <v>2400</v>
      </c>
      <c r="R56" s="402">
        <f t="shared" si="2"/>
        <v>2400</v>
      </c>
      <c r="S56" s="450">
        <f>+'Custo do Insumo'!R60</f>
        <v>0</v>
      </c>
      <c r="T56" s="452">
        <f t="shared" si="6"/>
        <v>0</v>
      </c>
      <c r="U56" s="403">
        <f t="shared" si="0"/>
        <v>0</v>
      </c>
      <c r="V56" s="403">
        <f t="shared" si="0"/>
        <v>0</v>
      </c>
      <c r="W56" s="403">
        <f t="shared" si="0"/>
        <v>0</v>
      </c>
      <c r="X56" s="403">
        <f t="shared" si="0"/>
        <v>0</v>
      </c>
      <c r="Y56" s="403">
        <f t="shared" si="0"/>
        <v>0</v>
      </c>
      <c r="Z56" s="403">
        <f t="shared" si="0"/>
        <v>0</v>
      </c>
      <c r="AA56" s="403">
        <f t="shared" si="0"/>
        <v>0</v>
      </c>
      <c r="AB56" s="403">
        <f t="shared" si="0"/>
        <v>0</v>
      </c>
      <c r="AC56" s="403">
        <f t="shared" si="0"/>
        <v>0</v>
      </c>
      <c r="AD56" s="403">
        <f t="shared" si="0"/>
        <v>0</v>
      </c>
      <c r="AE56" s="404">
        <f t="shared" si="0"/>
        <v>0</v>
      </c>
    </row>
    <row r="57" spans="1:32" ht="12" customHeight="1">
      <c r="A57" s="863"/>
      <c r="B57" s="434" t="str">
        <f>+'Custo do Insumo'!B61</f>
        <v>Selador - 5 LITROS</v>
      </c>
      <c r="C57" s="399" t="str">
        <f>+'Custo do Insumo'!C61</f>
        <v>BOMBONA</v>
      </c>
      <c r="D57" s="435">
        <f>+'Custo do Insumo'!D61</f>
        <v>50</v>
      </c>
      <c r="E57" s="455"/>
      <c r="F57" s="401"/>
      <c r="G57" s="401"/>
      <c r="H57" s="401"/>
      <c r="I57" s="401"/>
      <c r="J57" s="401"/>
      <c r="K57" s="401"/>
      <c r="L57" s="401"/>
      <c r="M57" s="401"/>
      <c r="N57" s="401"/>
      <c r="O57" s="401"/>
      <c r="P57" s="401"/>
      <c r="Q57" s="400">
        <f t="shared" si="1"/>
        <v>600</v>
      </c>
      <c r="R57" s="402">
        <f t="shared" si="2"/>
        <v>600</v>
      </c>
      <c r="S57" s="450">
        <f>+'Custo do Insumo'!R61</f>
        <v>0</v>
      </c>
      <c r="T57" s="452">
        <f t="shared" si="6"/>
        <v>0</v>
      </c>
      <c r="U57" s="403">
        <f t="shared" si="0"/>
        <v>0</v>
      </c>
      <c r="V57" s="403">
        <f t="shared" si="0"/>
        <v>0</v>
      </c>
      <c r="W57" s="403">
        <f t="shared" si="0"/>
        <v>0</v>
      </c>
      <c r="X57" s="403">
        <f t="shared" si="0"/>
        <v>0</v>
      </c>
      <c r="Y57" s="403">
        <f t="shared" si="0"/>
        <v>0</v>
      </c>
      <c r="Z57" s="403">
        <f t="shared" si="0"/>
        <v>0</v>
      </c>
      <c r="AA57" s="403">
        <f t="shared" si="0"/>
        <v>0</v>
      </c>
      <c r="AB57" s="403">
        <f t="shared" si="0"/>
        <v>0</v>
      </c>
      <c r="AC57" s="403">
        <f t="shared" si="0"/>
        <v>0</v>
      </c>
      <c r="AD57" s="403">
        <f t="shared" si="0"/>
        <v>0</v>
      </c>
      <c r="AE57" s="404">
        <f t="shared" si="0"/>
        <v>0</v>
      </c>
    </row>
    <row r="58" spans="1:32" ht="12" customHeight="1">
      <c r="A58" s="863"/>
      <c r="B58" s="434" t="str">
        <f>+'Custo do Insumo'!B62</f>
        <v>Toucas Descartáveis - Caixa. c/ 100 UND.</v>
      </c>
      <c r="C58" s="399" t="str">
        <f>+'Custo do Insumo'!C62</f>
        <v>UND</v>
      </c>
      <c r="D58" s="435">
        <f>+'Custo do Insumo'!D62</f>
        <v>24</v>
      </c>
      <c r="E58" s="455"/>
      <c r="F58" s="401"/>
      <c r="G58" s="401"/>
      <c r="H58" s="401"/>
      <c r="I58" s="401"/>
      <c r="J58" s="401"/>
      <c r="K58" s="401"/>
      <c r="L58" s="401"/>
      <c r="M58" s="401"/>
      <c r="N58" s="401"/>
      <c r="O58" s="401"/>
      <c r="P58" s="401"/>
      <c r="Q58" s="400">
        <f t="shared" si="1"/>
        <v>288</v>
      </c>
      <c r="R58" s="402">
        <f t="shared" si="2"/>
        <v>288</v>
      </c>
      <c r="S58" s="450">
        <f>+'Custo do Insumo'!R62</f>
        <v>0</v>
      </c>
      <c r="T58" s="452">
        <f t="shared" si="6"/>
        <v>0</v>
      </c>
      <c r="U58" s="403">
        <f t="shared" si="0"/>
        <v>0</v>
      </c>
      <c r="V58" s="403">
        <f t="shared" si="0"/>
        <v>0</v>
      </c>
      <c r="W58" s="403">
        <f t="shared" si="0"/>
        <v>0</v>
      </c>
      <c r="X58" s="403">
        <f t="shared" si="0"/>
        <v>0</v>
      </c>
      <c r="Y58" s="403">
        <f t="shared" si="0"/>
        <v>0</v>
      </c>
      <c r="Z58" s="403">
        <f t="shared" si="0"/>
        <v>0</v>
      </c>
      <c r="AA58" s="403">
        <f t="shared" si="0"/>
        <v>0</v>
      </c>
      <c r="AB58" s="403">
        <f t="shared" si="0"/>
        <v>0</v>
      </c>
      <c r="AC58" s="403">
        <f t="shared" si="0"/>
        <v>0</v>
      </c>
      <c r="AD58" s="403">
        <f t="shared" si="0"/>
        <v>0</v>
      </c>
      <c r="AE58" s="404">
        <f t="shared" si="0"/>
        <v>0</v>
      </c>
    </row>
    <row r="59" spans="1:32" ht="12" customHeight="1">
      <c r="A59" s="863"/>
      <c r="B59" s="434" t="str">
        <f>+'Custo do Insumo'!B63</f>
        <v>Vassoura de Piaçava c/ cabo Chapa - 20cm</v>
      </c>
      <c r="C59" s="399" t="str">
        <f>+'Custo do Insumo'!C63</f>
        <v>UND.</v>
      </c>
      <c r="D59" s="435">
        <f>+'Custo do Insumo'!D63</f>
        <v>100</v>
      </c>
      <c r="E59" s="455"/>
      <c r="F59" s="401"/>
      <c r="G59" s="401"/>
      <c r="H59" s="401"/>
      <c r="I59" s="401"/>
      <c r="J59" s="401"/>
      <c r="K59" s="401"/>
      <c r="L59" s="401"/>
      <c r="M59" s="401"/>
      <c r="N59" s="401"/>
      <c r="O59" s="401"/>
      <c r="P59" s="401"/>
      <c r="Q59" s="400">
        <f t="shared" si="1"/>
        <v>1200</v>
      </c>
      <c r="R59" s="402">
        <f t="shared" si="2"/>
        <v>1200</v>
      </c>
      <c r="S59" s="450">
        <f>+'Custo do Insumo'!R63</f>
        <v>0</v>
      </c>
      <c r="T59" s="452">
        <f t="shared" si="6"/>
        <v>0</v>
      </c>
      <c r="U59" s="403">
        <f t="shared" si="0"/>
        <v>0</v>
      </c>
      <c r="V59" s="403">
        <f t="shared" si="0"/>
        <v>0</v>
      </c>
      <c r="W59" s="403">
        <f t="shared" si="0"/>
        <v>0</v>
      </c>
      <c r="X59" s="403">
        <f t="shared" si="0"/>
        <v>0</v>
      </c>
      <c r="Y59" s="403">
        <f t="shared" si="0"/>
        <v>0</v>
      </c>
      <c r="Z59" s="403">
        <f t="shared" si="0"/>
        <v>0</v>
      </c>
      <c r="AA59" s="403">
        <f t="shared" si="0"/>
        <v>0</v>
      </c>
      <c r="AB59" s="403">
        <f t="shared" si="0"/>
        <v>0</v>
      </c>
      <c r="AC59" s="403">
        <f t="shared" si="0"/>
        <v>0</v>
      </c>
      <c r="AD59" s="403">
        <f t="shared" si="0"/>
        <v>0</v>
      </c>
      <c r="AE59" s="404">
        <f t="shared" si="0"/>
        <v>0</v>
      </c>
    </row>
    <row r="60" spans="1:32" ht="12" customHeight="1">
      <c r="A60" s="863"/>
      <c r="B60" s="434" t="str">
        <f>+'Custo do Insumo'!B64</f>
        <v>Vassoura tipo Gari média c/ cabo central</v>
      </c>
      <c r="C60" s="399" t="str">
        <f>+'Custo do Insumo'!C64</f>
        <v>UND.</v>
      </c>
      <c r="D60" s="435">
        <f>+'Custo do Insumo'!D64</f>
        <v>7</v>
      </c>
      <c r="E60" s="455"/>
      <c r="F60" s="401"/>
      <c r="G60" s="401"/>
      <c r="H60" s="401"/>
      <c r="I60" s="401"/>
      <c r="J60" s="401"/>
      <c r="K60" s="401"/>
      <c r="L60" s="401"/>
      <c r="M60" s="401"/>
      <c r="N60" s="401"/>
      <c r="O60" s="401"/>
      <c r="P60" s="401"/>
      <c r="Q60" s="400">
        <f t="shared" si="1"/>
        <v>84</v>
      </c>
      <c r="R60" s="402">
        <f t="shared" si="2"/>
        <v>84</v>
      </c>
      <c r="S60" s="450">
        <f>+'Custo do Insumo'!R64</f>
        <v>0</v>
      </c>
      <c r="T60" s="452">
        <f t="shared" si="6"/>
        <v>0</v>
      </c>
      <c r="U60" s="403">
        <f t="shared" si="0"/>
        <v>0</v>
      </c>
      <c r="V60" s="403">
        <f t="shared" si="0"/>
        <v>0</v>
      </c>
      <c r="W60" s="403">
        <f t="shared" si="0"/>
        <v>0</v>
      </c>
      <c r="X60" s="403">
        <f t="shared" si="0"/>
        <v>0</v>
      </c>
      <c r="Y60" s="403">
        <f t="shared" si="0"/>
        <v>0</v>
      </c>
      <c r="Z60" s="403">
        <f t="shared" si="0"/>
        <v>0</v>
      </c>
      <c r="AA60" s="403">
        <f t="shared" si="0"/>
        <v>0</v>
      </c>
      <c r="AB60" s="403">
        <f t="shared" si="0"/>
        <v>0</v>
      </c>
      <c r="AC60" s="403">
        <f t="shared" si="0"/>
        <v>0</v>
      </c>
      <c r="AD60" s="403">
        <f t="shared" si="0"/>
        <v>0</v>
      </c>
      <c r="AE60" s="404">
        <f t="shared" si="0"/>
        <v>0</v>
      </c>
    </row>
    <row r="61" spans="1:32" ht="12" customHeight="1">
      <c r="A61" s="863"/>
      <c r="B61" s="434" t="str">
        <f>+'Custo do Insumo'!B65</f>
        <v>Vasculho de Teto - Cabo 3m</v>
      </c>
      <c r="C61" s="399" t="str">
        <f>+'Custo do Insumo'!C65</f>
        <v>UND.</v>
      </c>
      <c r="D61" s="435">
        <f>+'Custo do Insumo'!D65</f>
        <v>24</v>
      </c>
      <c r="E61" s="455"/>
      <c r="F61" s="401"/>
      <c r="G61" s="401"/>
      <c r="H61" s="401"/>
      <c r="I61" s="401"/>
      <c r="J61" s="401"/>
      <c r="K61" s="401"/>
      <c r="L61" s="401"/>
      <c r="M61" s="401"/>
      <c r="N61" s="401"/>
      <c r="O61" s="401"/>
      <c r="P61" s="401"/>
      <c r="Q61" s="400">
        <f t="shared" si="1"/>
        <v>288</v>
      </c>
      <c r="R61" s="402">
        <f t="shared" si="2"/>
        <v>288</v>
      </c>
      <c r="S61" s="450">
        <f>+'Custo do Insumo'!R65</f>
        <v>0</v>
      </c>
      <c r="T61" s="452">
        <f t="shared" si="6"/>
        <v>0</v>
      </c>
      <c r="U61" s="403">
        <f t="shared" si="0"/>
        <v>0</v>
      </c>
      <c r="V61" s="403">
        <f t="shared" si="0"/>
        <v>0</v>
      </c>
      <c r="W61" s="403">
        <f t="shared" si="0"/>
        <v>0</v>
      </c>
      <c r="X61" s="403">
        <f t="shared" si="0"/>
        <v>0</v>
      </c>
      <c r="Y61" s="403">
        <f t="shared" si="0"/>
        <v>0</v>
      </c>
      <c r="Z61" s="403">
        <f t="shared" si="0"/>
        <v>0</v>
      </c>
      <c r="AA61" s="403">
        <f t="shared" si="0"/>
        <v>0</v>
      </c>
      <c r="AB61" s="403">
        <f t="shared" si="0"/>
        <v>0</v>
      </c>
      <c r="AC61" s="403">
        <f t="shared" si="0"/>
        <v>0</v>
      </c>
      <c r="AD61" s="403">
        <f t="shared" si="0"/>
        <v>0</v>
      </c>
      <c r="AE61" s="404">
        <f t="shared" si="0"/>
        <v>0</v>
      </c>
    </row>
    <row r="62" spans="1:32" ht="12" customHeight="1" thickBot="1">
      <c r="A62" s="864"/>
      <c r="B62" s="460" t="str">
        <f>+'Custo do Insumo'!B66</f>
        <v>Vaselina Líquida - Emb. c/ 1 litro</v>
      </c>
      <c r="C62" s="461" t="str">
        <f>+'Custo do Insumo'!C66</f>
        <v>UND.</v>
      </c>
      <c r="D62" s="462">
        <f>+'Custo do Insumo'!D66</f>
        <v>10</v>
      </c>
      <c r="E62" s="457"/>
      <c r="F62" s="444"/>
      <c r="G62" s="444"/>
      <c r="H62" s="444"/>
      <c r="I62" s="444"/>
      <c r="J62" s="444"/>
      <c r="K62" s="444"/>
      <c r="L62" s="444"/>
      <c r="M62" s="444"/>
      <c r="N62" s="444"/>
      <c r="O62" s="444"/>
      <c r="P62" s="444"/>
      <c r="Q62" s="445">
        <f t="shared" si="1"/>
        <v>120</v>
      </c>
      <c r="R62" s="446">
        <f t="shared" si="2"/>
        <v>120</v>
      </c>
      <c r="S62" s="463">
        <f>+'Custo do Insumo'!R66</f>
        <v>0</v>
      </c>
      <c r="T62" s="453">
        <f t="shared" si="6"/>
        <v>0</v>
      </c>
      <c r="U62" s="409">
        <f t="shared" si="0"/>
        <v>0</v>
      </c>
      <c r="V62" s="409">
        <f t="shared" si="0"/>
        <v>0</v>
      </c>
      <c r="W62" s="409">
        <f t="shared" si="0"/>
        <v>0</v>
      </c>
      <c r="X62" s="409">
        <f t="shared" si="0"/>
        <v>0</v>
      </c>
      <c r="Y62" s="409">
        <f t="shared" si="0"/>
        <v>0</v>
      </c>
      <c r="Z62" s="409">
        <f t="shared" si="0"/>
        <v>0</v>
      </c>
      <c r="AA62" s="409">
        <f t="shared" si="0"/>
        <v>0</v>
      </c>
      <c r="AB62" s="409">
        <f t="shared" si="0"/>
        <v>0</v>
      </c>
      <c r="AC62" s="409">
        <f t="shared" si="0"/>
        <v>0</v>
      </c>
      <c r="AD62" s="409">
        <f t="shared" si="0"/>
        <v>0</v>
      </c>
      <c r="AE62" s="410">
        <f t="shared" si="0"/>
        <v>0</v>
      </c>
      <c r="AF62" s="227"/>
    </row>
    <row r="63" spans="1:32">
      <c r="A63" s="865" t="s">
        <v>531</v>
      </c>
      <c r="B63" s="438" t="str">
        <f>+'Custo do Insumo'!B67</f>
        <v>Dispensadores para álcool em gel;</v>
      </c>
      <c r="C63" s="438" t="str">
        <f>+'Custo do Insumo'!C67</f>
        <v>UND</v>
      </c>
      <c r="D63" s="438">
        <f>+'Custo do Insumo'!D67</f>
        <v>70</v>
      </c>
      <c r="E63" s="454"/>
      <c r="F63" s="394"/>
      <c r="G63" s="395"/>
      <c r="H63" s="394"/>
      <c r="I63" s="395"/>
      <c r="J63" s="394"/>
      <c r="K63" s="395"/>
      <c r="L63" s="394"/>
      <c r="M63" s="395"/>
      <c r="N63" s="394"/>
      <c r="O63" s="395"/>
      <c r="P63" s="394"/>
      <c r="Q63" s="394">
        <f>+D63*6</f>
        <v>420</v>
      </c>
      <c r="R63" s="396">
        <f t="shared" ref="R63:R69" si="7">+Q63-SUM(E63:P63)</f>
        <v>420</v>
      </c>
      <c r="S63" s="439">
        <f>+'Custo do Insumo'!R67</f>
        <v>0</v>
      </c>
      <c r="T63" s="436">
        <f t="shared" ref="T63:T68" si="8">+$S63*$E63</f>
        <v>0</v>
      </c>
      <c r="U63" s="415">
        <f>+$S63*$E63+($F63*$S63)</f>
        <v>0</v>
      </c>
      <c r="V63" s="415">
        <f>+$S63*$F63+($G63*$S63)</f>
        <v>0</v>
      </c>
      <c r="W63" s="415">
        <f>+$S63*$G63+($H63*$S63)</f>
        <v>0</v>
      </c>
      <c r="X63" s="415">
        <f>+$S63*$H63+($I63*$S63)</f>
        <v>0</v>
      </c>
      <c r="Y63" s="415">
        <f>+$S63*$I63+($J63*$S63)</f>
        <v>0</v>
      </c>
      <c r="Z63" s="415">
        <f>+$S63*$J63+($K63*$S63)</f>
        <v>0</v>
      </c>
      <c r="AA63" s="415">
        <f>+$S63*$K63+($L63*$S63)</f>
        <v>0</v>
      </c>
      <c r="AB63" s="415">
        <f>+$S63*$L63+($M63*$S63)</f>
        <v>0</v>
      </c>
      <c r="AC63" s="415">
        <f>+$S63*$M63+($N63*$S63)</f>
        <v>0</v>
      </c>
      <c r="AD63" s="415">
        <f>+$S63*$N63+($O63*$S63)</f>
        <v>0</v>
      </c>
      <c r="AE63" s="416">
        <f>+$S63*$O63+($P63*($S63*2))</f>
        <v>0</v>
      </c>
      <c r="AF63" s="227"/>
    </row>
    <row r="64" spans="1:32">
      <c r="A64" s="866"/>
      <c r="B64" s="434" t="str">
        <f>+'Custo do Insumo'!B68</f>
        <v>Dispensadores para sabonete líquido;</v>
      </c>
      <c r="C64" s="434" t="str">
        <f>+'Custo do Insumo'!C68</f>
        <v>UND</v>
      </c>
      <c r="D64" s="434">
        <f>+'Custo do Insumo'!D68</f>
        <v>70</v>
      </c>
      <c r="E64" s="455"/>
      <c r="F64" s="400"/>
      <c r="G64" s="401"/>
      <c r="H64" s="400"/>
      <c r="I64" s="401"/>
      <c r="J64" s="400"/>
      <c r="K64" s="401"/>
      <c r="L64" s="400"/>
      <c r="M64" s="401"/>
      <c r="N64" s="400"/>
      <c r="O64" s="401"/>
      <c r="P64" s="400"/>
      <c r="Q64" s="400">
        <f t="shared" ref="Q64:Q68" si="9">+D64*6</f>
        <v>420</v>
      </c>
      <c r="R64" s="402">
        <f t="shared" si="7"/>
        <v>420</v>
      </c>
      <c r="S64" s="440">
        <f>+'Custo do Insumo'!R68</f>
        <v>0</v>
      </c>
      <c r="T64" s="436">
        <f t="shared" si="8"/>
        <v>0</v>
      </c>
      <c r="U64" s="415">
        <f t="shared" ref="U64:U68" si="10">+$S64*$E64+($F64*$S64)</f>
        <v>0</v>
      </c>
      <c r="V64" s="415">
        <f t="shared" ref="V64:V68" si="11">+$S64*$F64+($G64*$S64)</f>
        <v>0</v>
      </c>
      <c r="W64" s="415">
        <f t="shared" ref="W64:W68" si="12">+$S64*$G64+($H64*$S64)</f>
        <v>0</v>
      </c>
      <c r="X64" s="415">
        <f t="shared" ref="X64:X68" si="13">+$S64*$H64+($I64*$S64)</f>
        <v>0</v>
      </c>
      <c r="Y64" s="415">
        <f t="shared" ref="Y64:Y68" si="14">+$S64*$I64+($J64*$S64)</f>
        <v>0</v>
      </c>
      <c r="Z64" s="415">
        <f t="shared" ref="Z64:Z68" si="15">+$S64*$J64+($K64*$S64)</f>
        <v>0</v>
      </c>
      <c r="AA64" s="415">
        <f t="shared" ref="AA64:AA68" si="16">+$S64*$K64+($L64*$S64)</f>
        <v>0</v>
      </c>
      <c r="AB64" s="415">
        <f t="shared" ref="AB64:AB68" si="17">+$S64*$L64+($M64*$S64)</f>
        <v>0</v>
      </c>
      <c r="AC64" s="415">
        <f t="shared" ref="AC64:AC68" si="18">+$S64*$M64+($N64*$S64)</f>
        <v>0</v>
      </c>
      <c r="AD64" s="415">
        <f t="shared" ref="AD64:AD68" si="19">+$S64*$N64+($O64*$S64)</f>
        <v>0</v>
      </c>
      <c r="AE64" s="416">
        <f t="shared" ref="AE64:AE68" si="20">+$S64*$O64+($P64*($S64*2))</f>
        <v>0</v>
      </c>
      <c r="AF64" s="227"/>
    </row>
    <row r="65" spans="1:32">
      <c r="A65" s="866"/>
      <c r="B65" s="434" t="str">
        <f>+'Custo do Insumo'!B69</f>
        <v>Dispensadores para papel toalha;</v>
      </c>
      <c r="C65" s="434" t="str">
        <f>+'Custo do Insumo'!C69</f>
        <v>UND</v>
      </c>
      <c r="D65" s="434">
        <f>+'Custo do Insumo'!D69</f>
        <v>70</v>
      </c>
      <c r="E65" s="455"/>
      <c r="F65" s="400"/>
      <c r="G65" s="401"/>
      <c r="H65" s="400"/>
      <c r="I65" s="401"/>
      <c r="J65" s="400"/>
      <c r="K65" s="401"/>
      <c r="L65" s="400"/>
      <c r="M65" s="401"/>
      <c r="N65" s="400"/>
      <c r="O65" s="401"/>
      <c r="P65" s="400"/>
      <c r="Q65" s="400">
        <f t="shared" si="9"/>
        <v>420</v>
      </c>
      <c r="R65" s="402">
        <f t="shared" si="7"/>
        <v>420</v>
      </c>
      <c r="S65" s="440">
        <f>+'Custo do Insumo'!R69</f>
        <v>0</v>
      </c>
      <c r="T65" s="436">
        <f t="shared" si="8"/>
        <v>0</v>
      </c>
      <c r="U65" s="415">
        <f t="shared" si="10"/>
        <v>0</v>
      </c>
      <c r="V65" s="415">
        <f t="shared" si="11"/>
        <v>0</v>
      </c>
      <c r="W65" s="415">
        <f t="shared" si="12"/>
        <v>0</v>
      </c>
      <c r="X65" s="415">
        <f t="shared" si="13"/>
        <v>0</v>
      </c>
      <c r="Y65" s="415">
        <f t="shared" si="14"/>
        <v>0</v>
      </c>
      <c r="Z65" s="415">
        <f t="shared" si="15"/>
        <v>0</v>
      </c>
      <c r="AA65" s="415">
        <f t="shared" si="16"/>
        <v>0</v>
      </c>
      <c r="AB65" s="415">
        <f t="shared" si="17"/>
        <v>0</v>
      </c>
      <c r="AC65" s="415">
        <f t="shared" si="18"/>
        <v>0</v>
      </c>
      <c r="AD65" s="415">
        <f t="shared" si="19"/>
        <v>0</v>
      </c>
      <c r="AE65" s="416">
        <f t="shared" si="20"/>
        <v>0</v>
      </c>
      <c r="AF65" s="227"/>
    </row>
    <row r="66" spans="1:32">
      <c r="A66" s="866"/>
      <c r="B66" s="434" t="str">
        <f>+'Custo do Insumo'!B70</f>
        <v>Balde, material plástico, capacidade de 8 litros, material alça arame galvanizado, cor Vermelho</v>
      </c>
      <c r="C66" s="434" t="str">
        <f>+'Custo do Insumo'!C70</f>
        <v>UND.</v>
      </c>
      <c r="D66" s="434">
        <f>+'Custo do Insumo'!D70</f>
        <v>70</v>
      </c>
      <c r="E66" s="455"/>
      <c r="F66" s="400"/>
      <c r="G66" s="401"/>
      <c r="H66" s="400"/>
      <c r="I66" s="401"/>
      <c r="J66" s="400"/>
      <c r="K66" s="401"/>
      <c r="L66" s="400"/>
      <c r="M66" s="401"/>
      <c r="N66" s="400"/>
      <c r="O66" s="401"/>
      <c r="P66" s="400"/>
      <c r="Q66" s="400">
        <f t="shared" si="9"/>
        <v>420</v>
      </c>
      <c r="R66" s="402">
        <f t="shared" si="7"/>
        <v>420</v>
      </c>
      <c r="S66" s="440">
        <f>+'Custo do Insumo'!R70</f>
        <v>0</v>
      </c>
      <c r="T66" s="436">
        <f t="shared" si="8"/>
        <v>0</v>
      </c>
      <c r="U66" s="415">
        <f t="shared" si="10"/>
        <v>0</v>
      </c>
      <c r="V66" s="415">
        <f t="shared" si="11"/>
        <v>0</v>
      </c>
      <c r="W66" s="415">
        <f t="shared" si="12"/>
        <v>0</v>
      </c>
      <c r="X66" s="415">
        <f t="shared" si="13"/>
        <v>0</v>
      </c>
      <c r="Y66" s="415">
        <f t="shared" si="14"/>
        <v>0</v>
      </c>
      <c r="Z66" s="415">
        <f t="shared" si="15"/>
        <v>0</v>
      </c>
      <c r="AA66" s="415">
        <f t="shared" si="16"/>
        <v>0</v>
      </c>
      <c r="AB66" s="415">
        <f t="shared" si="17"/>
        <v>0</v>
      </c>
      <c r="AC66" s="415">
        <f t="shared" si="18"/>
        <v>0</v>
      </c>
      <c r="AD66" s="415">
        <f t="shared" si="19"/>
        <v>0</v>
      </c>
      <c r="AE66" s="416">
        <f t="shared" si="20"/>
        <v>0</v>
      </c>
      <c r="AF66" s="227"/>
    </row>
    <row r="67" spans="1:32">
      <c r="A67" s="866"/>
      <c r="B67" s="434" t="str">
        <f>+'Custo do Insumo'!B71</f>
        <v>Balde, material plástico, capacidade de 8 litros, material alça arame galvanizado, cor Verde</v>
      </c>
      <c r="C67" s="434" t="str">
        <f>+'Custo do Insumo'!C71</f>
        <v>UND.</v>
      </c>
      <c r="D67" s="434">
        <f>+'Custo do Insumo'!D71</f>
        <v>70</v>
      </c>
      <c r="E67" s="455"/>
      <c r="F67" s="400"/>
      <c r="G67" s="401"/>
      <c r="H67" s="400"/>
      <c r="I67" s="401"/>
      <c r="J67" s="400"/>
      <c r="K67" s="401"/>
      <c r="L67" s="400"/>
      <c r="M67" s="401"/>
      <c r="N67" s="400"/>
      <c r="O67" s="401"/>
      <c r="P67" s="400"/>
      <c r="Q67" s="400">
        <f t="shared" si="9"/>
        <v>420</v>
      </c>
      <c r="R67" s="402">
        <f t="shared" si="7"/>
        <v>420</v>
      </c>
      <c r="S67" s="440">
        <f>+'Custo do Insumo'!R71</f>
        <v>0</v>
      </c>
      <c r="T67" s="436">
        <f t="shared" si="8"/>
        <v>0</v>
      </c>
      <c r="U67" s="415">
        <f t="shared" si="10"/>
        <v>0</v>
      </c>
      <c r="V67" s="415">
        <f t="shared" si="11"/>
        <v>0</v>
      </c>
      <c r="W67" s="415">
        <f t="shared" si="12"/>
        <v>0</v>
      </c>
      <c r="X67" s="415">
        <f t="shared" si="13"/>
        <v>0</v>
      </c>
      <c r="Y67" s="415">
        <f t="shared" si="14"/>
        <v>0</v>
      </c>
      <c r="Z67" s="415">
        <f t="shared" si="15"/>
        <v>0</v>
      </c>
      <c r="AA67" s="415">
        <f t="shared" si="16"/>
        <v>0</v>
      </c>
      <c r="AB67" s="415">
        <f t="shared" si="17"/>
        <v>0</v>
      </c>
      <c r="AC67" s="415">
        <f t="shared" si="18"/>
        <v>0</v>
      </c>
      <c r="AD67" s="415">
        <f t="shared" si="19"/>
        <v>0</v>
      </c>
      <c r="AE67" s="416">
        <f t="shared" si="20"/>
        <v>0</v>
      </c>
      <c r="AF67" s="227"/>
    </row>
    <row r="68" spans="1:32" ht="10.8" thickBot="1">
      <c r="A68" s="867"/>
      <c r="B68" s="441" t="str">
        <f>+'Custo do Insumo'!B72</f>
        <v>Balde, material plástico, capacidade de 10 litros, material alça arame galvanizado, cor natural.</v>
      </c>
      <c r="C68" s="441" t="str">
        <f>+'Custo do Insumo'!C72</f>
        <v>UND.</v>
      </c>
      <c r="D68" s="441">
        <f>+'Custo do Insumo'!D72</f>
        <v>70</v>
      </c>
      <c r="E68" s="456"/>
      <c r="F68" s="406"/>
      <c r="G68" s="407"/>
      <c r="H68" s="406"/>
      <c r="I68" s="407"/>
      <c r="J68" s="406"/>
      <c r="K68" s="407"/>
      <c r="L68" s="406"/>
      <c r="M68" s="407"/>
      <c r="N68" s="406"/>
      <c r="O68" s="407"/>
      <c r="P68" s="406"/>
      <c r="Q68" s="406">
        <f t="shared" si="9"/>
        <v>420</v>
      </c>
      <c r="R68" s="408">
        <f t="shared" si="7"/>
        <v>420</v>
      </c>
      <c r="S68" s="443">
        <f>+'Custo do Insumo'!R72</f>
        <v>0</v>
      </c>
      <c r="T68" s="448">
        <f t="shared" si="8"/>
        <v>0</v>
      </c>
      <c r="U68" s="417">
        <f t="shared" si="10"/>
        <v>0</v>
      </c>
      <c r="V68" s="417">
        <f t="shared" si="11"/>
        <v>0</v>
      </c>
      <c r="W68" s="417">
        <f t="shared" si="12"/>
        <v>0</v>
      </c>
      <c r="X68" s="417">
        <f t="shared" si="13"/>
        <v>0</v>
      </c>
      <c r="Y68" s="417">
        <f t="shared" si="14"/>
        <v>0</v>
      </c>
      <c r="Z68" s="417">
        <f t="shared" si="15"/>
        <v>0</v>
      </c>
      <c r="AA68" s="417">
        <f t="shared" si="16"/>
        <v>0</v>
      </c>
      <c r="AB68" s="417">
        <f t="shared" si="17"/>
        <v>0</v>
      </c>
      <c r="AC68" s="417">
        <f t="shared" si="18"/>
        <v>0</v>
      </c>
      <c r="AD68" s="417">
        <f t="shared" si="19"/>
        <v>0</v>
      </c>
      <c r="AE68" s="418">
        <f t="shared" si="20"/>
        <v>0</v>
      </c>
      <c r="AF68" s="227"/>
    </row>
    <row r="69" spans="1:32">
      <c r="A69" s="868" t="s">
        <v>532</v>
      </c>
      <c r="B69" s="447" t="str">
        <f>+'Custo do Insumo'!B73</f>
        <v>BALDE COM ESPREMEDOR, MATERIAL BALDE PLÁSTICO, MATERIAL ESPREMEDOR PLÁSTICO, MATERIAL BASE PLÁSTICO, CAPACIDADE BALDE 30, TIPO ESPREMEDOR PRESSÃO VERTICAL, COMPRIMENTO 52, LARGURA 37, ALTURA 84</v>
      </c>
      <c r="C69" s="411" t="str">
        <f>+'Custo do Insumo'!C73</f>
        <v>UND.</v>
      </c>
      <c r="D69" s="459">
        <f>+'Custo do Insumo'!D73</f>
        <v>70</v>
      </c>
      <c r="E69" s="464"/>
      <c r="F69" s="412"/>
      <c r="G69" s="412"/>
      <c r="H69" s="412"/>
      <c r="I69" s="412"/>
      <c r="J69" s="412"/>
      <c r="K69" s="413"/>
      <c r="L69" s="412"/>
      <c r="M69" s="412"/>
      <c r="N69" s="412"/>
      <c r="O69" s="412"/>
      <c r="P69" s="412"/>
      <c r="Q69" s="412">
        <f t="shared" ref="Q69:Q75" si="21">+D69*2</f>
        <v>140</v>
      </c>
      <c r="R69" s="414">
        <f t="shared" si="7"/>
        <v>140</v>
      </c>
      <c r="S69" s="465">
        <f>+'Custo do Insumo'!R73</f>
        <v>0</v>
      </c>
      <c r="T69" s="451">
        <f t="shared" ref="T69:T89" si="22">+E69*$S69</f>
        <v>0</v>
      </c>
      <c r="U69" s="397">
        <f t="shared" ref="U69:U89" si="23">+E69*$S69+F69*$S69</f>
        <v>0</v>
      </c>
      <c r="V69" s="397">
        <f t="shared" ref="V69:V89" si="24">+E69*$S69+F69*$S69+G69*$S69</f>
        <v>0</v>
      </c>
      <c r="W69" s="397">
        <f t="shared" ref="W69:W89" si="25">++E69*$S69+F69*$S69+G69*$S69+H69*$S69</f>
        <v>0</v>
      </c>
      <c r="X69" s="397">
        <f t="shared" ref="X69:X89" si="26">+E69*$S69+F69*$S69+G69*$S69+H69*$S69+I69*$S69</f>
        <v>0</v>
      </c>
      <c r="Y69" s="397">
        <f t="shared" ref="Y69:AE69" si="27">+E69*$S69+F69*$S69+G69*$S69+H69*$S69+I69*$S69+J69*$S69</f>
        <v>0</v>
      </c>
      <c r="Z69" s="397">
        <f t="shared" si="27"/>
        <v>0</v>
      </c>
      <c r="AA69" s="397">
        <f t="shared" si="27"/>
        <v>0</v>
      </c>
      <c r="AB69" s="397">
        <f t="shared" si="27"/>
        <v>0</v>
      </c>
      <c r="AC69" s="397">
        <f t="shared" si="27"/>
        <v>0</v>
      </c>
      <c r="AD69" s="397">
        <f t="shared" si="27"/>
        <v>0</v>
      </c>
      <c r="AE69" s="398">
        <f t="shared" si="27"/>
        <v>0</v>
      </c>
      <c r="AF69" s="227"/>
    </row>
    <row r="70" spans="1:32">
      <c r="A70" s="868"/>
      <c r="B70" s="430" t="str">
        <f>+'Custo do Insumo'!B74</f>
        <v>Suporte c/ Cabo LT</v>
      </c>
      <c r="C70" s="399" t="str">
        <f>+'Custo do Insumo'!C74</f>
        <v>UND.</v>
      </c>
      <c r="D70" s="435">
        <f>+'Custo do Insumo'!D74</f>
        <v>40</v>
      </c>
      <c r="E70" s="455"/>
      <c r="F70" s="400"/>
      <c r="G70" s="400"/>
      <c r="H70" s="400"/>
      <c r="I70" s="400"/>
      <c r="J70" s="400"/>
      <c r="K70" s="401"/>
      <c r="L70" s="400"/>
      <c r="M70" s="400"/>
      <c r="N70" s="400"/>
      <c r="O70" s="400"/>
      <c r="P70" s="400"/>
      <c r="Q70" s="400">
        <f t="shared" si="21"/>
        <v>80</v>
      </c>
      <c r="R70" s="402">
        <f t="shared" ref="R70:R75" si="28">+Q70-SUM(E70:P70)</f>
        <v>80</v>
      </c>
      <c r="S70" s="450">
        <f>+'Custo do Insumo'!R74</f>
        <v>0</v>
      </c>
      <c r="T70" s="452">
        <f t="shared" ref="T70:T75" si="29">+E70*$S70</f>
        <v>0</v>
      </c>
      <c r="U70" s="403">
        <f t="shared" ref="U70:U75" si="30">+E70*$S70+F70*$S70</f>
        <v>0</v>
      </c>
      <c r="V70" s="403">
        <f t="shared" ref="V70:V75" si="31">+E70*$S70+F70*$S70+G70*$S70</f>
        <v>0</v>
      </c>
      <c r="W70" s="403">
        <f t="shared" ref="W70:W75" si="32">++E70*$S70+F70*$S70+G70*$S70+H70*$S70</f>
        <v>0</v>
      </c>
      <c r="X70" s="403">
        <f t="shared" ref="X70:X75" si="33">+E70*$S70+F70*$S70+G70*$S70+H70*$S70+I70*$S70</f>
        <v>0</v>
      </c>
      <c r="Y70" s="403">
        <f t="shared" ref="Y70:Y75" si="34">+E70*$S70+F70*$S70+G70*$S70+H70*$S70+I70*$S70+J70*$S70</f>
        <v>0</v>
      </c>
      <c r="Z70" s="403">
        <f t="shared" ref="Z70:Z75" si="35">+F70*$S70+G70*$S70+H70*$S70+I70*$S70+J70*$S70+K70*$S70</f>
        <v>0</v>
      </c>
      <c r="AA70" s="403">
        <f t="shared" ref="AA70:AA75" si="36">+G70*$S70+H70*$S70+I70*$S70+J70*$S70+K70*$S70+L70*$S70</f>
        <v>0</v>
      </c>
      <c r="AB70" s="403">
        <f t="shared" ref="AB70:AB75" si="37">+H70*$S70+I70*$S70+J70*$S70+K70*$S70+L70*$S70+M70*$S70</f>
        <v>0</v>
      </c>
      <c r="AC70" s="403">
        <f t="shared" ref="AC70:AC75" si="38">+I70*$S70+J70*$S70+K70*$S70+L70*$S70+M70*$S70+N70*$S70</f>
        <v>0</v>
      </c>
      <c r="AD70" s="403">
        <f t="shared" ref="AD70:AD75" si="39">+J70*$S70+K70*$S70+L70*$S70+M70*$S70+N70*$S70+O70*$S70</f>
        <v>0</v>
      </c>
      <c r="AE70" s="404">
        <f t="shared" ref="AE70:AE75" si="40">+K70*$S70+L70*$S70+M70*$S70+N70*$S70+O70*$S70+P70*$S70</f>
        <v>0</v>
      </c>
      <c r="AF70" s="227"/>
    </row>
    <row r="71" spans="1:32">
      <c r="A71" s="868"/>
      <c r="B71" s="430" t="str">
        <f>+'Custo do Insumo'!B75</f>
        <v>Mop pó - cabo incluso</v>
      </c>
      <c r="C71" s="399" t="str">
        <f>+'Custo do Insumo'!C75</f>
        <v>UND.</v>
      </c>
      <c r="D71" s="435">
        <f>+'Custo do Insumo'!D75</f>
        <v>15</v>
      </c>
      <c r="E71" s="455"/>
      <c r="F71" s="400"/>
      <c r="G71" s="400"/>
      <c r="H71" s="400"/>
      <c r="I71" s="400"/>
      <c r="J71" s="400"/>
      <c r="K71" s="401"/>
      <c r="L71" s="400"/>
      <c r="M71" s="400"/>
      <c r="N71" s="400"/>
      <c r="O71" s="400"/>
      <c r="P71" s="400"/>
      <c r="Q71" s="400">
        <f t="shared" si="21"/>
        <v>30</v>
      </c>
      <c r="R71" s="402">
        <f t="shared" si="28"/>
        <v>30</v>
      </c>
      <c r="S71" s="450">
        <f>+'Custo do Insumo'!R75</f>
        <v>0</v>
      </c>
      <c r="T71" s="452">
        <f t="shared" si="29"/>
        <v>0</v>
      </c>
      <c r="U71" s="403">
        <f t="shared" si="30"/>
        <v>0</v>
      </c>
      <c r="V71" s="403">
        <f t="shared" si="31"/>
        <v>0</v>
      </c>
      <c r="W71" s="403">
        <f t="shared" si="32"/>
        <v>0</v>
      </c>
      <c r="X71" s="403">
        <f t="shared" si="33"/>
        <v>0</v>
      </c>
      <c r="Y71" s="403">
        <f t="shared" si="34"/>
        <v>0</v>
      </c>
      <c r="Z71" s="403">
        <f t="shared" si="35"/>
        <v>0</v>
      </c>
      <c r="AA71" s="403">
        <f t="shared" si="36"/>
        <v>0</v>
      </c>
      <c r="AB71" s="403">
        <f t="shared" si="37"/>
        <v>0</v>
      </c>
      <c r="AC71" s="403">
        <f t="shared" si="38"/>
        <v>0</v>
      </c>
      <c r="AD71" s="403">
        <f t="shared" si="39"/>
        <v>0</v>
      </c>
      <c r="AE71" s="404">
        <f t="shared" si="40"/>
        <v>0</v>
      </c>
      <c r="AF71" s="227"/>
    </row>
    <row r="72" spans="1:32">
      <c r="A72" s="868"/>
      <c r="B72" s="430" t="str">
        <f>+'Custo do Insumo'!B76</f>
        <v>Mop Água - cabo incluso</v>
      </c>
      <c r="C72" s="399" t="str">
        <f>+'Custo do Insumo'!C76</f>
        <v>UND.</v>
      </c>
      <c r="D72" s="435">
        <f>+'Custo do Insumo'!D76</f>
        <v>70</v>
      </c>
      <c r="E72" s="455"/>
      <c r="F72" s="400"/>
      <c r="G72" s="400"/>
      <c r="H72" s="400"/>
      <c r="I72" s="400"/>
      <c r="J72" s="400"/>
      <c r="K72" s="401"/>
      <c r="L72" s="400"/>
      <c r="M72" s="400"/>
      <c r="N72" s="400"/>
      <c r="O72" s="400"/>
      <c r="P72" s="400"/>
      <c r="Q72" s="400">
        <f t="shared" si="21"/>
        <v>140</v>
      </c>
      <c r="R72" s="402">
        <f t="shared" si="28"/>
        <v>140</v>
      </c>
      <c r="S72" s="450">
        <f>+'Custo do Insumo'!R76</f>
        <v>0</v>
      </c>
      <c r="T72" s="452">
        <f t="shared" si="29"/>
        <v>0</v>
      </c>
      <c r="U72" s="403">
        <f t="shared" si="30"/>
        <v>0</v>
      </c>
      <c r="V72" s="403">
        <f t="shared" si="31"/>
        <v>0</v>
      </c>
      <c r="W72" s="403">
        <f t="shared" si="32"/>
        <v>0</v>
      </c>
      <c r="X72" s="403">
        <f t="shared" si="33"/>
        <v>0</v>
      </c>
      <c r="Y72" s="403">
        <f t="shared" si="34"/>
        <v>0</v>
      </c>
      <c r="Z72" s="403">
        <f t="shared" si="35"/>
        <v>0</v>
      </c>
      <c r="AA72" s="403">
        <f t="shared" si="36"/>
        <v>0</v>
      </c>
      <c r="AB72" s="403">
        <f t="shared" si="37"/>
        <v>0</v>
      </c>
      <c r="AC72" s="403">
        <f t="shared" si="38"/>
        <v>0</v>
      </c>
      <c r="AD72" s="403">
        <f t="shared" si="39"/>
        <v>0</v>
      </c>
      <c r="AE72" s="404">
        <f t="shared" si="40"/>
        <v>0</v>
      </c>
      <c r="AF72" s="227"/>
    </row>
    <row r="73" spans="1:32">
      <c r="A73" s="868"/>
      <c r="B73" s="430" t="str">
        <f>+'Custo do Insumo'!B77</f>
        <v>Espátula nº 10 com cabo de madeira ou plástico, com lâmina de metal</v>
      </c>
      <c r="C73" s="399" t="str">
        <f>+'Custo do Insumo'!C77</f>
        <v>UND.</v>
      </c>
      <c r="D73" s="435">
        <f>+'Custo do Insumo'!D77</f>
        <v>15</v>
      </c>
      <c r="E73" s="455"/>
      <c r="F73" s="400"/>
      <c r="G73" s="400"/>
      <c r="H73" s="400"/>
      <c r="I73" s="400"/>
      <c r="J73" s="400"/>
      <c r="K73" s="401"/>
      <c r="L73" s="400"/>
      <c r="M73" s="400"/>
      <c r="N73" s="400"/>
      <c r="O73" s="400"/>
      <c r="P73" s="400"/>
      <c r="Q73" s="400">
        <f t="shared" si="21"/>
        <v>30</v>
      </c>
      <c r="R73" s="402">
        <f t="shared" si="28"/>
        <v>30</v>
      </c>
      <c r="S73" s="450">
        <f>+'Custo do Insumo'!R77</f>
        <v>0</v>
      </c>
      <c r="T73" s="452">
        <f t="shared" si="29"/>
        <v>0</v>
      </c>
      <c r="U73" s="403">
        <f t="shared" si="30"/>
        <v>0</v>
      </c>
      <c r="V73" s="403">
        <f t="shared" si="31"/>
        <v>0</v>
      </c>
      <c r="W73" s="403">
        <f t="shared" si="32"/>
        <v>0</v>
      </c>
      <c r="X73" s="403">
        <f t="shared" si="33"/>
        <v>0</v>
      </c>
      <c r="Y73" s="403">
        <f t="shared" si="34"/>
        <v>0</v>
      </c>
      <c r="Z73" s="403">
        <f t="shared" si="35"/>
        <v>0</v>
      </c>
      <c r="AA73" s="403">
        <f t="shared" si="36"/>
        <v>0</v>
      </c>
      <c r="AB73" s="403">
        <f t="shared" si="37"/>
        <v>0</v>
      </c>
      <c r="AC73" s="403">
        <f t="shared" si="38"/>
        <v>0</v>
      </c>
      <c r="AD73" s="403">
        <f t="shared" si="39"/>
        <v>0</v>
      </c>
      <c r="AE73" s="404">
        <f t="shared" si="40"/>
        <v>0</v>
      </c>
      <c r="AF73" s="227"/>
    </row>
    <row r="74" spans="1:32">
      <c r="A74" s="868"/>
      <c r="B74" s="430" t="str">
        <f>+'Custo do Insumo'!B78</f>
        <v>Espátula nº 12 com cabo de madeira ou plástico, com lâmina de metal</v>
      </c>
      <c r="C74" s="399" t="str">
        <f>+'Custo do Insumo'!C78</f>
        <v>UND.</v>
      </c>
      <c r="D74" s="435">
        <f>+'Custo do Insumo'!D78</f>
        <v>15</v>
      </c>
      <c r="E74" s="455"/>
      <c r="F74" s="400"/>
      <c r="G74" s="400"/>
      <c r="H74" s="400"/>
      <c r="I74" s="400"/>
      <c r="J74" s="400"/>
      <c r="K74" s="401"/>
      <c r="L74" s="400"/>
      <c r="M74" s="400"/>
      <c r="N74" s="400"/>
      <c r="O74" s="400"/>
      <c r="P74" s="400"/>
      <c r="Q74" s="400">
        <f t="shared" si="21"/>
        <v>30</v>
      </c>
      <c r="R74" s="402">
        <f t="shared" si="28"/>
        <v>30</v>
      </c>
      <c r="S74" s="450">
        <f>+'Custo do Insumo'!R78</f>
        <v>0</v>
      </c>
      <c r="T74" s="452">
        <f t="shared" si="29"/>
        <v>0</v>
      </c>
      <c r="U74" s="403">
        <f t="shared" si="30"/>
        <v>0</v>
      </c>
      <c r="V74" s="403">
        <f t="shared" si="31"/>
        <v>0</v>
      </c>
      <c r="W74" s="403">
        <f t="shared" si="32"/>
        <v>0</v>
      </c>
      <c r="X74" s="403">
        <f t="shared" si="33"/>
        <v>0</v>
      </c>
      <c r="Y74" s="403">
        <f t="shared" si="34"/>
        <v>0</v>
      </c>
      <c r="Z74" s="403">
        <f t="shared" si="35"/>
        <v>0</v>
      </c>
      <c r="AA74" s="403">
        <f t="shared" si="36"/>
        <v>0</v>
      </c>
      <c r="AB74" s="403">
        <f t="shared" si="37"/>
        <v>0</v>
      </c>
      <c r="AC74" s="403">
        <f t="shared" si="38"/>
        <v>0</v>
      </c>
      <c r="AD74" s="403">
        <f t="shared" si="39"/>
        <v>0</v>
      </c>
      <c r="AE74" s="404">
        <f t="shared" si="40"/>
        <v>0</v>
      </c>
      <c r="AF74" s="227"/>
    </row>
    <row r="75" spans="1:32" ht="10.8" thickBot="1">
      <c r="A75" s="868"/>
      <c r="B75" s="466" t="str">
        <f>+'Custo do Insumo'!B79</f>
        <v>Pá coletora de lixo POP com cabo de aluminio</v>
      </c>
      <c r="C75" s="461" t="str">
        <f>+'Custo do Insumo'!C79</f>
        <v>UND.</v>
      </c>
      <c r="D75" s="462">
        <f>+'Custo do Insumo'!D79</f>
        <v>70</v>
      </c>
      <c r="E75" s="457"/>
      <c r="F75" s="445"/>
      <c r="G75" s="445"/>
      <c r="H75" s="445"/>
      <c r="I75" s="445"/>
      <c r="J75" s="445"/>
      <c r="K75" s="444"/>
      <c r="L75" s="445"/>
      <c r="M75" s="445"/>
      <c r="N75" s="445"/>
      <c r="O75" s="445"/>
      <c r="P75" s="445"/>
      <c r="Q75" s="445">
        <f t="shared" si="21"/>
        <v>140</v>
      </c>
      <c r="R75" s="446">
        <f t="shared" si="28"/>
        <v>140</v>
      </c>
      <c r="S75" s="463">
        <f>+'Custo do Insumo'!R79</f>
        <v>0</v>
      </c>
      <c r="T75" s="453">
        <f t="shared" si="29"/>
        <v>0</v>
      </c>
      <c r="U75" s="409">
        <f t="shared" si="30"/>
        <v>0</v>
      </c>
      <c r="V75" s="409">
        <f t="shared" si="31"/>
        <v>0</v>
      </c>
      <c r="W75" s="409">
        <f t="shared" si="32"/>
        <v>0</v>
      </c>
      <c r="X75" s="409">
        <f t="shared" si="33"/>
        <v>0</v>
      </c>
      <c r="Y75" s="409">
        <f t="shared" si="34"/>
        <v>0</v>
      </c>
      <c r="Z75" s="409">
        <f t="shared" si="35"/>
        <v>0</v>
      </c>
      <c r="AA75" s="409">
        <f t="shared" si="36"/>
        <v>0</v>
      </c>
      <c r="AB75" s="409">
        <f t="shared" si="37"/>
        <v>0</v>
      </c>
      <c r="AC75" s="409">
        <f t="shared" si="38"/>
        <v>0</v>
      </c>
      <c r="AD75" s="409">
        <f t="shared" si="39"/>
        <v>0</v>
      </c>
      <c r="AE75" s="410">
        <f t="shared" si="40"/>
        <v>0</v>
      </c>
      <c r="AF75" s="227"/>
    </row>
    <row r="76" spans="1:32">
      <c r="A76" s="853" t="s">
        <v>533</v>
      </c>
      <c r="B76" s="429" t="str">
        <f>+'Custo do Insumo'!B82</f>
        <v>Carro funcional</v>
      </c>
      <c r="C76" s="393" t="str">
        <f>+'Custo do Insumo'!C82</f>
        <v>UND.</v>
      </c>
      <c r="D76" s="428">
        <f>+'Custo do Insumo'!D82</f>
        <v>70</v>
      </c>
      <c r="E76" s="454"/>
      <c r="F76" s="394"/>
      <c r="G76" s="394"/>
      <c r="H76" s="394"/>
      <c r="I76" s="394"/>
      <c r="J76" s="394"/>
      <c r="K76" s="394"/>
      <c r="L76" s="394"/>
      <c r="M76" s="394"/>
      <c r="N76" s="394"/>
      <c r="O76" s="394"/>
      <c r="P76" s="394"/>
      <c r="Q76" s="394">
        <f>+D76</f>
        <v>70</v>
      </c>
      <c r="R76" s="396">
        <f t="shared" ref="R76:R89" si="41">+Q76-SUM(E76:P76)</f>
        <v>70</v>
      </c>
      <c r="S76" s="439">
        <f>+'Custo do Insumo'!U82</f>
        <v>0</v>
      </c>
      <c r="T76" s="436">
        <f t="shared" si="22"/>
        <v>0</v>
      </c>
      <c r="U76" s="415">
        <f t="shared" si="23"/>
        <v>0</v>
      </c>
      <c r="V76" s="415">
        <f t="shared" si="24"/>
        <v>0</v>
      </c>
      <c r="W76" s="415">
        <f t="shared" si="25"/>
        <v>0</v>
      </c>
      <c r="X76" s="415">
        <f t="shared" si="26"/>
        <v>0</v>
      </c>
      <c r="Y76" s="415">
        <f>+E76*$S76+F76*$S76+G76*$S76+H76*$S76+I76*$S76+J76*$S76</f>
        <v>0</v>
      </c>
      <c r="Z76" s="415">
        <f>+E76*$S76+F76*$S76+G76*$S76+H76*$S76+I76*$S76+J76*$S76+K76*$S76</f>
        <v>0</v>
      </c>
      <c r="AA76" s="415">
        <f>++E76*$S76+F76*$S76+G76*$S76+H76*$S76+I76*$S76+J76*$S76+K76*$S76+L76*$S76</f>
        <v>0</v>
      </c>
      <c r="AB76" s="415">
        <f>+E76*$S76+F76*$S76+G76*$S76+H76*$S76+I76*$S76+J76*$S76+K76*$S76+L76*$S76+M76*$S76</f>
        <v>0</v>
      </c>
      <c r="AC76" s="415">
        <f>+E76*$S76+F76*$S76+G76*$S76+H76*$S76+I76*$S76+J76*$S76+K76*$S76+L76*$S76+M76*$S76+N76*$S76</f>
        <v>0</v>
      </c>
      <c r="AD76" s="415">
        <f>+E76*$S76+F76*$S76+G76*$S76+H76*$S76+I76*$S76+J76*$S76+K76*$S76+L76*$S76+M76*$S76+N76*$S76+O76*$S76</f>
        <v>0</v>
      </c>
      <c r="AE76" s="416">
        <f>+E76*$S76+F76*$S76+G76*$S76+H76*$S76+I76*$S76+J76*$S76+K76*$S76+L76*$S76+M76*$S76+N76*$S76+O76*$S76+P76*$S76</f>
        <v>0</v>
      </c>
      <c r="AF76" s="227"/>
    </row>
    <row r="77" spans="1:32">
      <c r="A77" s="854"/>
      <c r="B77" s="430" t="str">
        <f>+'Custo do Insumo'!B83</f>
        <v>Aspirador de pó</v>
      </c>
      <c r="C77" s="399" t="str">
        <f>+'Custo do Insumo'!C83</f>
        <v>UND.</v>
      </c>
      <c r="D77" s="435">
        <f>+'Custo do Insumo'!D83</f>
        <v>2</v>
      </c>
      <c r="E77" s="455"/>
      <c r="F77" s="400"/>
      <c r="G77" s="400"/>
      <c r="H77" s="400"/>
      <c r="I77" s="400"/>
      <c r="J77" s="400"/>
      <c r="K77" s="400"/>
      <c r="L77" s="400"/>
      <c r="M77" s="400"/>
      <c r="N77" s="400"/>
      <c r="O77" s="400"/>
      <c r="P77" s="400"/>
      <c r="Q77" s="400">
        <f t="shared" ref="Q77:Q89" si="42">+D77</f>
        <v>2</v>
      </c>
      <c r="R77" s="402">
        <f t="shared" si="41"/>
        <v>2</v>
      </c>
      <c r="S77" s="440">
        <f>+'Custo do Insumo'!U83</f>
        <v>0</v>
      </c>
      <c r="T77" s="437">
        <f t="shared" si="22"/>
        <v>0</v>
      </c>
      <c r="U77" s="403">
        <f t="shared" si="23"/>
        <v>0</v>
      </c>
      <c r="V77" s="403">
        <f t="shared" si="24"/>
        <v>0</v>
      </c>
      <c r="W77" s="403">
        <f t="shared" si="25"/>
        <v>0</v>
      </c>
      <c r="X77" s="403">
        <f t="shared" si="26"/>
        <v>0</v>
      </c>
      <c r="Y77" s="403">
        <f t="shared" ref="Y77:Y89" si="43">+E77*$S77+F77*$S77+G77*$S77+H77*$S77+I77*$S77+J77*$S77</f>
        <v>0</v>
      </c>
      <c r="Z77" s="403">
        <f t="shared" ref="Z77:Z89" si="44">+E77*$S77+F77*$S77+G77*$S77+H77*$S77+I77*$S77+J77*$S77+K77*$S77</f>
        <v>0</v>
      </c>
      <c r="AA77" s="403">
        <f t="shared" ref="AA77:AA89" si="45">++E77*$S77+F77*$S77+G77*$S77+H77*$S77+I77*$S77+J77*$S77+K77*$S77+L77*$S77</f>
        <v>0</v>
      </c>
      <c r="AB77" s="403">
        <f t="shared" ref="AB77:AB89" si="46">+E77*$S77+F77*$S77+G77*$S77+H77*$S77+I77*$S77+J77*$S77+K77*$S77+L77*$S77+M77*$S77</f>
        <v>0</v>
      </c>
      <c r="AC77" s="403">
        <f t="shared" ref="AC77:AC89" si="47">+E77*$S77+F77*$S77+G77*$S77+H77*$S77+I77*$S77+J77*$S77+K77*$S77+L77*$S77+M77*$S77+N77*$S77</f>
        <v>0</v>
      </c>
      <c r="AD77" s="403">
        <f t="shared" ref="AD77:AD89" si="48">+E77*$S77+F77*$S77+G77*$S77+H77*$S77+I77*$S77+J77*$S77+K77*$S77+L77*$S77+M77*$S77+N77*$S77+O77*$S77</f>
        <v>0</v>
      </c>
      <c r="AE77" s="404">
        <f t="shared" ref="AE77:AE89" si="49">+E77*$S77+F77*$S77+G77*$S77+H77*$S77+I77*$S77+J77*$S77+K77*$S77+L77*$S77+M77*$S77+N77*$S77+O77*$S77+P77*$S77</f>
        <v>0</v>
      </c>
      <c r="AF77" s="227"/>
    </row>
    <row r="78" spans="1:32">
      <c r="A78" s="854"/>
      <c r="B78" s="430" t="str">
        <f>+'Custo do Insumo'!B84</f>
        <v>Carro Coletor de Lixo - 1000 Litros (Azul - Lixo comum/Branco-Lixo Infectante)</v>
      </c>
      <c r="C78" s="399" t="str">
        <f>+'Custo do Insumo'!C84</f>
        <v>UND.</v>
      </c>
      <c r="D78" s="435">
        <f>+'Custo do Insumo'!D84</f>
        <v>34</v>
      </c>
      <c r="E78" s="455"/>
      <c r="F78" s="400"/>
      <c r="G78" s="400"/>
      <c r="H78" s="400"/>
      <c r="I78" s="400"/>
      <c r="J78" s="400"/>
      <c r="K78" s="400"/>
      <c r="L78" s="400"/>
      <c r="M78" s="400"/>
      <c r="N78" s="400"/>
      <c r="O78" s="400"/>
      <c r="P78" s="400"/>
      <c r="Q78" s="400">
        <f t="shared" si="42"/>
        <v>34</v>
      </c>
      <c r="R78" s="402">
        <f t="shared" si="41"/>
        <v>34</v>
      </c>
      <c r="S78" s="440">
        <f>+'Custo do Insumo'!U84</f>
        <v>0</v>
      </c>
      <c r="T78" s="437">
        <f t="shared" si="22"/>
        <v>0</v>
      </c>
      <c r="U78" s="403">
        <f t="shared" si="23"/>
        <v>0</v>
      </c>
      <c r="V78" s="403">
        <f t="shared" si="24"/>
        <v>0</v>
      </c>
      <c r="W78" s="403">
        <f t="shared" si="25"/>
        <v>0</v>
      </c>
      <c r="X78" s="403">
        <f t="shared" si="26"/>
        <v>0</v>
      </c>
      <c r="Y78" s="403">
        <f t="shared" si="43"/>
        <v>0</v>
      </c>
      <c r="Z78" s="403">
        <f t="shared" si="44"/>
        <v>0</v>
      </c>
      <c r="AA78" s="403">
        <f t="shared" si="45"/>
        <v>0</v>
      </c>
      <c r="AB78" s="403">
        <f t="shared" si="46"/>
        <v>0</v>
      </c>
      <c r="AC78" s="403">
        <f t="shared" si="47"/>
        <v>0</v>
      </c>
      <c r="AD78" s="403">
        <f t="shared" si="48"/>
        <v>0</v>
      </c>
      <c r="AE78" s="404">
        <f t="shared" si="49"/>
        <v>0</v>
      </c>
      <c r="AF78" s="227"/>
    </row>
    <row r="79" spans="1:32">
      <c r="A79" s="854"/>
      <c r="B79" s="430" t="str">
        <f>+'Custo do Insumo'!B85</f>
        <v>Carrinho prefeitura (contentor de 240)</v>
      </c>
      <c r="C79" s="399" t="str">
        <f>+'Custo do Insumo'!C85</f>
        <v>UND.</v>
      </c>
      <c r="D79" s="435">
        <f>+'Custo do Insumo'!D85</f>
        <v>5</v>
      </c>
      <c r="E79" s="455"/>
      <c r="F79" s="400"/>
      <c r="G79" s="400"/>
      <c r="H79" s="400"/>
      <c r="I79" s="400"/>
      <c r="J79" s="400"/>
      <c r="K79" s="400"/>
      <c r="L79" s="400"/>
      <c r="M79" s="400"/>
      <c r="N79" s="400"/>
      <c r="O79" s="400"/>
      <c r="P79" s="400"/>
      <c r="Q79" s="400">
        <f t="shared" si="42"/>
        <v>5</v>
      </c>
      <c r="R79" s="402">
        <f t="shared" si="41"/>
        <v>5</v>
      </c>
      <c r="S79" s="440">
        <f>+'Custo do Insumo'!U85</f>
        <v>0</v>
      </c>
      <c r="T79" s="437">
        <f t="shared" si="22"/>
        <v>0</v>
      </c>
      <c r="U79" s="403">
        <f t="shared" si="23"/>
        <v>0</v>
      </c>
      <c r="V79" s="403">
        <f t="shared" si="24"/>
        <v>0</v>
      </c>
      <c r="W79" s="403">
        <f t="shared" si="25"/>
        <v>0</v>
      </c>
      <c r="X79" s="403">
        <f t="shared" si="26"/>
        <v>0</v>
      </c>
      <c r="Y79" s="403">
        <f t="shared" si="43"/>
        <v>0</v>
      </c>
      <c r="Z79" s="403">
        <f t="shared" si="44"/>
        <v>0</v>
      </c>
      <c r="AA79" s="403">
        <f t="shared" si="45"/>
        <v>0</v>
      </c>
      <c r="AB79" s="403">
        <f t="shared" si="46"/>
        <v>0</v>
      </c>
      <c r="AC79" s="403">
        <f t="shared" si="47"/>
        <v>0</v>
      </c>
      <c r="AD79" s="403">
        <f t="shared" si="48"/>
        <v>0</v>
      </c>
      <c r="AE79" s="404">
        <f t="shared" si="49"/>
        <v>0</v>
      </c>
      <c r="AF79" s="227"/>
    </row>
    <row r="80" spans="1:32">
      <c r="A80" s="854"/>
      <c r="B80" s="430" t="str">
        <f>+'Custo do Insumo'!B86</f>
        <v>Escadas de alumínio 3 metros</v>
      </c>
      <c r="C80" s="399" t="str">
        <f>+'Custo do Insumo'!C86</f>
        <v>UND.</v>
      </c>
      <c r="D80" s="435">
        <f>+'Custo do Insumo'!D86</f>
        <v>3</v>
      </c>
      <c r="E80" s="455"/>
      <c r="F80" s="400"/>
      <c r="G80" s="400"/>
      <c r="H80" s="400"/>
      <c r="I80" s="400"/>
      <c r="J80" s="400"/>
      <c r="K80" s="400"/>
      <c r="L80" s="400"/>
      <c r="M80" s="400"/>
      <c r="N80" s="400"/>
      <c r="O80" s="400"/>
      <c r="P80" s="400"/>
      <c r="Q80" s="400">
        <f t="shared" si="42"/>
        <v>3</v>
      </c>
      <c r="R80" s="402">
        <f t="shared" si="41"/>
        <v>3</v>
      </c>
      <c r="S80" s="440">
        <f>+'Custo do Insumo'!U86</f>
        <v>0</v>
      </c>
      <c r="T80" s="437">
        <f t="shared" si="22"/>
        <v>0</v>
      </c>
      <c r="U80" s="403">
        <f t="shared" si="23"/>
        <v>0</v>
      </c>
      <c r="V80" s="403">
        <f t="shared" si="24"/>
        <v>0</v>
      </c>
      <c r="W80" s="403">
        <f t="shared" si="25"/>
        <v>0</v>
      </c>
      <c r="X80" s="403">
        <f t="shared" si="26"/>
        <v>0</v>
      </c>
      <c r="Y80" s="403">
        <f t="shared" si="43"/>
        <v>0</v>
      </c>
      <c r="Z80" s="403">
        <f t="shared" si="44"/>
        <v>0</v>
      </c>
      <c r="AA80" s="403">
        <f t="shared" si="45"/>
        <v>0</v>
      </c>
      <c r="AB80" s="403">
        <f t="shared" si="46"/>
        <v>0</v>
      </c>
      <c r="AC80" s="403">
        <f t="shared" si="47"/>
        <v>0</v>
      </c>
      <c r="AD80" s="403">
        <f t="shared" si="48"/>
        <v>0</v>
      </c>
      <c r="AE80" s="404">
        <f t="shared" si="49"/>
        <v>0</v>
      </c>
      <c r="AF80" s="227"/>
    </row>
    <row r="81" spans="1:32">
      <c r="A81" s="854"/>
      <c r="B81" s="430" t="str">
        <f>+'Custo do Insumo'!B87</f>
        <v>Escada de Alumínio 5 metros</v>
      </c>
      <c r="C81" s="399" t="str">
        <f>+'Custo do Insumo'!C87</f>
        <v>UND.</v>
      </c>
      <c r="D81" s="435">
        <f>+'Custo do Insumo'!D87</f>
        <v>3</v>
      </c>
      <c r="E81" s="455"/>
      <c r="F81" s="400"/>
      <c r="G81" s="400"/>
      <c r="H81" s="400"/>
      <c r="I81" s="400"/>
      <c r="J81" s="400"/>
      <c r="K81" s="400"/>
      <c r="L81" s="400"/>
      <c r="M81" s="400"/>
      <c r="N81" s="400"/>
      <c r="O81" s="400"/>
      <c r="P81" s="400"/>
      <c r="Q81" s="400">
        <f t="shared" ref="Q81:Q87" si="50">+D81</f>
        <v>3</v>
      </c>
      <c r="R81" s="402">
        <f t="shared" ref="R81:R87" si="51">+Q81-SUM(E81:P81)</f>
        <v>3</v>
      </c>
      <c r="S81" s="440">
        <f>+'Custo do Insumo'!U87</f>
        <v>0</v>
      </c>
      <c r="T81" s="437">
        <f t="shared" ref="T81:T87" si="52">+E81*$S81</f>
        <v>0</v>
      </c>
      <c r="U81" s="403">
        <f t="shared" ref="U81:U87" si="53">+E81*$S81+F81*$S81</f>
        <v>0</v>
      </c>
      <c r="V81" s="403">
        <f t="shared" ref="V81:V87" si="54">+E81*$S81+F81*$S81+G81*$S81</f>
        <v>0</v>
      </c>
      <c r="W81" s="403">
        <f t="shared" ref="W81:W87" si="55">++E81*$S81+F81*$S81+G81*$S81+H81*$S81</f>
        <v>0</v>
      </c>
      <c r="X81" s="403">
        <f t="shared" ref="X81:X87" si="56">+E81*$S81+F81*$S81+G81*$S81+H81*$S81+I81*$S81</f>
        <v>0</v>
      </c>
      <c r="Y81" s="403">
        <f t="shared" ref="Y81:Y87" si="57">+E81*$S81+F81*$S81+G81*$S81+H81*$S81+I81*$S81+J81*$S81</f>
        <v>0</v>
      </c>
      <c r="Z81" s="403">
        <f t="shared" ref="Z81:Z87" si="58">+E81*$S81+F81*$S81+G81*$S81+H81*$S81+I81*$S81+J81*$S81+K81*$S81</f>
        <v>0</v>
      </c>
      <c r="AA81" s="403">
        <f t="shared" ref="AA81:AA87" si="59">++E81*$S81+F81*$S81+G81*$S81+H81*$S81+I81*$S81+J81*$S81+K81*$S81+L81*$S81</f>
        <v>0</v>
      </c>
      <c r="AB81" s="403">
        <f t="shared" ref="AB81:AB87" si="60">+E81*$S81+F81*$S81+G81*$S81+H81*$S81+I81*$S81+J81*$S81+K81*$S81+L81*$S81+M81*$S81</f>
        <v>0</v>
      </c>
      <c r="AC81" s="403">
        <f t="shared" ref="AC81:AC87" si="61">+E81*$S81+F81*$S81+G81*$S81+H81*$S81+I81*$S81+J81*$S81+K81*$S81+L81*$S81+M81*$S81+N81*$S81</f>
        <v>0</v>
      </c>
      <c r="AD81" s="403">
        <f t="shared" ref="AD81:AD87" si="62">+E81*$S81+F81*$S81+G81*$S81+H81*$S81+I81*$S81+J81*$S81+K81*$S81+L81*$S81+M81*$S81+N81*$S81+O81*$S81</f>
        <v>0</v>
      </c>
      <c r="AE81" s="404">
        <f t="shared" ref="AE81:AE87" si="63">+E81*$S81+F81*$S81+G81*$S81+H81*$S81+I81*$S81+J81*$S81+K81*$S81+L81*$S81+M81*$S81+N81*$S81+O81*$S81+P81*$S81</f>
        <v>0</v>
      </c>
      <c r="AF81" s="227"/>
    </row>
    <row r="82" spans="1:32">
      <c r="A82" s="854"/>
      <c r="B82" s="430" t="str">
        <f>+'Custo do Insumo'!B88</f>
        <v>Enceradeiras Industrial Certec ou Similar</v>
      </c>
      <c r="C82" s="399" t="str">
        <f>+'Custo do Insumo'!C88</f>
        <v>UND.</v>
      </c>
      <c r="D82" s="435">
        <f>+'Custo do Insumo'!D88</f>
        <v>25</v>
      </c>
      <c r="E82" s="455"/>
      <c r="F82" s="400"/>
      <c r="G82" s="400"/>
      <c r="H82" s="400"/>
      <c r="I82" s="400"/>
      <c r="J82" s="400"/>
      <c r="K82" s="400"/>
      <c r="L82" s="400"/>
      <c r="M82" s="400"/>
      <c r="N82" s="400"/>
      <c r="O82" s="400"/>
      <c r="P82" s="400"/>
      <c r="Q82" s="400">
        <f t="shared" si="50"/>
        <v>25</v>
      </c>
      <c r="R82" s="402">
        <f t="shared" si="51"/>
        <v>25</v>
      </c>
      <c r="S82" s="440">
        <f>+'Custo do Insumo'!U88</f>
        <v>0</v>
      </c>
      <c r="T82" s="437">
        <f t="shared" si="52"/>
        <v>0</v>
      </c>
      <c r="U82" s="403">
        <f t="shared" si="53"/>
        <v>0</v>
      </c>
      <c r="V82" s="403">
        <f t="shared" si="54"/>
        <v>0</v>
      </c>
      <c r="W82" s="403">
        <f t="shared" si="55"/>
        <v>0</v>
      </c>
      <c r="X82" s="403">
        <f t="shared" si="56"/>
        <v>0</v>
      </c>
      <c r="Y82" s="403">
        <f t="shared" si="57"/>
        <v>0</v>
      </c>
      <c r="Z82" s="403">
        <f t="shared" si="58"/>
        <v>0</v>
      </c>
      <c r="AA82" s="403">
        <f t="shared" si="59"/>
        <v>0</v>
      </c>
      <c r="AB82" s="403">
        <f t="shared" si="60"/>
        <v>0</v>
      </c>
      <c r="AC82" s="403">
        <f t="shared" si="61"/>
        <v>0</v>
      </c>
      <c r="AD82" s="403">
        <f t="shared" si="62"/>
        <v>0</v>
      </c>
      <c r="AE82" s="404">
        <f t="shared" si="63"/>
        <v>0</v>
      </c>
      <c r="AF82" s="227"/>
    </row>
    <row r="83" spans="1:32">
      <c r="A83" s="854"/>
      <c r="B83" s="430" t="str">
        <f>+'Custo do Insumo'!B89</f>
        <v>Suporte instalação para enceradeiras e lavadoras, com base em madeira naval ou disco fixo 350cm</v>
      </c>
      <c r="C83" s="399" t="str">
        <f>+'Custo do Insumo'!C89</f>
        <v>UND.</v>
      </c>
      <c r="D83" s="435">
        <f>+'Custo do Insumo'!D89</f>
        <v>40</v>
      </c>
      <c r="E83" s="455"/>
      <c r="F83" s="400"/>
      <c r="G83" s="400"/>
      <c r="H83" s="400"/>
      <c r="I83" s="400"/>
      <c r="J83" s="400"/>
      <c r="K83" s="400"/>
      <c r="L83" s="400"/>
      <c r="M83" s="400"/>
      <c r="N83" s="400"/>
      <c r="O83" s="400"/>
      <c r="P83" s="400"/>
      <c r="Q83" s="400">
        <f t="shared" si="50"/>
        <v>40</v>
      </c>
      <c r="R83" s="402">
        <f t="shared" si="51"/>
        <v>40</v>
      </c>
      <c r="S83" s="440">
        <f>+'Custo do Insumo'!U89</f>
        <v>0</v>
      </c>
      <c r="T83" s="437">
        <f t="shared" si="52"/>
        <v>0</v>
      </c>
      <c r="U83" s="403">
        <f t="shared" si="53"/>
        <v>0</v>
      </c>
      <c r="V83" s="403">
        <f t="shared" si="54"/>
        <v>0</v>
      </c>
      <c r="W83" s="403">
        <f t="shared" si="55"/>
        <v>0</v>
      </c>
      <c r="X83" s="403">
        <f t="shared" si="56"/>
        <v>0</v>
      </c>
      <c r="Y83" s="403">
        <f t="shared" si="57"/>
        <v>0</v>
      </c>
      <c r="Z83" s="403">
        <f t="shared" si="58"/>
        <v>0</v>
      </c>
      <c r="AA83" s="403">
        <f t="shared" si="59"/>
        <v>0</v>
      </c>
      <c r="AB83" s="403">
        <f t="shared" si="60"/>
        <v>0</v>
      </c>
      <c r="AC83" s="403">
        <f t="shared" si="61"/>
        <v>0</v>
      </c>
      <c r="AD83" s="403">
        <f t="shared" si="62"/>
        <v>0</v>
      </c>
      <c r="AE83" s="404">
        <f t="shared" si="63"/>
        <v>0</v>
      </c>
      <c r="AF83" s="227"/>
    </row>
    <row r="84" spans="1:32">
      <c r="A84" s="854"/>
      <c r="B84" s="430" t="str">
        <f>+'Custo do Insumo'!B90</f>
        <v>Extensão elétrica c/ 50 metros</v>
      </c>
      <c r="C84" s="399" t="str">
        <f>+'Custo do Insumo'!C90</f>
        <v>UND.</v>
      </c>
      <c r="D84" s="435">
        <f>+'Custo do Insumo'!D90</f>
        <v>10</v>
      </c>
      <c r="E84" s="455"/>
      <c r="F84" s="400"/>
      <c r="G84" s="400"/>
      <c r="H84" s="400"/>
      <c r="I84" s="400"/>
      <c r="J84" s="400"/>
      <c r="K84" s="400"/>
      <c r="L84" s="400"/>
      <c r="M84" s="400"/>
      <c r="N84" s="400"/>
      <c r="O84" s="400"/>
      <c r="P84" s="400"/>
      <c r="Q84" s="400">
        <f t="shared" si="50"/>
        <v>10</v>
      </c>
      <c r="R84" s="402">
        <f t="shared" si="51"/>
        <v>10</v>
      </c>
      <c r="S84" s="440">
        <f>+'Custo do Insumo'!U90</f>
        <v>0</v>
      </c>
      <c r="T84" s="437">
        <f t="shared" si="52"/>
        <v>0</v>
      </c>
      <c r="U84" s="403">
        <f t="shared" si="53"/>
        <v>0</v>
      </c>
      <c r="V84" s="403">
        <f t="shared" si="54"/>
        <v>0</v>
      </c>
      <c r="W84" s="403">
        <f t="shared" si="55"/>
        <v>0</v>
      </c>
      <c r="X84" s="403">
        <f t="shared" si="56"/>
        <v>0</v>
      </c>
      <c r="Y84" s="403">
        <f t="shared" si="57"/>
        <v>0</v>
      </c>
      <c r="Z84" s="403">
        <f t="shared" si="58"/>
        <v>0</v>
      </c>
      <c r="AA84" s="403">
        <f t="shared" si="59"/>
        <v>0</v>
      </c>
      <c r="AB84" s="403">
        <f t="shared" si="60"/>
        <v>0</v>
      </c>
      <c r="AC84" s="403">
        <f t="shared" si="61"/>
        <v>0</v>
      </c>
      <c r="AD84" s="403">
        <f t="shared" si="62"/>
        <v>0</v>
      </c>
      <c r="AE84" s="404">
        <f t="shared" si="63"/>
        <v>0</v>
      </c>
      <c r="AF84" s="227"/>
    </row>
    <row r="85" spans="1:32">
      <c r="A85" s="854"/>
      <c r="B85" s="430" t="str">
        <f>+'Custo do Insumo'!B91</f>
        <v>Extensão elétrica c/ 30 metros</v>
      </c>
      <c r="C85" s="399" t="str">
        <f>+'Custo do Insumo'!C91</f>
        <v>UND.</v>
      </c>
      <c r="D85" s="435">
        <f>+'Custo do Insumo'!D91</f>
        <v>15</v>
      </c>
      <c r="E85" s="455"/>
      <c r="F85" s="400"/>
      <c r="G85" s="400"/>
      <c r="H85" s="400"/>
      <c r="I85" s="400"/>
      <c r="J85" s="400"/>
      <c r="K85" s="400"/>
      <c r="L85" s="400"/>
      <c r="M85" s="400"/>
      <c r="N85" s="400"/>
      <c r="O85" s="400"/>
      <c r="P85" s="400"/>
      <c r="Q85" s="400">
        <f t="shared" si="50"/>
        <v>15</v>
      </c>
      <c r="R85" s="402">
        <f t="shared" si="51"/>
        <v>15</v>
      </c>
      <c r="S85" s="440">
        <f>+'Custo do Insumo'!U91</f>
        <v>0</v>
      </c>
      <c r="T85" s="437">
        <f t="shared" si="52"/>
        <v>0</v>
      </c>
      <c r="U85" s="403">
        <f t="shared" si="53"/>
        <v>0</v>
      </c>
      <c r="V85" s="403">
        <f t="shared" si="54"/>
        <v>0</v>
      </c>
      <c r="W85" s="403">
        <f t="shared" si="55"/>
        <v>0</v>
      </c>
      <c r="X85" s="403">
        <f t="shared" si="56"/>
        <v>0</v>
      </c>
      <c r="Y85" s="403">
        <f t="shared" si="57"/>
        <v>0</v>
      </c>
      <c r="Z85" s="403">
        <f t="shared" si="58"/>
        <v>0</v>
      </c>
      <c r="AA85" s="403">
        <f t="shared" si="59"/>
        <v>0</v>
      </c>
      <c r="AB85" s="403">
        <f t="shared" si="60"/>
        <v>0</v>
      </c>
      <c r="AC85" s="403">
        <f t="shared" si="61"/>
        <v>0</v>
      </c>
      <c r="AD85" s="403">
        <f t="shared" si="62"/>
        <v>0</v>
      </c>
      <c r="AE85" s="404">
        <f t="shared" si="63"/>
        <v>0</v>
      </c>
      <c r="AF85" s="227"/>
    </row>
    <row r="86" spans="1:32">
      <c r="A86" s="854"/>
      <c r="B86" s="430" t="str">
        <f>+'Custo do Insumo'!B92</f>
        <v>Jateadora Sthill RE98 ou similar</v>
      </c>
      <c r="C86" s="399" t="str">
        <f>+'Custo do Insumo'!C92</f>
        <v>UND.</v>
      </c>
      <c r="D86" s="435">
        <f>+'Custo do Insumo'!D92</f>
        <v>2</v>
      </c>
      <c r="E86" s="455"/>
      <c r="F86" s="400"/>
      <c r="G86" s="400"/>
      <c r="H86" s="400"/>
      <c r="I86" s="400"/>
      <c r="J86" s="400"/>
      <c r="K86" s="400"/>
      <c r="L86" s="400"/>
      <c r="M86" s="400"/>
      <c r="N86" s="400"/>
      <c r="O86" s="400"/>
      <c r="P86" s="400"/>
      <c r="Q86" s="400">
        <f t="shared" si="50"/>
        <v>2</v>
      </c>
      <c r="R86" s="402">
        <f t="shared" si="51"/>
        <v>2</v>
      </c>
      <c r="S86" s="440">
        <f>+'Custo do Insumo'!U92</f>
        <v>0</v>
      </c>
      <c r="T86" s="437">
        <f t="shared" si="52"/>
        <v>0</v>
      </c>
      <c r="U86" s="403">
        <f t="shared" si="53"/>
        <v>0</v>
      </c>
      <c r="V86" s="403">
        <f t="shared" si="54"/>
        <v>0</v>
      </c>
      <c r="W86" s="403">
        <f t="shared" si="55"/>
        <v>0</v>
      </c>
      <c r="X86" s="403">
        <f t="shared" si="56"/>
        <v>0</v>
      </c>
      <c r="Y86" s="403">
        <f t="shared" si="57"/>
        <v>0</v>
      </c>
      <c r="Z86" s="403">
        <f t="shared" si="58"/>
        <v>0</v>
      </c>
      <c r="AA86" s="403">
        <f t="shared" si="59"/>
        <v>0</v>
      </c>
      <c r="AB86" s="403">
        <f t="shared" si="60"/>
        <v>0</v>
      </c>
      <c r="AC86" s="403">
        <f t="shared" si="61"/>
        <v>0</v>
      </c>
      <c r="AD86" s="403">
        <f t="shared" si="62"/>
        <v>0</v>
      </c>
      <c r="AE86" s="404">
        <f t="shared" si="63"/>
        <v>0</v>
      </c>
      <c r="AF86" s="227"/>
    </row>
    <row r="87" spans="1:32">
      <c r="A87" s="854"/>
      <c r="B87" s="430" t="str">
        <f>+'Custo do Insumo'!B93</f>
        <v>Lavadora de piso à bateria Alfa B70 ou Similar (Corredor)</v>
      </c>
      <c r="C87" s="399" t="str">
        <f>+'Custo do Insumo'!C93</f>
        <v>UND.</v>
      </c>
      <c r="D87" s="435">
        <f>+'Custo do Insumo'!D93</f>
        <v>1</v>
      </c>
      <c r="E87" s="455"/>
      <c r="F87" s="400"/>
      <c r="G87" s="400"/>
      <c r="H87" s="400"/>
      <c r="I87" s="400"/>
      <c r="J87" s="400"/>
      <c r="K87" s="400"/>
      <c r="L87" s="400"/>
      <c r="M87" s="400"/>
      <c r="N87" s="400"/>
      <c r="O87" s="400"/>
      <c r="P87" s="400"/>
      <c r="Q87" s="400">
        <f t="shared" si="50"/>
        <v>1</v>
      </c>
      <c r="R87" s="402">
        <f t="shared" si="51"/>
        <v>1</v>
      </c>
      <c r="S87" s="440">
        <f>+'Custo do Insumo'!U93</f>
        <v>0</v>
      </c>
      <c r="T87" s="437">
        <f t="shared" si="52"/>
        <v>0</v>
      </c>
      <c r="U87" s="403">
        <f t="shared" si="53"/>
        <v>0</v>
      </c>
      <c r="V87" s="403">
        <f t="shared" si="54"/>
        <v>0</v>
      </c>
      <c r="W87" s="403">
        <f t="shared" si="55"/>
        <v>0</v>
      </c>
      <c r="X87" s="403">
        <f t="shared" si="56"/>
        <v>0</v>
      </c>
      <c r="Y87" s="403">
        <f t="shared" si="57"/>
        <v>0</v>
      </c>
      <c r="Z87" s="403">
        <f t="shared" si="58"/>
        <v>0</v>
      </c>
      <c r="AA87" s="403">
        <f t="shared" si="59"/>
        <v>0</v>
      </c>
      <c r="AB87" s="403">
        <f t="shared" si="60"/>
        <v>0</v>
      </c>
      <c r="AC87" s="403">
        <f t="shared" si="61"/>
        <v>0</v>
      </c>
      <c r="AD87" s="403">
        <f t="shared" si="62"/>
        <v>0</v>
      </c>
      <c r="AE87" s="404">
        <f t="shared" si="63"/>
        <v>0</v>
      </c>
      <c r="AF87" s="227"/>
    </row>
    <row r="88" spans="1:32">
      <c r="A88" s="854"/>
      <c r="B88" s="430" t="str">
        <f>+'Custo do Insumo'!B94</f>
        <v>Mangueira ¾ com 100 metros</v>
      </c>
      <c r="C88" s="399" t="str">
        <f>+'Custo do Insumo'!C94</f>
        <v>UND.</v>
      </c>
      <c r="D88" s="435">
        <f>+'Custo do Insumo'!D94</f>
        <v>3</v>
      </c>
      <c r="E88" s="455"/>
      <c r="F88" s="400"/>
      <c r="G88" s="400"/>
      <c r="H88" s="400"/>
      <c r="I88" s="400"/>
      <c r="J88" s="400"/>
      <c r="K88" s="400"/>
      <c r="L88" s="400"/>
      <c r="M88" s="400"/>
      <c r="N88" s="400"/>
      <c r="O88" s="400"/>
      <c r="P88" s="400"/>
      <c r="Q88" s="400">
        <f t="shared" si="42"/>
        <v>3</v>
      </c>
      <c r="R88" s="402">
        <f t="shared" si="41"/>
        <v>3</v>
      </c>
      <c r="S88" s="440">
        <f>+'Custo do Insumo'!U94</f>
        <v>0</v>
      </c>
      <c r="T88" s="437">
        <f t="shared" si="22"/>
        <v>0</v>
      </c>
      <c r="U88" s="403">
        <f t="shared" si="23"/>
        <v>0</v>
      </c>
      <c r="V88" s="403">
        <f t="shared" si="24"/>
        <v>0</v>
      </c>
      <c r="W88" s="403">
        <f t="shared" si="25"/>
        <v>0</v>
      </c>
      <c r="X88" s="403">
        <f t="shared" si="26"/>
        <v>0</v>
      </c>
      <c r="Y88" s="403">
        <f t="shared" si="43"/>
        <v>0</v>
      </c>
      <c r="Z88" s="403">
        <f t="shared" si="44"/>
        <v>0</v>
      </c>
      <c r="AA88" s="403">
        <f t="shared" si="45"/>
        <v>0</v>
      </c>
      <c r="AB88" s="403">
        <f t="shared" si="46"/>
        <v>0</v>
      </c>
      <c r="AC88" s="403">
        <f t="shared" si="47"/>
        <v>0</v>
      </c>
      <c r="AD88" s="403">
        <f t="shared" si="48"/>
        <v>0</v>
      </c>
      <c r="AE88" s="404">
        <f t="shared" si="49"/>
        <v>0</v>
      </c>
      <c r="AF88" s="227"/>
    </row>
    <row r="89" spans="1:32" ht="10.8" thickBot="1">
      <c r="A89" s="854"/>
      <c r="B89" s="431" t="str">
        <f>+'Custo do Insumo'!B95</f>
        <v>Sinalizadores para piso molhado</v>
      </c>
      <c r="C89" s="405" t="str">
        <f>+'Custo do Insumo'!C95</f>
        <v>UND.</v>
      </c>
      <c r="D89" s="442">
        <f>+'Custo do Insumo'!D95</f>
        <v>20</v>
      </c>
      <c r="E89" s="456"/>
      <c r="F89" s="406"/>
      <c r="G89" s="406"/>
      <c r="H89" s="406"/>
      <c r="I89" s="406"/>
      <c r="J89" s="406"/>
      <c r="K89" s="406"/>
      <c r="L89" s="406"/>
      <c r="M89" s="406"/>
      <c r="N89" s="406"/>
      <c r="O89" s="406"/>
      <c r="P89" s="406"/>
      <c r="Q89" s="406">
        <f t="shared" si="42"/>
        <v>20</v>
      </c>
      <c r="R89" s="408">
        <f t="shared" si="41"/>
        <v>20</v>
      </c>
      <c r="S89" s="443">
        <f>+'Custo do Insumo'!U95</f>
        <v>0</v>
      </c>
      <c r="T89" s="437">
        <f t="shared" si="22"/>
        <v>0</v>
      </c>
      <c r="U89" s="403">
        <f t="shared" si="23"/>
        <v>0</v>
      </c>
      <c r="V89" s="403">
        <f t="shared" si="24"/>
        <v>0</v>
      </c>
      <c r="W89" s="403">
        <f t="shared" si="25"/>
        <v>0</v>
      </c>
      <c r="X89" s="403">
        <f t="shared" si="26"/>
        <v>0</v>
      </c>
      <c r="Y89" s="403">
        <f t="shared" si="43"/>
        <v>0</v>
      </c>
      <c r="Z89" s="403">
        <f t="shared" si="44"/>
        <v>0</v>
      </c>
      <c r="AA89" s="403">
        <f t="shared" si="45"/>
        <v>0</v>
      </c>
      <c r="AB89" s="403">
        <f t="shared" si="46"/>
        <v>0</v>
      </c>
      <c r="AC89" s="403">
        <f t="shared" si="47"/>
        <v>0</v>
      </c>
      <c r="AD89" s="403">
        <f t="shared" si="48"/>
        <v>0</v>
      </c>
      <c r="AE89" s="404">
        <f t="shared" si="49"/>
        <v>0</v>
      </c>
      <c r="AF89" s="227"/>
    </row>
    <row r="90" spans="1:32" ht="10.8" thickBot="1">
      <c r="A90" s="210"/>
      <c r="B90" s="432"/>
      <c r="C90" s="210"/>
      <c r="D90" s="210"/>
      <c r="E90" s="458"/>
      <c r="F90" s="210"/>
      <c r="G90" s="210"/>
      <c r="H90" s="210"/>
      <c r="I90" s="210"/>
      <c r="J90" s="210"/>
      <c r="K90" s="210"/>
      <c r="L90" s="210"/>
      <c r="M90" s="210"/>
      <c r="N90" s="210"/>
      <c r="O90" s="210"/>
      <c r="P90" s="210"/>
      <c r="Q90" s="855" t="s">
        <v>534</v>
      </c>
      <c r="R90" s="856"/>
      <c r="S90" s="857"/>
      <c r="T90" s="419">
        <f t="shared" ref="T90:AE90" si="64">SUM(T4:T89)</f>
        <v>0</v>
      </c>
      <c r="U90" s="420">
        <f t="shared" si="64"/>
        <v>0</v>
      </c>
      <c r="V90" s="420">
        <f t="shared" si="64"/>
        <v>0</v>
      </c>
      <c r="W90" s="420">
        <f t="shared" si="64"/>
        <v>0</v>
      </c>
      <c r="X90" s="420">
        <f t="shared" si="64"/>
        <v>0</v>
      </c>
      <c r="Y90" s="420">
        <f t="shared" si="64"/>
        <v>0</v>
      </c>
      <c r="Z90" s="420">
        <f t="shared" si="64"/>
        <v>0</v>
      </c>
      <c r="AA90" s="420">
        <f t="shared" si="64"/>
        <v>0</v>
      </c>
      <c r="AB90" s="420">
        <f t="shared" si="64"/>
        <v>0</v>
      </c>
      <c r="AC90" s="420">
        <f t="shared" si="64"/>
        <v>0</v>
      </c>
      <c r="AD90" s="420">
        <f t="shared" si="64"/>
        <v>0</v>
      </c>
      <c r="AE90" s="421">
        <f t="shared" si="64"/>
        <v>0</v>
      </c>
    </row>
    <row r="91" spans="1:32" ht="21" thickBot="1">
      <c r="A91" s="210" t="s">
        <v>535</v>
      </c>
      <c r="B91" s="432"/>
      <c r="C91" s="210"/>
      <c r="D91" s="210"/>
      <c r="E91" s="458"/>
      <c r="F91" s="210"/>
      <c r="G91" s="210"/>
      <c r="H91" s="210"/>
      <c r="I91" s="210"/>
      <c r="J91" s="210"/>
      <c r="K91" s="210"/>
      <c r="M91" s="210"/>
      <c r="N91" s="210"/>
      <c r="O91" s="210" t="s">
        <v>536</v>
      </c>
      <c r="P91" s="210"/>
      <c r="Q91" s="422"/>
      <c r="R91" s="422"/>
      <c r="S91" s="422"/>
      <c r="T91" s="423" t="s">
        <v>537</v>
      </c>
      <c r="U91" s="424" t="s">
        <v>538</v>
      </c>
      <c r="V91" s="424" t="s">
        <v>539</v>
      </c>
      <c r="W91" s="424" t="s">
        <v>540</v>
      </c>
      <c r="X91" s="424" t="s">
        <v>541</v>
      </c>
      <c r="Y91" s="424" t="s">
        <v>542</v>
      </c>
      <c r="Z91" s="424" t="s">
        <v>543</v>
      </c>
      <c r="AA91" s="424" t="s">
        <v>544</v>
      </c>
      <c r="AB91" s="424" t="s">
        <v>545</v>
      </c>
      <c r="AC91" s="424" t="s">
        <v>546</v>
      </c>
      <c r="AD91" s="424" t="s">
        <v>547</v>
      </c>
      <c r="AE91" s="425" t="s">
        <v>548</v>
      </c>
    </row>
    <row r="92" spans="1:32" ht="12.6" thickBot="1">
      <c r="T92" s="426" t="str">
        <f>IF(T90&gt;$AD$1,"Verifique","OK")</f>
        <v>OK</v>
      </c>
      <c r="U92" s="426" t="str">
        <f t="shared" ref="U92:AE92" si="65">IF(U90&gt;$AD$1,"Verifique","OK")</f>
        <v>OK</v>
      </c>
      <c r="V92" s="426" t="str">
        <f t="shared" si="65"/>
        <v>OK</v>
      </c>
      <c r="W92" s="426" t="str">
        <f t="shared" si="65"/>
        <v>OK</v>
      </c>
      <c r="X92" s="426" t="str">
        <f t="shared" si="65"/>
        <v>OK</v>
      </c>
      <c r="Y92" s="426" t="str">
        <f t="shared" si="65"/>
        <v>OK</v>
      </c>
      <c r="Z92" s="426" t="str">
        <f t="shared" si="65"/>
        <v>OK</v>
      </c>
      <c r="AA92" s="426" t="str">
        <f t="shared" si="65"/>
        <v>OK</v>
      </c>
      <c r="AB92" s="426" t="str">
        <f t="shared" si="65"/>
        <v>OK</v>
      </c>
      <c r="AC92" s="426" t="str">
        <f t="shared" si="65"/>
        <v>OK</v>
      </c>
      <c r="AD92" s="426" t="str">
        <f t="shared" si="65"/>
        <v>OK</v>
      </c>
      <c r="AE92" s="427" t="str">
        <f t="shared" si="65"/>
        <v>OK</v>
      </c>
    </row>
    <row r="94" spans="1:32">
      <c r="A94" s="210"/>
      <c r="B94" s="432"/>
      <c r="C94" s="210"/>
      <c r="D94" s="210"/>
      <c r="E94" s="210"/>
      <c r="F94" s="210"/>
      <c r="G94" s="210"/>
      <c r="H94" s="210"/>
      <c r="I94" s="210"/>
      <c r="J94" s="210"/>
      <c r="K94" s="210"/>
      <c r="M94" s="210"/>
      <c r="N94" s="210"/>
      <c r="O94" s="210"/>
      <c r="P94" s="210"/>
      <c r="Q94" s="422"/>
      <c r="R94" s="422"/>
    </row>
  </sheetData>
  <mergeCells count="17">
    <mergeCell ref="A1:S1"/>
    <mergeCell ref="AB1:AC1"/>
    <mergeCell ref="AD1:AE1"/>
    <mergeCell ref="A2:A3"/>
    <mergeCell ref="B2:B3"/>
    <mergeCell ref="C2:C3"/>
    <mergeCell ref="D2:D3"/>
    <mergeCell ref="E2:P2"/>
    <mergeCell ref="Q2:Q3"/>
    <mergeCell ref="R2:R3"/>
    <mergeCell ref="A76:A89"/>
    <mergeCell ref="Q90:S90"/>
    <mergeCell ref="S2:S3"/>
    <mergeCell ref="T2:AE2"/>
    <mergeCell ref="A4:A62"/>
    <mergeCell ref="A63:A68"/>
    <mergeCell ref="A69:A75"/>
  </mergeCells>
  <conditionalFormatting sqref="T92:AE92">
    <cfRule type="containsText" dxfId="12" priority="1" operator="containsText" text="Mais de uma Nota Atribuida na linha. Verifique">
      <formula>NOT(ISERROR(SEARCH("Mais de uma Nota Atribuida na linha. Verifique",T92)))</formula>
    </cfRule>
    <cfRule type="containsText" dxfId="11" priority="2" stopIfTrue="1" operator="containsText" text="Verifique">
      <formula>NOT(ISERROR(SEARCH("Verifique",T92)))</formula>
    </cfRule>
    <cfRule type="containsText" dxfId="10" priority="3" stopIfTrue="1" operator="containsText" text="OK">
      <formula>NOT(ISERROR(SEARCH("OK",T92)))</formula>
    </cfRule>
  </conditionalFormatting>
  <pageMargins left="0.17" right="0.17" top="0.73" bottom="0.41" header="0.31496062992125984" footer="0.31496062992125984"/>
  <pageSetup paperSize="9" scale="4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topLeftCell="A28" workbookViewId="0">
      <selection activeCell="K45" sqref="K45:L45"/>
    </sheetView>
  </sheetViews>
  <sheetFormatPr defaultRowHeight="12"/>
  <cols>
    <col min="1" max="1" width="5" style="467" customWidth="1"/>
    <col min="2" max="4" width="9" style="467"/>
    <col min="5" max="5" width="9.6328125" style="467" customWidth="1"/>
    <col min="6" max="6" width="8.26953125" style="467" customWidth="1"/>
    <col min="7" max="7" width="9.7265625" style="467" customWidth="1"/>
    <col min="8" max="8" width="9" style="467" customWidth="1"/>
    <col min="9" max="9" width="9" style="467"/>
    <col min="10" max="10" width="0.7265625" style="511" customWidth="1"/>
    <col min="11" max="11" width="4.90625" style="467" customWidth="1"/>
    <col min="12" max="12" width="9.26953125" style="467" customWidth="1"/>
    <col min="13" max="13" width="10" style="467" customWidth="1"/>
    <col min="14" max="17" width="9" style="467"/>
    <col min="18" max="18" width="11.36328125" style="467" customWidth="1"/>
    <col min="19" max="256" width="9" style="467"/>
    <col min="257" max="257" width="8.26953125" style="467" customWidth="1"/>
    <col min="258" max="260" width="9" style="467"/>
    <col min="261" max="261" width="9.6328125" style="467" customWidth="1"/>
    <col min="262" max="262" width="8.26953125" style="467" customWidth="1"/>
    <col min="263" max="263" width="10.08984375" style="467" customWidth="1"/>
    <col min="264" max="264" width="9" style="467" customWidth="1"/>
    <col min="265" max="265" width="9" style="467"/>
    <col min="266" max="266" width="0.7265625" style="467" customWidth="1"/>
    <col min="267" max="267" width="4.90625" style="467" customWidth="1"/>
    <col min="268" max="268" width="9.26953125" style="467" customWidth="1"/>
    <col min="269" max="273" width="9" style="467"/>
    <col min="274" max="274" width="11.36328125" style="467" customWidth="1"/>
    <col min="275" max="512" width="9" style="467"/>
    <col min="513" max="513" width="8.26953125" style="467" customWidth="1"/>
    <col min="514" max="516" width="9" style="467"/>
    <col min="517" max="517" width="9.6328125" style="467" customWidth="1"/>
    <col min="518" max="518" width="8.26953125" style="467" customWidth="1"/>
    <col min="519" max="519" width="10.08984375" style="467" customWidth="1"/>
    <col min="520" max="520" width="9" style="467" customWidth="1"/>
    <col min="521" max="521" width="9" style="467"/>
    <col min="522" max="522" width="0.7265625" style="467" customWidth="1"/>
    <col min="523" max="523" width="4.90625" style="467" customWidth="1"/>
    <col min="524" max="524" width="9.26953125" style="467" customWidth="1"/>
    <col min="525" max="529" width="9" style="467"/>
    <col min="530" max="530" width="11.36328125" style="467" customWidth="1"/>
    <col min="531" max="768" width="9" style="467"/>
    <col min="769" max="769" width="8.26953125" style="467" customWidth="1"/>
    <col min="770" max="772" width="9" style="467"/>
    <col min="773" max="773" width="9.6328125" style="467" customWidth="1"/>
    <col min="774" max="774" width="8.26953125" style="467" customWidth="1"/>
    <col min="775" max="775" width="10.08984375" style="467" customWidth="1"/>
    <col min="776" max="776" width="9" style="467" customWidth="1"/>
    <col min="777" max="777" width="9" style="467"/>
    <col min="778" max="778" width="0.7265625" style="467" customWidth="1"/>
    <col min="779" max="779" width="4.90625" style="467" customWidth="1"/>
    <col min="780" max="780" width="9.26953125" style="467" customWidth="1"/>
    <col min="781" max="785" width="9" style="467"/>
    <col min="786" max="786" width="11.36328125" style="467" customWidth="1"/>
    <col min="787" max="1024" width="9" style="467"/>
    <col min="1025" max="1025" width="8.26953125" style="467" customWidth="1"/>
    <col min="1026" max="1028" width="9" style="467"/>
    <col min="1029" max="1029" width="9.6328125" style="467" customWidth="1"/>
    <col min="1030" max="1030" width="8.26953125" style="467" customWidth="1"/>
    <col min="1031" max="1031" width="10.08984375" style="467" customWidth="1"/>
    <col min="1032" max="1032" width="9" style="467" customWidth="1"/>
    <col min="1033" max="1033" width="9" style="467"/>
    <col min="1034" max="1034" width="0.7265625" style="467" customWidth="1"/>
    <col min="1035" max="1035" width="4.90625" style="467" customWidth="1"/>
    <col min="1036" max="1036" width="9.26953125" style="467" customWidth="1"/>
    <col min="1037" max="1041" width="9" style="467"/>
    <col min="1042" max="1042" width="11.36328125" style="467" customWidth="1"/>
    <col min="1043" max="1280" width="9" style="467"/>
    <col min="1281" max="1281" width="8.26953125" style="467" customWidth="1"/>
    <col min="1282" max="1284" width="9" style="467"/>
    <col min="1285" max="1285" width="9.6328125" style="467" customWidth="1"/>
    <col min="1286" max="1286" width="8.26953125" style="467" customWidth="1"/>
    <col min="1287" max="1287" width="10.08984375" style="467" customWidth="1"/>
    <col min="1288" max="1288" width="9" style="467" customWidth="1"/>
    <col min="1289" max="1289" width="9" style="467"/>
    <col min="1290" max="1290" width="0.7265625" style="467" customWidth="1"/>
    <col min="1291" max="1291" width="4.90625" style="467" customWidth="1"/>
    <col min="1292" max="1292" width="9.26953125" style="467" customWidth="1"/>
    <col min="1293" max="1297" width="9" style="467"/>
    <col min="1298" max="1298" width="11.36328125" style="467" customWidth="1"/>
    <col min="1299" max="1536" width="9" style="467"/>
    <col min="1537" max="1537" width="8.26953125" style="467" customWidth="1"/>
    <col min="1538" max="1540" width="9" style="467"/>
    <col min="1541" max="1541" width="9.6328125" style="467" customWidth="1"/>
    <col min="1542" max="1542" width="8.26953125" style="467" customWidth="1"/>
    <col min="1543" max="1543" width="10.08984375" style="467" customWidth="1"/>
    <col min="1544" max="1544" width="9" style="467" customWidth="1"/>
    <col min="1545" max="1545" width="9" style="467"/>
    <col min="1546" max="1546" width="0.7265625" style="467" customWidth="1"/>
    <col min="1547" max="1547" width="4.90625" style="467" customWidth="1"/>
    <col min="1548" max="1548" width="9.26953125" style="467" customWidth="1"/>
    <col min="1549" max="1553" width="9" style="467"/>
    <col min="1554" max="1554" width="11.36328125" style="467" customWidth="1"/>
    <col min="1555" max="1792" width="9" style="467"/>
    <col min="1793" max="1793" width="8.26953125" style="467" customWidth="1"/>
    <col min="1794" max="1796" width="9" style="467"/>
    <col min="1797" max="1797" width="9.6328125" style="467" customWidth="1"/>
    <col min="1798" max="1798" width="8.26953125" style="467" customWidth="1"/>
    <col min="1799" max="1799" width="10.08984375" style="467" customWidth="1"/>
    <col min="1800" max="1800" width="9" style="467" customWidth="1"/>
    <col min="1801" max="1801" width="9" style="467"/>
    <col min="1802" max="1802" width="0.7265625" style="467" customWidth="1"/>
    <col min="1803" max="1803" width="4.90625" style="467" customWidth="1"/>
    <col min="1804" max="1804" width="9.26953125" style="467" customWidth="1"/>
    <col min="1805" max="1809" width="9" style="467"/>
    <col min="1810" max="1810" width="11.36328125" style="467" customWidth="1"/>
    <col min="1811" max="2048" width="9" style="467"/>
    <col min="2049" max="2049" width="8.26953125" style="467" customWidth="1"/>
    <col min="2050" max="2052" width="9" style="467"/>
    <col min="2053" max="2053" width="9.6328125" style="467" customWidth="1"/>
    <col min="2054" max="2054" width="8.26953125" style="467" customWidth="1"/>
    <col min="2055" max="2055" width="10.08984375" style="467" customWidth="1"/>
    <col min="2056" max="2056" width="9" style="467" customWidth="1"/>
    <col min="2057" max="2057" width="9" style="467"/>
    <col min="2058" max="2058" width="0.7265625" style="467" customWidth="1"/>
    <col min="2059" max="2059" width="4.90625" style="467" customWidth="1"/>
    <col min="2060" max="2060" width="9.26953125" style="467" customWidth="1"/>
    <col min="2061" max="2065" width="9" style="467"/>
    <col min="2066" max="2066" width="11.36328125" style="467" customWidth="1"/>
    <col min="2067" max="2304" width="9" style="467"/>
    <col min="2305" max="2305" width="8.26953125" style="467" customWidth="1"/>
    <col min="2306" max="2308" width="9" style="467"/>
    <col min="2309" max="2309" width="9.6328125" style="467" customWidth="1"/>
    <col min="2310" max="2310" width="8.26953125" style="467" customWidth="1"/>
    <col min="2311" max="2311" width="10.08984375" style="467" customWidth="1"/>
    <col min="2312" max="2312" width="9" style="467" customWidth="1"/>
    <col min="2313" max="2313" width="9" style="467"/>
    <col min="2314" max="2314" width="0.7265625" style="467" customWidth="1"/>
    <col min="2315" max="2315" width="4.90625" style="467" customWidth="1"/>
    <col min="2316" max="2316" width="9.26953125" style="467" customWidth="1"/>
    <col min="2317" max="2321" width="9" style="467"/>
    <col min="2322" max="2322" width="11.36328125" style="467" customWidth="1"/>
    <col min="2323" max="2560" width="9" style="467"/>
    <col min="2561" max="2561" width="8.26953125" style="467" customWidth="1"/>
    <col min="2562" max="2564" width="9" style="467"/>
    <col min="2565" max="2565" width="9.6328125" style="467" customWidth="1"/>
    <col min="2566" max="2566" width="8.26953125" style="467" customWidth="1"/>
    <col min="2567" max="2567" width="10.08984375" style="467" customWidth="1"/>
    <col min="2568" max="2568" width="9" style="467" customWidth="1"/>
    <col min="2569" max="2569" width="9" style="467"/>
    <col min="2570" max="2570" width="0.7265625" style="467" customWidth="1"/>
    <col min="2571" max="2571" width="4.90625" style="467" customWidth="1"/>
    <col min="2572" max="2572" width="9.26953125" style="467" customWidth="1"/>
    <col min="2573" max="2577" width="9" style="467"/>
    <col min="2578" max="2578" width="11.36328125" style="467" customWidth="1"/>
    <col min="2579" max="2816" width="9" style="467"/>
    <col min="2817" max="2817" width="8.26953125" style="467" customWidth="1"/>
    <col min="2818" max="2820" width="9" style="467"/>
    <col min="2821" max="2821" width="9.6328125" style="467" customWidth="1"/>
    <col min="2822" max="2822" width="8.26953125" style="467" customWidth="1"/>
    <col min="2823" max="2823" width="10.08984375" style="467" customWidth="1"/>
    <col min="2824" max="2824" width="9" style="467" customWidth="1"/>
    <col min="2825" max="2825" width="9" style="467"/>
    <col min="2826" max="2826" width="0.7265625" style="467" customWidth="1"/>
    <col min="2827" max="2827" width="4.90625" style="467" customWidth="1"/>
    <col min="2828" max="2828" width="9.26953125" style="467" customWidth="1"/>
    <col min="2829" max="2833" width="9" style="467"/>
    <col min="2834" max="2834" width="11.36328125" style="467" customWidth="1"/>
    <col min="2835" max="3072" width="9" style="467"/>
    <col min="3073" max="3073" width="8.26953125" style="467" customWidth="1"/>
    <col min="3074" max="3076" width="9" style="467"/>
    <col min="3077" max="3077" width="9.6328125" style="467" customWidth="1"/>
    <col min="3078" max="3078" width="8.26953125" style="467" customWidth="1"/>
    <col min="3079" max="3079" width="10.08984375" style="467" customWidth="1"/>
    <col min="3080" max="3080" width="9" style="467" customWidth="1"/>
    <col min="3081" max="3081" width="9" style="467"/>
    <col min="3082" max="3082" width="0.7265625" style="467" customWidth="1"/>
    <col min="3083" max="3083" width="4.90625" style="467" customWidth="1"/>
    <col min="3084" max="3084" width="9.26953125" style="467" customWidth="1"/>
    <col min="3085" max="3089" width="9" style="467"/>
    <col min="3090" max="3090" width="11.36328125" style="467" customWidth="1"/>
    <col min="3091" max="3328" width="9" style="467"/>
    <col min="3329" max="3329" width="8.26953125" style="467" customWidth="1"/>
    <col min="3330" max="3332" width="9" style="467"/>
    <col min="3333" max="3333" width="9.6328125" style="467" customWidth="1"/>
    <col min="3334" max="3334" width="8.26953125" style="467" customWidth="1"/>
    <col min="3335" max="3335" width="10.08984375" style="467" customWidth="1"/>
    <col min="3336" max="3336" width="9" style="467" customWidth="1"/>
    <col min="3337" max="3337" width="9" style="467"/>
    <col min="3338" max="3338" width="0.7265625" style="467" customWidth="1"/>
    <col min="3339" max="3339" width="4.90625" style="467" customWidth="1"/>
    <col min="3340" max="3340" width="9.26953125" style="467" customWidth="1"/>
    <col min="3341" max="3345" width="9" style="467"/>
    <col min="3346" max="3346" width="11.36328125" style="467" customWidth="1"/>
    <col min="3347" max="3584" width="9" style="467"/>
    <col min="3585" max="3585" width="8.26953125" style="467" customWidth="1"/>
    <col min="3586" max="3588" width="9" style="467"/>
    <col min="3589" max="3589" width="9.6328125" style="467" customWidth="1"/>
    <col min="3590" max="3590" width="8.26953125" style="467" customWidth="1"/>
    <col min="3591" max="3591" width="10.08984375" style="467" customWidth="1"/>
    <col min="3592" max="3592" width="9" style="467" customWidth="1"/>
    <col min="3593" max="3593" width="9" style="467"/>
    <col min="3594" max="3594" width="0.7265625" style="467" customWidth="1"/>
    <col min="3595" max="3595" width="4.90625" style="467" customWidth="1"/>
    <col min="3596" max="3596" width="9.26953125" style="467" customWidth="1"/>
    <col min="3597" max="3601" width="9" style="467"/>
    <col min="3602" max="3602" width="11.36328125" style="467" customWidth="1"/>
    <col min="3603" max="3840" width="9" style="467"/>
    <col min="3841" max="3841" width="8.26953125" style="467" customWidth="1"/>
    <col min="3842" max="3844" width="9" style="467"/>
    <col min="3845" max="3845" width="9.6328125" style="467" customWidth="1"/>
    <col min="3846" max="3846" width="8.26953125" style="467" customWidth="1"/>
    <col min="3847" max="3847" width="10.08984375" style="467" customWidth="1"/>
    <col min="3848" max="3848" width="9" style="467" customWidth="1"/>
    <col min="3849" max="3849" width="9" style="467"/>
    <col min="3850" max="3850" width="0.7265625" style="467" customWidth="1"/>
    <col min="3851" max="3851" width="4.90625" style="467" customWidth="1"/>
    <col min="3852" max="3852" width="9.26953125" style="467" customWidth="1"/>
    <col min="3853" max="3857" width="9" style="467"/>
    <col min="3858" max="3858" width="11.36328125" style="467" customWidth="1"/>
    <col min="3859" max="4096" width="9" style="467"/>
    <col min="4097" max="4097" width="8.26953125" style="467" customWidth="1"/>
    <col min="4098" max="4100" width="9" style="467"/>
    <col min="4101" max="4101" width="9.6328125" style="467" customWidth="1"/>
    <col min="4102" max="4102" width="8.26953125" style="467" customWidth="1"/>
    <col min="4103" max="4103" width="10.08984375" style="467" customWidth="1"/>
    <col min="4104" max="4104" width="9" style="467" customWidth="1"/>
    <col min="4105" max="4105" width="9" style="467"/>
    <col min="4106" max="4106" width="0.7265625" style="467" customWidth="1"/>
    <col min="4107" max="4107" width="4.90625" style="467" customWidth="1"/>
    <col min="4108" max="4108" width="9.26953125" style="467" customWidth="1"/>
    <col min="4109" max="4113" width="9" style="467"/>
    <col min="4114" max="4114" width="11.36328125" style="467" customWidth="1"/>
    <col min="4115" max="4352" width="9" style="467"/>
    <col min="4353" max="4353" width="8.26953125" style="467" customWidth="1"/>
    <col min="4354" max="4356" width="9" style="467"/>
    <col min="4357" max="4357" width="9.6328125" style="467" customWidth="1"/>
    <col min="4358" max="4358" width="8.26953125" style="467" customWidth="1"/>
    <col min="4359" max="4359" width="10.08984375" style="467" customWidth="1"/>
    <col min="4360" max="4360" width="9" style="467" customWidth="1"/>
    <col min="4361" max="4361" width="9" style="467"/>
    <col min="4362" max="4362" width="0.7265625" style="467" customWidth="1"/>
    <col min="4363" max="4363" width="4.90625" style="467" customWidth="1"/>
    <col min="4364" max="4364" width="9.26953125" style="467" customWidth="1"/>
    <col min="4365" max="4369" width="9" style="467"/>
    <col min="4370" max="4370" width="11.36328125" style="467" customWidth="1"/>
    <col min="4371" max="4608" width="9" style="467"/>
    <col min="4609" max="4609" width="8.26953125" style="467" customWidth="1"/>
    <col min="4610" max="4612" width="9" style="467"/>
    <col min="4613" max="4613" width="9.6328125" style="467" customWidth="1"/>
    <col min="4614" max="4614" width="8.26953125" style="467" customWidth="1"/>
    <col min="4615" max="4615" width="10.08984375" style="467" customWidth="1"/>
    <col min="4616" max="4616" width="9" style="467" customWidth="1"/>
    <col min="4617" max="4617" width="9" style="467"/>
    <col min="4618" max="4618" width="0.7265625" style="467" customWidth="1"/>
    <col min="4619" max="4619" width="4.90625" style="467" customWidth="1"/>
    <col min="4620" max="4620" width="9.26953125" style="467" customWidth="1"/>
    <col min="4621" max="4625" width="9" style="467"/>
    <col min="4626" max="4626" width="11.36328125" style="467" customWidth="1"/>
    <col min="4627" max="4864" width="9" style="467"/>
    <col min="4865" max="4865" width="8.26953125" style="467" customWidth="1"/>
    <col min="4866" max="4868" width="9" style="467"/>
    <col min="4869" max="4869" width="9.6328125" style="467" customWidth="1"/>
    <col min="4870" max="4870" width="8.26953125" style="467" customWidth="1"/>
    <col min="4871" max="4871" width="10.08984375" style="467" customWidth="1"/>
    <col min="4872" max="4872" width="9" style="467" customWidth="1"/>
    <col min="4873" max="4873" width="9" style="467"/>
    <col min="4874" max="4874" width="0.7265625" style="467" customWidth="1"/>
    <col min="4875" max="4875" width="4.90625" style="467" customWidth="1"/>
    <col min="4876" max="4876" width="9.26953125" style="467" customWidth="1"/>
    <col min="4877" max="4881" width="9" style="467"/>
    <col min="4882" max="4882" width="11.36328125" style="467" customWidth="1"/>
    <col min="4883" max="5120" width="9" style="467"/>
    <col min="5121" max="5121" width="8.26953125" style="467" customWidth="1"/>
    <col min="5122" max="5124" width="9" style="467"/>
    <col min="5125" max="5125" width="9.6328125" style="467" customWidth="1"/>
    <col min="5126" max="5126" width="8.26953125" style="467" customWidth="1"/>
    <col min="5127" max="5127" width="10.08984375" style="467" customWidth="1"/>
    <col min="5128" max="5128" width="9" style="467" customWidth="1"/>
    <col min="5129" max="5129" width="9" style="467"/>
    <col min="5130" max="5130" width="0.7265625" style="467" customWidth="1"/>
    <col min="5131" max="5131" width="4.90625" style="467" customWidth="1"/>
    <col min="5132" max="5132" width="9.26953125" style="467" customWidth="1"/>
    <col min="5133" max="5137" width="9" style="467"/>
    <col min="5138" max="5138" width="11.36328125" style="467" customWidth="1"/>
    <col min="5139" max="5376" width="9" style="467"/>
    <col min="5377" max="5377" width="8.26953125" style="467" customWidth="1"/>
    <col min="5378" max="5380" width="9" style="467"/>
    <col min="5381" max="5381" width="9.6328125" style="467" customWidth="1"/>
    <col min="5382" max="5382" width="8.26953125" style="467" customWidth="1"/>
    <col min="5383" max="5383" width="10.08984375" style="467" customWidth="1"/>
    <col min="5384" max="5384" width="9" style="467" customWidth="1"/>
    <col min="5385" max="5385" width="9" style="467"/>
    <col min="5386" max="5386" width="0.7265625" style="467" customWidth="1"/>
    <col min="5387" max="5387" width="4.90625" style="467" customWidth="1"/>
    <col min="5388" max="5388" width="9.26953125" style="467" customWidth="1"/>
    <col min="5389" max="5393" width="9" style="467"/>
    <col min="5394" max="5394" width="11.36328125" style="467" customWidth="1"/>
    <col min="5395" max="5632" width="9" style="467"/>
    <col min="5633" max="5633" width="8.26953125" style="467" customWidth="1"/>
    <col min="5634" max="5636" width="9" style="467"/>
    <col min="5637" max="5637" width="9.6328125" style="467" customWidth="1"/>
    <col min="5638" max="5638" width="8.26953125" style="467" customWidth="1"/>
    <col min="5639" max="5639" width="10.08984375" style="467" customWidth="1"/>
    <col min="5640" max="5640" width="9" style="467" customWidth="1"/>
    <col min="5641" max="5641" width="9" style="467"/>
    <col min="5642" max="5642" width="0.7265625" style="467" customWidth="1"/>
    <col min="5643" max="5643" width="4.90625" style="467" customWidth="1"/>
    <col min="5644" max="5644" width="9.26953125" style="467" customWidth="1"/>
    <col min="5645" max="5649" width="9" style="467"/>
    <col min="5650" max="5650" width="11.36328125" style="467" customWidth="1"/>
    <col min="5651" max="5888" width="9" style="467"/>
    <col min="5889" max="5889" width="8.26953125" style="467" customWidth="1"/>
    <col min="5890" max="5892" width="9" style="467"/>
    <col min="5893" max="5893" width="9.6328125" style="467" customWidth="1"/>
    <col min="5894" max="5894" width="8.26953125" style="467" customWidth="1"/>
    <col min="5895" max="5895" width="10.08984375" style="467" customWidth="1"/>
    <col min="5896" max="5896" width="9" style="467" customWidth="1"/>
    <col min="5897" max="5897" width="9" style="467"/>
    <col min="5898" max="5898" width="0.7265625" style="467" customWidth="1"/>
    <col min="5899" max="5899" width="4.90625" style="467" customWidth="1"/>
    <col min="5900" max="5900" width="9.26953125" style="467" customWidth="1"/>
    <col min="5901" max="5905" width="9" style="467"/>
    <col min="5906" max="5906" width="11.36328125" style="467" customWidth="1"/>
    <col min="5907" max="6144" width="9" style="467"/>
    <col min="6145" max="6145" width="8.26953125" style="467" customWidth="1"/>
    <col min="6146" max="6148" width="9" style="467"/>
    <col min="6149" max="6149" width="9.6328125" style="467" customWidth="1"/>
    <col min="6150" max="6150" width="8.26953125" style="467" customWidth="1"/>
    <col min="6151" max="6151" width="10.08984375" style="467" customWidth="1"/>
    <col min="6152" max="6152" width="9" style="467" customWidth="1"/>
    <col min="6153" max="6153" width="9" style="467"/>
    <col min="6154" max="6154" width="0.7265625" style="467" customWidth="1"/>
    <col min="6155" max="6155" width="4.90625" style="467" customWidth="1"/>
    <col min="6156" max="6156" width="9.26953125" style="467" customWidth="1"/>
    <col min="6157" max="6161" width="9" style="467"/>
    <col min="6162" max="6162" width="11.36328125" style="467" customWidth="1"/>
    <col min="6163" max="6400" width="9" style="467"/>
    <col min="6401" max="6401" width="8.26953125" style="467" customWidth="1"/>
    <col min="6402" max="6404" width="9" style="467"/>
    <col min="6405" max="6405" width="9.6328125" style="467" customWidth="1"/>
    <col min="6406" max="6406" width="8.26953125" style="467" customWidth="1"/>
    <col min="6407" max="6407" width="10.08984375" style="467" customWidth="1"/>
    <col min="6408" max="6408" width="9" style="467" customWidth="1"/>
    <col min="6409" max="6409" width="9" style="467"/>
    <col min="6410" max="6410" width="0.7265625" style="467" customWidth="1"/>
    <col min="6411" max="6411" width="4.90625" style="467" customWidth="1"/>
    <col min="6412" max="6412" width="9.26953125" style="467" customWidth="1"/>
    <col min="6413" max="6417" width="9" style="467"/>
    <col min="6418" max="6418" width="11.36328125" style="467" customWidth="1"/>
    <col min="6419" max="6656" width="9" style="467"/>
    <col min="6657" max="6657" width="8.26953125" style="467" customWidth="1"/>
    <col min="6658" max="6660" width="9" style="467"/>
    <col min="6661" max="6661" width="9.6328125" style="467" customWidth="1"/>
    <col min="6662" max="6662" width="8.26953125" style="467" customWidth="1"/>
    <col min="6663" max="6663" width="10.08984375" style="467" customWidth="1"/>
    <col min="6664" max="6664" width="9" style="467" customWidth="1"/>
    <col min="6665" max="6665" width="9" style="467"/>
    <col min="6666" max="6666" width="0.7265625" style="467" customWidth="1"/>
    <col min="6667" max="6667" width="4.90625" style="467" customWidth="1"/>
    <col min="6668" max="6668" width="9.26953125" style="467" customWidth="1"/>
    <col min="6669" max="6673" width="9" style="467"/>
    <col min="6674" max="6674" width="11.36328125" style="467" customWidth="1"/>
    <col min="6675" max="6912" width="9" style="467"/>
    <col min="6913" max="6913" width="8.26953125" style="467" customWidth="1"/>
    <col min="6914" max="6916" width="9" style="467"/>
    <col min="6917" max="6917" width="9.6328125" style="467" customWidth="1"/>
    <col min="6918" max="6918" width="8.26953125" style="467" customWidth="1"/>
    <col min="6919" max="6919" width="10.08984375" style="467" customWidth="1"/>
    <col min="6920" max="6920" width="9" style="467" customWidth="1"/>
    <col min="6921" max="6921" width="9" style="467"/>
    <col min="6922" max="6922" width="0.7265625" style="467" customWidth="1"/>
    <col min="6923" max="6923" width="4.90625" style="467" customWidth="1"/>
    <col min="6924" max="6924" width="9.26953125" style="467" customWidth="1"/>
    <col min="6925" max="6929" width="9" style="467"/>
    <col min="6930" max="6930" width="11.36328125" style="467" customWidth="1"/>
    <col min="6931" max="7168" width="9" style="467"/>
    <col min="7169" max="7169" width="8.26953125" style="467" customWidth="1"/>
    <col min="7170" max="7172" width="9" style="467"/>
    <col min="7173" max="7173" width="9.6328125" style="467" customWidth="1"/>
    <col min="7174" max="7174" width="8.26953125" style="467" customWidth="1"/>
    <col min="7175" max="7175" width="10.08984375" style="467" customWidth="1"/>
    <col min="7176" max="7176" width="9" style="467" customWidth="1"/>
    <col min="7177" max="7177" width="9" style="467"/>
    <col min="7178" max="7178" width="0.7265625" style="467" customWidth="1"/>
    <col min="7179" max="7179" width="4.90625" style="467" customWidth="1"/>
    <col min="7180" max="7180" width="9.26953125" style="467" customWidth="1"/>
    <col min="7181" max="7185" width="9" style="467"/>
    <col min="7186" max="7186" width="11.36328125" style="467" customWidth="1"/>
    <col min="7187" max="7424" width="9" style="467"/>
    <col min="7425" max="7425" width="8.26953125" style="467" customWidth="1"/>
    <col min="7426" max="7428" width="9" style="467"/>
    <col min="7429" max="7429" width="9.6328125" style="467" customWidth="1"/>
    <col min="7430" max="7430" width="8.26953125" style="467" customWidth="1"/>
    <col min="7431" max="7431" width="10.08984375" style="467" customWidth="1"/>
    <col min="7432" max="7432" width="9" style="467" customWidth="1"/>
    <col min="7433" max="7433" width="9" style="467"/>
    <col min="7434" max="7434" width="0.7265625" style="467" customWidth="1"/>
    <col min="7435" max="7435" width="4.90625" style="467" customWidth="1"/>
    <col min="7436" max="7436" width="9.26953125" style="467" customWidth="1"/>
    <col min="7437" max="7441" width="9" style="467"/>
    <col min="7442" max="7442" width="11.36328125" style="467" customWidth="1"/>
    <col min="7443" max="7680" width="9" style="467"/>
    <col min="7681" max="7681" width="8.26953125" style="467" customWidth="1"/>
    <col min="7682" max="7684" width="9" style="467"/>
    <col min="7685" max="7685" width="9.6328125" style="467" customWidth="1"/>
    <col min="7686" max="7686" width="8.26953125" style="467" customWidth="1"/>
    <col min="7687" max="7687" width="10.08984375" style="467" customWidth="1"/>
    <col min="7688" max="7688" width="9" style="467" customWidth="1"/>
    <col min="7689" max="7689" width="9" style="467"/>
    <col min="7690" max="7690" width="0.7265625" style="467" customWidth="1"/>
    <col min="7691" max="7691" width="4.90625" style="467" customWidth="1"/>
    <col min="7692" max="7692" width="9.26953125" style="467" customWidth="1"/>
    <col min="7693" max="7697" width="9" style="467"/>
    <col min="7698" max="7698" width="11.36328125" style="467" customWidth="1"/>
    <col min="7699" max="7936" width="9" style="467"/>
    <col min="7937" max="7937" width="8.26953125" style="467" customWidth="1"/>
    <col min="7938" max="7940" width="9" style="467"/>
    <col min="7941" max="7941" width="9.6328125" style="467" customWidth="1"/>
    <col min="7942" max="7942" width="8.26953125" style="467" customWidth="1"/>
    <col min="7943" max="7943" width="10.08984375" style="467" customWidth="1"/>
    <col min="7944" max="7944" width="9" style="467" customWidth="1"/>
    <col min="7945" max="7945" width="9" style="467"/>
    <col min="7946" max="7946" width="0.7265625" style="467" customWidth="1"/>
    <col min="7947" max="7947" width="4.90625" style="467" customWidth="1"/>
    <col min="7948" max="7948" width="9.26953125" style="467" customWidth="1"/>
    <col min="7949" max="7953" width="9" style="467"/>
    <col min="7954" max="7954" width="11.36328125" style="467" customWidth="1"/>
    <col min="7955" max="8192" width="9" style="467"/>
    <col min="8193" max="8193" width="8.26953125" style="467" customWidth="1"/>
    <col min="8194" max="8196" width="9" style="467"/>
    <col min="8197" max="8197" width="9.6328125" style="467" customWidth="1"/>
    <col min="8198" max="8198" width="8.26953125" style="467" customWidth="1"/>
    <col min="8199" max="8199" width="10.08984375" style="467" customWidth="1"/>
    <col min="8200" max="8200" width="9" style="467" customWidth="1"/>
    <col min="8201" max="8201" width="9" style="467"/>
    <col min="8202" max="8202" width="0.7265625" style="467" customWidth="1"/>
    <col min="8203" max="8203" width="4.90625" style="467" customWidth="1"/>
    <col min="8204" max="8204" width="9.26953125" style="467" customWidth="1"/>
    <col min="8205" max="8209" width="9" style="467"/>
    <col min="8210" max="8210" width="11.36328125" style="467" customWidth="1"/>
    <col min="8211" max="8448" width="9" style="467"/>
    <col min="8449" max="8449" width="8.26953125" style="467" customWidth="1"/>
    <col min="8450" max="8452" width="9" style="467"/>
    <col min="8453" max="8453" width="9.6328125" style="467" customWidth="1"/>
    <col min="8454" max="8454" width="8.26953125" style="467" customWidth="1"/>
    <col min="8455" max="8455" width="10.08984375" style="467" customWidth="1"/>
    <col min="8456" max="8456" width="9" style="467" customWidth="1"/>
    <col min="8457" max="8457" width="9" style="467"/>
    <col min="8458" max="8458" width="0.7265625" style="467" customWidth="1"/>
    <col min="8459" max="8459" width="4.90625" style="467" customWidth="1"/>
    <col min="8460" max="8460" width="9.26953125" style="467" customWidth="1"/>
    <col min="8461" max="8465" width="9" style="467"/>
    <col min="8466" max="8466" width="11.36328125" style="467" customWidth="1"/>
    <col min="8467" max="8704" width="9" style="467"/>
    <col min="8705" max="8705" width="8.26953125" style="467" customWidth="1"/>
    <col min="8706" max="8708" width="9" style="467"/>
    <col min="8709" max="8709" width="9.6328125" style="467" customWidth="1"/>
    <col min="8710" max="8710" width="8.26953125" style="467" customWidth="1"/>
    <col min="8711" max="8711" width="10.08984375" style="467" customWidth="1"/>
    <col min="8712" max="8712" width="9" style="467" customWidth="1"/>
    <col min="8713" max="8713" width="9" style="467"/>
    <col min="8714" max="8714" width="0.7265625" style="467" customWidth="1"/>
    <col min="8715" max="8715" width="4.90625" style="467" customWidth="1"/>
    <col min="8716" max="8716" width="9.26953125" style="467" customWidth="1"/>
    <col min="8717" max="8721" width="9" style="467"/>
    <col min="8722" max="8722" width="11.36328125" style="467" customWidth="1"/>
    <col min="8723" max="8960" width="9" style="467"/>
    <col min="8961" max="8961" width="8.26953125" style="467" customWidth="1"/>
    <col min="8962" max="8964" width="9" style="467"/>
    <col min="8965" max="8965" width="9.6328125" style="467" customWidth="1"/>
    <col min="8966" max="8966" width="8.26953125" style="467" customWidth="1"/>
    <col min="8967" max="8967" width="10.08984375" style="467" customWidth="1"/>
    <col min="8968" max="8968" width="9" style="467" customWidth="1"/>
    <col min="8969" max="8969" width="9" style="467"/>
    <col min="8970" max="8970" width="0.7265625" style="467" customWidth="1"/>
    <col min="8971" max="8971" width="4.90625" style="467" customWidth="1"/>
    <col min="8972" max="8972" width="9.26953125" style="467" customWidth="1"/>
    <col min="8973" max="8977" width="9" style="467"/>
    <col min="8978" max="8978" width="11.36328125" style="467" customWidth="1"/>
    <col min="8979" max="9216" width="9" style="467"/>
    <col min="9217" max="9217" width="8.26953125" style="467" customWidth="1"/>
    <col min="9218" max="9220" width="9" style="467"/>
    <col min="9221" max="9221" width="9.6328125" style="467" customWidth="1"/>
    <col min="9222" max="9222" width="8.26953125" style="467" customWidth="1"/>
    <col min="9223" max="9223" width="10.08984375" style="467" customWidth="1"/>
    <col min="9224" max="9224" width="9" style="467" customWidth="1"/>
    <col min="9225" max="9225" width="9" style="467"/>
    <col min="9226" max="9226" width="0.7265625" style="467" customWidth="1"/>
    <col min="9227" max="9227" width="4.90625" style="467" customWidth="1"/>
    <col min="9228" max="9228" width="9.26953125" style="467" customWidth="1"/>
    <col min="9229" max="9233" width="9" style="467"/>
    <col min="9234" max="9234" width="11.36328125" style="467" customWidth="1"/>
    <col min="9235" max="9472" width="9" style="467"/>
    <col min="9473" max="9473" width="8.26953125" style="467" customWidth="1"/>
    <col min="9474" max="9476" width="9" style="467"/>
    <col min="9477" max="9477" width="9.6328125" style="467" customWidth="1"/>
    <col min="9478" max="9478" width="8.26953125" style="467" customWidth="1"/>
    <col min="9479" max="9479" width="10.08984375" style="467" customWidth="1"/>
    <col min="9480" max="9480" width="9" style="467" customWidth="1"/>
    <col min="9481" max="9481" width="9" style="467"/>
    <col min="9482" max="9482" width="0.7265625" style="467" customWidth="1"/>
    <col min="9483" max="9483" width="4.90625" style="467" customWidth="1"/>
    <col min="9484" max="9484" width="9.26953125" style="467" customWidth="1"/>
    <col min="9485" max="9489" width="9" style="467"/>
    <col min="9490" max="9490" width="11.36328125" style="467" customWidth="1"/>
    <col min="9491" max="9728" width="9" style="467"/>
    <col min="9729" max="9729" width="8.26953125" style="467" customWidth="1"/>
    <col min="9730" max="9732" width="9" style="467"/>
    <col min="9733" max="9733" width="9.6328125" style="467" customWidth="1"/>
    <col min="9734" max="9734" width="8.26953125" style="467" customWidth="1"/>
    <col min="9735" max="9735" width="10.08984375" style="467" customWidth="1"/>
    <col min="9736" max="9736" width="9" style="467" customWidth="1"/>
    <col min="9737" max="9737" width="9" style="467"/>
    <col min="9738" max="9738" width="0.7265625" style="467" customWidth="1"/>
    <col min="9739" max="9739" width="4.90625" style="467" customWidth="1"/>
    <col min="9740" max="9740" width="9.26953125" style="467" customWidth="1"/>
    <col min="9741" max="9745" width="9" style="467"/>
    <col min="9746" max="9746" width="11.36328125" style="467" customWidth="1"/>
    <col min="9747" max="9984" width="9" style="467"/>
    <col min="9985" max="9985" width="8.26953125" style="467" customWidth="1"/>
    <col min="9986" max="9988" width="9" style="467"/>
    <col min="9989" max="9989" width="9.6328125" style="467" customWidth="1"/>
    <col min="9990" max="9990" width="8.26953125" style="467" customWidth="1"/>
    <col min="9991" max="9991" width="10.08984375" style="467" customWidth="1"/>
    <col min="9992" max="9992" width="9" style="467" customWidth="1"/>
    <col min="9993" max="9993" width="9" style="467"/>
    <col min="9994" max="9994" width="0.7265625" style="467" customWidth="1"/>
    <col min="9995" max="9995" width="4.90625" style="467" customWidth="1"/>
    <col min="9996" max="9996" width="9.26953125" style="467" customWidth="1"/>
    <col min="9997" max="10001" width="9" style="467"/>
    <col min="10002" max="10002" width="11.36328125" style="467" customWidth="1"/>
    <col min="10003" max="10240" width="9" style="467"/>
    <col min="10241" max="10241" width="8.26953125" style="467" customWidth="1"/>
    <col min="10242" max="10244" width="9" style="467"/>
    <col min="10245" max="10245" width="9.6328125" style="467" customWidth="1"/>
    <col min="10246" max="10246" width="8.26953125" style="467" customWidth="1"/>
    <col min="10247" max="10247" width="10.08984375" style="467" customWidth="1"/>
    <col min="10248" max="10248" width="9" style="467" customWidth="1"/>
    <col min="10249" max="10249" width="9" style="467"/>
    <col min="10250" max="10250" width="0.7265625" style="467" customWidth="1"/>
    <col min="10251" max="10251" width="4.90625" style="467" customWidth="1"/>
    <col min="10252" max="10252" width="9.26953125" style="467" customWidth="1"/>
    <col min="10253" max="10257" width="9" style="467"/>
    <col min="10258" max="10258" width="11.36328125" style="467" customWidth="1"/>
    <col min="10259" max="10496" width="9" style="467"/>
    <col min="10497" max="10497" width="8.26953125" style="467" customWidth="1"/>
    <col min="10498" max="10500" width="9" style="467"/>
    <col min="10501" max="10501" width="9.6328125" style="467" customWidth="1"/>
    <col min="10502" max="10502" width="8.26953125" style="467" customWidth="1"/>
    <col min="10503" max="10503" width="10.08984375" style="467" customWidth="1"/>
    <col min="10504" max="10504" width="9" style="467" customWidth="1"/>
    <col min="10505" max="10505" width="9" style="467"/>
    <col min="10506" max="10506" width="0.7265625" style="467" customWidth="1"/>
    <col min="10507" max="10507" width="4.90625" style="467" customWidth="1"/>
    <col min="10508" max="10508" width="9.26953125" style="467" customWidth="1"/>
    <col min="10509" max="10513" width="9" style="467"/>
    <col min="10514" max="10514" width="11.36328125" style="467" customWidth="1"/>
    <col min="10515" max="10752" width="9" style="467"/>
    <col min="10753" max="10753" width="8.26953125" style="467" customWidth="1"/>
    <col min="10754" max="10756" width="9" style="467"/>
    <col min="10757" max="10757" width="9.6328125" style="467" customWidth="1"/>
    <col min="10758" max="10758" width="8.26953125" style="467" customWidth="1"/>
    <col min="10759" max="10759" width="10.08984375" style="467" customWidth="1"/>
    <col min="10760" max="10760" width="9" style="467" customWidth="1"/>
    <col min="10761" max="10761" width="9" style="467"/>
    <col min="10762" max="10762" width="0.7265625" style="467" customWidth="1"/>
    <col min="10763" max="10763" width="4.90625" style="467" customWidth="1"/>
    <col min="10764" max="10764" width="9.26953125" style="467" customWidth="1"/>
    <col min="10765" max="10769" width="9" style="467"/>
    <col min="10770" max="10770" width="11.36328125" style="467" customWidth="1"/>
    <col min="10771" max="11008" width="9" style="467"/>
    <col min="11009" max="11009" width="8.26953125" style="467" customWidth="1"/>
    <col min="11010" max="11012" width="9" style="467"/>
    <col min="11013" max="11013" width="9.6328125" style="467" customWidth="1"/>
    <col min="11014" max="11014" width="8.26953125" style="467" customWidth="1"/>
    <col min="11015" max="11015" width="10.08984375" style="467" customWidth="1"/>
    <col min="11016" max="11016" width="9" style="467" customWidth="1"/>
    <col min="11017" max="11017" width="9" style="467"/>
    <col min="11018" max="11018" width="0.7265625" style="467" customWidth="1"/>
    <col min="11019" max="11019" width="4.90625" style="467" customWidth="1"/>
    <col min="11020" max="11020" width="9.26953125" style="467" customWidth="1"/>
    <col min="11021" max="11025" width="9" style="467"/>
    <col min="11026" max="11026" width="11.36328125" style="467" customWidth="1"/>
    <col min="11027" max="11264" width="9" style="467"/>
    <col min="11265" max="11265" width="8.26953125" style="467" customWidth="1"/>
    <col min="11266" max="11268" width="9" style="467"/>
    <col min="11269" max="11269" width="9.6328125" style="467" customWidth="1"/>
    <col min="11270" max="11270" width="8.26953125" style="467" customWidth="1"/>
    <col min="11271" max="11271" width="10.08984375" style="467" customWidth="1"/>
    <col min="11272" max="11272" width="9" style="467" customWidth="1"/>
    <col min="11273" max="11273" width="9" style="467"/>
    <col min="11274" max="11274" width="0.7265625" style="467" customWidth="1"/>
    <col min="11275" max="11275" width="4.90625" style="467" customWidth="1"/>
    <col min="11276" max="11276" width="9.26953125" style="467" customWidth="1"/>
    <col min="11277" max="11281" width="9" style="467"/>
    <col min="11282" max="11282" width="11.36328125" style="467" customWidth="1"/>
    <col min="11283" max="11520" width="9" style="467"/>
    <col min="11521" max="11521" width="8.26953125" style="467" customWidth="1"/>
    <col min="11522" max="11524" width="9" style="467"/>
    <col min="11525" max="11525" width="9.6328125" style="467" customWidth="1"/>
    <col min="11526" max="11526" width="8.26953125" style="467" customWidth="1"/>
    <col min="11527" max="11527" width="10.08984375" style="467" customWidth="1"/>
    <col min="11528" max="11528" width="9" style="467" customWidth="1"/>
    <col min="11529" max="11529" width="9" style="467"/>
    <col min="11530" max="11530" width="0.7265625" style="467" customWidth="1"/>
    <col min="11531" max="11531" width="4.90625" style="467" customWidth="1"/>
    <col min="11532" max="11532" width="9.26953125" style="467" customWidth="1"/>
    <col min="11533" max="11537" width="9" style="467"/>
    <col min="11538" max="11538" width="11.36328125" style="467" customWidth="1"/>
    <col min="11539" max="11776" width="9" style="467"/>
    <col min="11777" max="11777" width="8.26953125" style="467" customWidth="1"/>
    <col min="11778" max="11780" width="9" style="467"/>
    <col min="11781" max="11781" width="9.6328125" style="467" customWidth="1"/>
    <col min="11782" max="11782" width="8.26953125" style="467" customWidth="1"/>
    <col min="11783" max="11783" width="10.08984375" style="467" customWidth="1"/>
    <col min="11784" max="11784" width="9" style="467" customWidth="1"/>
    <col min="11785" max="11785" width="9" style="467"/>
    <col min="11786" max="11786" width="0.7265625" style="467" customWidth="1"/>
    <col min="11787" max="11787" width="4.90625" style="467" customWidth="1"/>
    <col min="11788" max="11788" width="9.26953125" style="467" customWidth="1"/>
    <col min="11789" max="11793" width="9" style="467"/>
    <col min="11794" max="11794" width="11.36328125" style="467" customWidth="1"/>
    <col min="11795" max="12032" width="9" style="467"/>
    <col min="12033" max="12033" width="8.26953125" style="467" customWidth="1"/>
    <col min="12034" max="12036" width="9" style="467"/>
    <col min="12037" max="12037" width="9.6328125" style="467" customWidth="1"/>
    <col min="12038" max="12038" width="8.26953125" style="467" customWidth="1"/>
    <col min="12039" max="12039" width="10.08984375" style="467" customWidth="1"/>
    <col min="12040" max="12040" width="9" style="467" customWidth="1"/>
    <col min="12041" max="12041" width="9" style="467"/>
    <col min="12042" max="12042" width="0.7265625" style="467" customWidth="1"/>
    <col min="12043" max="12043" width="4.90625" style="467" customWidth="1"/>
    <col min="12044" max="12044" width="9.26953125" style="467" customWidth="1"/>
    <col min="12045" max="12049" width="9" style="467"/>
    <col min="12050" max="12050" width="11.36328125" style="467" customWidth="1"/>
    <col min="12051" max="12288" width="9" style="467"/>
    <col min="12289" max="12289" width="8.26953125" style="467" customWidth="1"/>
    <col min="12290" max="12292" width="9" style="467"/>
    <col min="12293" max="12293" width="9.6328125" style="467" customWidth="1"/>
    <col min="12294" max="12294" width="8.26953125" style="467" customWidth="1"/>
    <col min="12295" max="12295" width="10.08984375" style="467" customWidth="1"/>
    <col min="12296" max="12296" width="9" style="467" customWidth="1"/>
    <col min="12297" max="12297" width="9" style="467"/>
    <col min="12298" max="12298" width="0.7265625" style="467" customWidth="1"/>
    <col min="12299" max="12299" width="4.90625" style="467" customWidth="1"/>
    <col min="12300" max="12300" width="9.26953125" style="467" customWidth="1"/>
    <col min="12301" max="12305" width="9" style="467"/>
    <col min="12306" max="12306" width="11.36328125" style="467" customWidth="1"/>
    <col min="12307" max="12544" width="9" style="467"/>
    <col min="12545" max="12545" width="8.26953125" style="467" customWidth="1"/>
    <col min="12546" max="12548" width="9" style="467"/>
    <col min="12549" max="12549" width="9.6328125" style="467" customWidth="1"/>
    <col min="12550" max="12550" width="8.26953125" style="467" customWidth="1"/>
    <col min="12551" max="12551" width="10.08984375" style="467" customWidth="1"/>
    <col min="12552" max="12552" width="9" style="467" customWidth="1"/>
    <col min="12553" max="12553" width="9" style="467"/>
    <col min="12554" max="12554" width="0.7265625" style="467" customWidth="1"/>
    <col min="12555" max="12555" width="4.90625" style="467" customWidth="1"/>
    <col min="12556" max="12556" width="9.26953125" style="467" customWidth="1"/>
    <col min="12557" max="12561" width="9" style="467"/>
    <col min="12562" max="12562" width="11.36328125" style="467" customWidth="1"/>
    <col min="12563" max="12800" width="9" style="467"/>
    <col min="12801" max="12801" width="8.26953125" style="467" customWidth="1"/>
    <col min="12802" max="12804" width="9" style="467"/>
    <col min="12805" max="12805" width="9.6328125" style="467" customWidth="1"/>
    <col min="12806" max="12806" width="8.26953125" style="467" customWidth="1"/>
    <col min="12807" max="12807" width="10.08984375" style="467" customWidth="1"/>
    <col min="12808" max="12808" width="9" style="467" customWidth="1"/>
    <col min="12809" max="12809" width="9" style="467"/>
    <col min="12810" max="12810" width="0.7265625" style="467" customWidth="1"/>
    <col min="12811" max="12811" width="4.90625" style="467" customWidth="1"/>
    <col min="12812" max="12812" width="9.26953125" style="467" customWidth="1"/>
    <col min="12813" max="12817" width="9" style="467"/>
    <col min="12818" max="12818" width="11.36328125" style="467" customWidth="1"/>
    <col min="12819" max="13056" width="9" style="467"/>
    <col min="13057" max="13057" width="8.26953125" style="467" customWidth="1"/>
    <col min="13058" max="13060" width="9" style="467"/>
    <col min="13061" max="13061" width="9.6328125" style="467" customWidth="1"/>
    <col min="13062" max="13062" width="8.26953125" style="467" customWidth="1"/>
    <col min="13063" max="13063" width="10.08984375" style="467" customWidth="1"/>
    <col min="13064" max="13064" width="9" style="467" customWidth="1"/>
    <col min="13065" max="13065" width="9" style="467"/>
    <col min="13066" max="13066" width="0.7265625" style="467" customWidth="1"/>
    <col min="13067" max="13067" width="4.90625" style="467" customWidth="1"/>
    <col min="13068" max="13068" width="9.26953125" style="467" customWidth="1"/>
    <col min="13069" max="13073" width="9" style="467"/>
    <col min="13074" max="13074" width="11.36328125" style="467" customWidth="1"/>
    <col min="13075" max="13312" width="9" style="467"/>
    <col min="13313" max="13313" width="8.26953125" style="467" customWidth="1"/>
    <col min="13314" max="13316" width="9" style="467"/>
    <col min="13317" max="13317" width="9.6328125" style="467" customWidth="1"/>
    <col min="13318" max="13318" width="8.26953125" style="467" customWidth="1"/>
    <col min="13319" max="13319" width="10.08984375" style="467" customWidth="1"/>
    <col min="13320" max="13320" width="9" style="467" customWidth="1"/>
    <col min="13321" max="13321" width="9" style="467"/>
    <col min="13322" max="13322" width="0.7265625" style="467" customWidth="1"/>
    <col min="13323" max="13323" width="4.90625" style="467" customWidth="1"/>
    <col min="13324" max="13324" width="9.26953125" style="467" customWidth="1"/>
    <col min="13325" max="13329" width="9" style="467"/>
    <col min="13330" max="13330" width="11.36328125" style="467" customWidth="1"/>
    <col min="13331" max="13568" width="9" style="467"/>
    <col min="13569" max="13569" width="8.26953125" style="467" customWidth="1"/>
    <col min="13570" max="13572" width="9" style="467"/>
    <col min="13573" max="13573" width="9.6328125" style="467" customWidth="1"/>
    <col min="13574" max="13574" width="8.26953125" style="467" customWidth="1"/>
    <col min="13575" max="13575" width="10.08984375" style="467" customWidth="1"/>
    <col min="13576" max="13576" width="9" style="467" customWidth="1"/>
    <col min="13577" max="13577" width="9" style="467"/>
    <col min="13578" max="13578" width="0.7265625" style="467" customWidth="1"/>
    <col min="13579" max="13579" width="4.90625" style="467" customWidth="1"/>
    <col min="13580" max="13580" width="9.26953125" style="467" customWidth="1"/>
    <col min="13581" max="13585" width="9" style="467"/>
    <col min="13586" max="13586" width="11.36328125" style="467" customWidth="1"/>
    <col min="13587" max="13824" width="9" style="467"/>
    <col min="13825" max="13825" width="8.26953125" style="467" customWidth="1"/>
    <col min="13826" max="13828" width="9" style="467"/>
    <col min="13829" max="13829" width="9.6328125" style="467" customWidth="1"/>
    <col min="13830" max="13830" width="8.26953125" style="467" customWidth="1"/>
    <col min="13831" max="13831" width="10.08984375" style="467" customWidth="1"/>
    <col min="13832" max="13832" width="9" style="467" customWidth="1"/>
    <col min="13833" max="13833" width="9" style="467"/>
    <col min="13834" max="13834" width="0.7265625" style="467" customWidth="1"/>
    <col min="13835" max="13835" width="4.90625" style="467" customWidth="1"/>
    <col min="13836" max="13836" width="9.26953125" style="467" customWidth="1"/>
    <col min="13837" max="13841" width="9" style="467"/>
    <col min="13842" max="13842" width="11.36328125" style="467" customWidth="1"/>
    <col min="13843" max="14080" width="9" style="467"/>
    <col min="14081" max="14081" width="8.26953125" style="467" customWidth="1"/>
    <col min="14082" max="14084" width="9" style="467"/>
    <col min="14085" max="14085" width="9.6328125" style="467" customWidth="1"/>
    <col min="14086" max="14086" width="8.26953125" style="467" customWidth="1"/>
    <col min="14087" max="14087" width="10.08984375" style="467" customWidth="1"/>
    <col min="14088" max="14088" width="9" style="467" customWidth="1"/>
    <col min="14089" max="14089" width="9" style="467"/>
    <col min="14090" max="14090" width="0.7265625" style="467" customWidth="1"/>
    <col min="14091" max="14091" width="4.90625" style="467" customWidth="1"/>
    <col min="14092" max="14092" width="9.26953125" style="467" customWidth="1"/>
    <col min="14093" max="14097" width="9" style="467"/>
    <col min="14098" max="14098" width="11.36328125" style="467" customWidth="1"/>
    <col min="14099" max="14336" width="9" style="467"/>
    <col min="14337" max="14337" width="8.26953125" style="467" customWidth="1"/>
    <col min="14338" max="14340" width="9" style="467"/>
    <col min="14341" max="14341" width="9.6328125" style="467" customWidth="1"/>
    <col min="14342" max="14342" width="8.26953125" style="467" customWidth="1"/>
    <col min="14343" max="14343" width="10.08984375" style="467" customWidth="1"/>
    <col min="14344" max="14344" width="9" style="467" customWidth="1"/>
    <col min="14345" max="14345" width="9" style="467"/>
    <col min="14346" max="14346" width="0.7265625" style="467" customWidth="1"/>
    <col min="14347" max="14347" width="4.90625" style="467" customWidth="1"/>
    <col min="14348" max="14348" width="9.26953125" style="467" customWidth="1"/>
    <col min="14349" max="14353" width="9" style="467"/>
    <col min="14354" max="14354" width="11.36328125" style="467" customWidth="1"/>
    <col min="14355" max="14592" width="9" style="467"/>
    <col min="14593" max="14593" width="8.26953125" style="467" customWidth="1"/>
    <col min="14594" max="14596" width="9" style="467"/>
    <col min="14597" max="14597" width="9.6328125" style="467" customWidth="1"/>
    <col min="14598" max="14598" width="8.26953125" style="467" customWidth="1"/>
    <col min="14599" max="14599" width="10.08984375" style="467" customWidth="1"/>
    <col min="14600" max="14600" width="9" style="467" customWidth="1"/>
    <col min="14601" max="14601" width="9" style="467"/>
    <col min="14602" max="14602" width="0.7265625" style="467" customWidth="1"/>
    <col min="14603" max="14603" width="4.90625" style="467" customWidth="1"/>
    <col min="14604" max="14604" width="9.26953125" style="467" customWidth="1"/>
    <col min="14605" max="14609" width="9" style="467"/>
    <col min="14610" max="14610" width="11.36328125" style="467" customWidth="1"/>
    <col min="14611" max="14848" width="9" style="467"/>
    <col min="14849" max="14849" width="8.26953125" style="467" customWidth="1"/>
    <col min="14850" max="14852" width="9" style="467"/>
    <col min="14853" max="14853" width="9.6328125" style="467" customWidth="1"/>
    <col min="14854" max="14854" width="8.26953125" style="467" customWidth="1"/>
    <col min="14855" max="14855" width="10.08984375" style="467" customWidth="1"/>
    <col min="14856" max="14856" width="9" style="467" customWidth="1"/>
    <col min="14857" max="14857" width="9" style="467"/>
    <col min="14858" max="14858" width="0.7265625" style="467" customWidth="1"/>
    <col min="14859" max="14859" width="4.90625" style="467" customWidth="1"/>
    <col min="14860" max="14860" width="9.26953125" style="467" customWidth="1"/>
    <col min="14861" max="14865" width="9" style="467"/>
    <col min="14866" max="14866" width="11.36328125" style="467" customWidth="1"/>
    <col min="14867" max="15104" width="9" style="467"/>
    <col min="15105" max="15105" width="8.26953125" style="467" customWidth="1"/>
    <col min="15106" max="15108" width="9" style="467"/>
    <col min="15109" max="15109" width="9.6328125" style="467" customWidth="1"/>
    <col min="15110" max="15110" width="8.26953125" style="467" customWidth="1"/>
    <col min="15111" max="15111" width="10.08984375" style="467" customWidth="1"/>
    <col min="15112" max="15112" width="9" style="467" customWidth="1"/>
    <col min="15113" max="15113" width="9" style="467"/>
    <col min="15114" max="15114" width="0.7265625" style="467" customWidth="1"/>
    <col min="15115" max="15115" width="4.90625" style="467" customWidth="1"/>
    <col min="15116" max="15116" width="9.26953125" style="467" customWidth="1"/>
    <col min="15117" max="15121" width="9" style="467"/>
    <col min="15122" max="15122" width="11.36328125" style="467" customWidth="1"/>
    <col min="15123" max="15360" width="9" style="467"/>
    <col min="15361" max="15361" width="8.26953125" style="467" customWidth="1"/>
    <col min="15362" max="15364" width="9" style="467"/>
    <col min="15365" max="15365" width="9.6328125" style="467" customWidth="1"/>
    <col min="15366" max="15366" width="8.26953125" style="467" customWidth="1"/>
    <col min="15367" max="15367" width="10.08984375" style="467" customWidth="1"/>
    <col min="15368" max="15368" width="9" style="467" customWidth="1"/>
    <col min="15369" max="15369" width="9" style="467"/>
    <col min="15370" max="15370" width="0.7265625" style="467" customWidth="1"/>
    <col min="15371" max="15371" width="4.90625" style="467" customWidth="1"/>
    <col min="15372" max="15372" width="9.26953125" style="467" customWidth="1"/>
    <col min="15373" max="15377" width="9" style="467"/>
    <col min="15378" max="15378" width="11.36328125" style="467" customWidth="1"/>
    <col min="15379" max="15616" width="9" style="467"/>
    <col min="15617" max="15617" width="8.26953125" style="467" customWidth="1"/>
    <col min="15618" max="15620" width="9" style="467"/>
    <col min="15621" max="15621" width="9.6328125" style="467" customWidth="1"/>
    <col min="15622" max="15622" width="8.26953125" style="467" customWidth="1"/>
    <col min="15623" max="15623" width="10.08984375" style="467" customWidth="1"/>
    <col min="15624" max="15624" width="9" style="467" customWidth="1"/>
    <col min="15625" max="15625" width="9" style="467"/>
    <col min="15626" max="15626" width="0.7265625" style="467" customWidth="1"/>
    <col min="15627" max="15627" width="4.90625" style="467" customWidth="1"/>
    <col min="15628" max="15628" width="9.26953125" style="467" customWidth="1"/>
    <col min="15629" max="15633" width="9" style="467"/>
    <col min="15634" max="15634" width="11.36328125" style="467" customWidth="1"/>
    <col min="15635" max="15872" width="9" style="467"/>
    <col min="15873" max="15873" width="8.26953125" style="467" customWidth="1"/>
    <col min="15874" max="15876" width="9" style="467"/>
    <col min="15877" max="15877" width="9.6328125" style="467" customWidth="1"/>
    <col min="15878" max="15878" width="8.26953125" style="467" customWidth="1"/>
    <col min="15879" max="15879" width="10.08984375" style="467" customWidth="1"/>
    <col min="15880" max="15880" width="9" style="467" customWidth="1"/>
    <col min="15881" max="15881" width="9" style="467"/>
    <col min="15882" max="15882" width="0.7265625" style="467" customWidth="1"/>
    <col min="15883" max="15883" width="4.90625" style="467" customWidth="1"/>
    <col min="15884" max="15884" width="9.26953125" style="467" customWidth="1"/>
    <col min="15885" max="15889" width="9" style="467"/>
    <col min="15890" max="15890" width="11.36328125" style="467" customWidth="1"/>
    <col min="15891" max="16128" width="9" style="467"/>
    <col min="16129" max="16129" width="8.26953125" style="467" customWidth="1"/>
    <col min="16130" max="16132" width="9" style="467"/>
    <col min="16133" max="16133" width="9.6328125" style="467" customWidth="1"/>
    <col min="16134" max="16134" width="8.26953125" style="467" customWidth="1"/>
    <col min="16135" max="16135" width="10.08984375" style="467" customWidth="1"/>
    <col min="16136" max="16136" width="9" style="467" customWidth="1"/>
    <col min="16137" max="16137" width="9" style="467"/>
    <col min="16138" max="16138" width="0.7265625" style="467" customWidth="1"/>
    <col min="16139" max="16139" width="4.90625" style="467" customWidth="1"/>
    <col min="16140" max="16140" width="9.26953125" style="467" customWidth="1"/>
    <col min="16141" max="16145" width="9" style="467"/>
    <col min="16146" max="16146" width="11.36328125" style="467" customWidth="1"/>
    <col min="16147" max="16384" width="9" style="467"/>
  </cols>
  <sheetData>
    <row r="1" spans="1:19" ht="15.6">
      <c r="A1" s="1000"/>
      <c r="B1" s="1002" t="s">
        <v>549</v>
      </c>
      <c r="C1" s="1002"/>
      <c r="D1" s="1002"/>
      <c r="E1" s="1002"/>
      <c r="F1" s="1002"/>
      <c r="G1" s="1002"/>
      <c r="H1" s="1002"/>
      <c r="I1" s="1002"/>
      <c r="J1" s="1002"/>
      <c r="K1" s="1002"/>
      <c r="L1" s="1002"/>
      <c r="M1" s="1003"/>
    </row>
    <row r="2" spans="1:19" ht="22.5" customHeight="1" thickBot="1">
      <c r="A2" s="1001"/>
      <c r="B2" s="1004" t="s">
        <v>550</v>
      </c>
      <c r="C2" s="1004"/>
      <c r="D2" s="1004"/>
      <c r="E2" s="1004"/>
      <c r="F2" s="1004"/>
      <c r="G2" s="1004"/>
      <c r="H2" s="1004"/>
      <c r="I2" s="1004"/>
      <c r="J2" s="1004"/>
      <c r="K2" s="1004"/>
      <c r="L2" s="1004"/>
      <c r="M2" s="1005"/>
    </row>
    <row r="3" spans="1:19" ht="12.6" thickBot="1">
      <c r="A3" s="468"/>
      <c r="B3" s="468"/>
      <c r="C3" s="468"/>
      <c r="D3" s="468"/>
      <c r="E3" s="468"/>
      <c r="F3" s="468"/>
      <c r="G3" s="468"/>
      <c r="H3" s="468"/>
      <c r="I3" s="468"/>
      <c r="J3" s="469"/>
      <c r="K3" s="468"/>
    </row>
    <row r="4" spans="1:19" ht="12.6" thickBot="1">
      <c r="A4" s="1006" t="s">
        <v>551</v>
      </c>
      <c r="B4" s="1007"/>
      <c r="C4" s="1007"/>
      <c r="D4" s="1007"/>
      <c r="E4" s="1007"/>
      <c r="F4" s="1007"/>
      <c r="G4" s="1007"/>
      <c r="H4" s="1007"/>
      <c r="I4" s="1007"/>
      <c r="J4" s="1007"/>
      <c r="K4" s="1007"/>
      <c r="L4" s="1007"/>
      <c r="M4" s="1008"/>
    </row>
    <row r="5" spans="1:19" ht="12.6" thickBot="1">
      <c r="A5" s="468"/>
      <c r="B5" s="468"/>
      <c r="C5" s="468"/>
      <c r="D5" s="468"/>
      <c r="E5" s="468"/>
      <c r="F5" s="468"/>
      <c r="G5" s="468"/>
      <c r="H5" s="468"/>
      <c r="I5" s="468"/>
      <c r="J5" s="469"/>
      <c r="K5" s="468"/>
    </row>
    <row r="6" spans="1:19" ht="12.6" thickBot="1">
      <c r="A6" s="990" t="s">
        <v>552</v>
      </c>
      <c r="B6" s="991"/>
      <c r="C6" s="1009" t="s">
        <v>630</v>
      </c>
      <c r="D6" s="1010"/>
      <c r="E6" s="1010"/>
      <c r="F6" s="1010"/>
      <c r="G6" s="1010"/>
      <c r="H6" s="1010"/>
      <c r="I6" s="1010"/>
      <c r="J6" s="1010"/>
      <c r="K6" s="1010"/>
      <c r="L6" s="1010"/>
      <c r="M6" s="1011"/>
    </row>
    <row r="7" spans="1:19" ht="12.6" thickBot="1">
      <c r="A7" s="470"/>
      <c r="B7" s="471"/>
      <c r="C7" s="471"/>
      <c r="D7" s="471"/>
      <c r="E7" s="471"/>
      <c r="F7" s="471"/>
      <c r="G7" s="471"/>
      <c r="H7" s="471"/>
      <c r="I7" s="471"/>
      <c r="J7" s="472"/>
      <c r="K7" s="471"/>
    </row>
    <row r="8" spans="1:19" ht="12.6" thickBot="1">
      <c r="A8" s="990" t="s">
        <v>553</v>
      </c>
      <c r="B8" s="991"/>
      <c r="C8" s="992"/>
      <c r="D8" s="992"/>
      <c r="E8" s="992"/>
      <c r="F8" s="992"/>
      <c r="G8" s="992"/>
      <c r="H8" s="992"/>
      <c r="I8" s="992"/>
      <c r="J8" s="992"/>
      <c r="K8" s="992"/>
      <c r="L8" s="992"/>
      <c r="M8" s="993"/>
    </row>
    <row r="9" spans="1:19" ht="12.6" thickBot="1">
      <c r="A9" s="471"/>
      <c r="B9" s="471"/>
      <c r="C9" s="471"/>
      <c r="D9" s="471"/>
      <c r="E9" s="471"/>
      <c r="F9" s="471"/>
      <c r="G9" s="471"/>
      <c r="H9" s="471"/>
      <c r="I9" s="471"/>
      <c r="J9" s="472"/>
      <c r="K9" s="471"/>
    </row>
    <row r="10" spans="1:19" ht="12.6" thickBot="1">
      <c r="A10" s="990" t="s">
        <v>554</v>
      </c>
      <c r="B10" s="991"/>
      <c r="C10" s="994"/>
      <c r="D10" s="995"/>
      <c r="E10" s="471"/>
      <c r="F10" s="471"/>
      <c r="H10" s="470"/>
      <c r="I10" s="996" t="s">
        <v>555</v>
      </c>
      <c r="J10" s="997"/>
      <c r="K10" s="998"/>
      <c r="L10" s="998"/>
      <c r="M10" s="999"/>
    </row>
    <row r="11" spans="1:19">
      <c r="A11" s="988" t="s">
        <v>556</v>
      </c>
      <c r="B11" s="989"/>
      <c r="C11" s="989"/>
      <c r="D11" s="989"/>
      <c r="E11" s="989"/>
      <c r="F11" s="989"/>
      <c r="G11" s="989"/>
      <c r="H11" s="989"/>
      <c r="I11" s="989"/>
      <c r="J11" s="989"/>
      <c r="K11" s="989"/>
      <c r="L11" s="989"/>
      <c r="M11" s="989"/>
    </row>
    <row r="12" spans="1:19" ht="12.6" thickBot="1">
      <c r="A12" s="473"/>
      <c r="B12" s="468"/>
      <c r="C12" s="468"/>
      <c r="D12" s="468"/>
      <c r="E12" s="468"/>
      <c r="F12" s="468"/>
      <c r="G12" s="468"/>
      <c r="H12" s="468"/>
      <c r="I12" s="468"/>
      <c r="J12" s="469"/>
      <c r="K12" s="468"/>
      <c r="L12" s="474"/>
    </row>
    <row r="13" spans="1:19">
      <c r="A13" s="982" t="s">
        <v>557</v>
      </c>
      <c r="B13" s="983"/>
      <c r="C13" s="983"/>
      <c r="D13" s="983"/>
      <c r="E13" s="984"/>
      <c r="F13" s="475" t="s">
        <v>558</v>
      </c>
      <c r="G13" s="475" t="s">
        <v>559</v>
      </c>
      <c r="H13" s="475" t="s">
        <v>560</v>
      </c>
      <c r="I13" s="476"/>
      <c r="J13" s="477"/>
      <c r="K13" s="973" t="s">
        <v>561</v>
      </c>
      <c r="L13" s="976" t="s">
        <v>562</v>
      </c>
      <c r="M13" s="979" t="s">
        <v>563</v>
      </c>
      <c r="S13" s="478"/>
    </row>
    <row r="14" spans="1:19" ht="18" thickBot="1">
      <c r="A14" s="479" t="s">
        <v>76</v>
      </c>
      <c r="B14" s="970" t="s">
        <v>564</v>
      </c>
      <c r="C14" s="970"/>
      <c r="D14" s="970"/>
      <c r="E14" s="970"/>
      <c r="F14" s="480" t="s">
        <v>565</v>
      </c>
      <c r="G14" s="480"/>
      <c r="H14" s="480"/>
      <c r="I14" s="481"/>
      <c r="J14" s="469"/>
      <c r="K14" s="974"/>
      <c r="L14" s="977"/>
      <c r="M14" s="980"/>
      <c r="N14" s="967" t="str">
        <f>IF(S14=0,"Favor Avaliar Linha",IF(S14&gt;1,"Mais de uma Nota Atribuida na linha. Verifique","OK"))</f>
        <v>OK</v>
      </c>
      <c r="O14" s="968"/>
      <c r="P14" s="968"/>
      <c r="Q14" s="968"/>
      <c r="R14" s="969"/>
      <c r="S14" s="482">
        <f>COUNTA(F14:I14)</f>
        <v>1</v>
      </c>
    </row>
    <row r="15" spans="1:19">
      <c r="A15" s="982" t="s">
        <v>566</v>
      </c>
      <c r="B15" s="983"/>
      <c r="C15" s="983"/>
      <c r="D15" s="983"/>
      <c r="E15" s="984"/>
      <c r="F15" s="475" t="s">
        <v>558</v>
      </c>
      <c r="G15" s="475" t="s">
        <v>559</v>
      </c>
      <c r="H15" s="475" t="s">
        <v>560</v>
      </c>
      <c r="I15" s="476"/>
      <c r="J15" s="477"/>
      <c r="K15" s="974"/>
      <c r="L15" s="977"/>
      <c r="M15" s="980"/>
      <c r="S15" s="478"/>
    </row>
    <row r="16" spans="1:19" ht="17.399999999999999">
      <c r="A16" s="483" t="s">
        <v>57</v>
      </c>
      <c r="B16" s="954" t="s">
        <v>567</v>
      </c>
      <c r="C16" s="954"/>
      <c r="D16" s="954"/>
      <c r="E16" s="954"/>
      <c r="F16" s="484" t="s">
        <v>565</v>
      </c>
      <c r="G16" s="484"/>
      <c r="H16" s="484"/>
      <c r="I16" s="485"/>
      <c r="J16" s="469"/>
      <c r="K16" s="974"/>
      <c r="L16" s="977"/>
      <c r="M16" s="980"/>
      <c r="N16" s="967" t="str">
        <f>IF(S16=0,"Favor Avaliar Linha",IF(S16&gt;1,"Mais de uma Nota Atribuida na linha. Verifique","OK"))</f>
        <v>OK</v>
      </c>
      <c r="O16" s="968"/>
      <c r="P16" s="968"/>
      <c r="Q16" s="968"/>
      <c r="R16" s="969"/>
      <c r="S16" s="482">
        <f>COUNTA(F16:I16)</f>
        <v>1</v>
      </c>
    </row>
    <row r="17" spans="1:19" ht="17.399999999999999">
      <c r="A17" s="483" t="s">
        <v>59</v>
      </c>
      <c r="B17" s="954" t="s">
        <v>568</v>
      </c>
      <c r="C17" s="954"/>
      <c r="D17" s="954"/>
      <c r="E17" s="954"/>
      <c r="F17" s="484" t="s">
        <v>565</v>
      </c>
      <c r="G17" s="484"/>
      <c r="H17" s="484"/>
      <c r="I17" s="485"/>
      <c r="J17" s="469"/>
      <c r="K17" s="974"/>
      <c r="L17" s="977"/>
      <c r="M17" s="980"/>
      <c r="N17" s="967" t="str">
        <f>IF(S17=0,"Favor Avaliar Linha",IF(S17&gt;1,"Mais de uma Nota Atribuida na linha. Verifique","OK"))</f>
        <v>OK</v>
      </c>
      <c r="O17" s="968"/>
      <c r="P17" s="968"/>
      <c r="Q17" s="968"/>
      <c r="R17" s="969"/>
      <c r="S17" s="482">
        <f>COUNTA(F17:I17)</f>
        <v>1</v>
      </c>
    </row>
    <row r="18" spans="1:19" ht="17.399999999999999">
      <c r="A18" s="483" t="s">
        <v>569</v>
      </c>
      <c r="B18" s="954" t="s">
        <v>570</v>
      </c>
      <c r="C18" s="954"/>
      <c r="D18" s="954"/>
      <c r="E18" s="954"/>
      <c r="F18" s="484" t="s">
        <v>565</v>
      </c>
      <c r="G18" s="484"/>
      <c r="H18" s="484"/>
      <c r="I18" s="485"/>
      <c r="J18" s="469"/>
      <c r="K18" s="974"/>
      <c r="L18" s="977"/>
      <c r="M18" s="980"/>
      <c r="N18" s="967" t="str">
        <f>IF(S18=0,"Favor Avaliar Linha",IF(S18&gt;1,"Mais de uma Nota Atribuida na linha. Verifique","OK"))</f>
        <v>OK</v>
      </c>
      <c r="O18" s="968"/>
      <c r="P18" s="968"/>
      <c r="Q18" s="968"/>
      <c r="R18" s="969"/>
      <c r="S18" s="482">
        <f>COUNTA(F18:I18)</f>
        <v>1</v>
      </c>
    </row>
    <row r="19" spans="1:19" ht="18" thickBot="1">
      <c r="A19" s="479" t="s">
        <v>571</v>
      </c>
      <c r="B19" s="970" t="s">
        <v>572</v>
      </c>
      <c r="C19" s="970"/>
      <c r="D19" s="970"/>
      <c r="E19" s="970"/>
      <c r="F19" s="480" t="s">
        <v>565</v>
      </c>
      <c r="G19" s="480"/>
      <c r="H19" s="480"/>
      <c r="I19" s="481"/>
      <c r="J19" s="469"/>
      <c r="K19" s="974"/>
      <c r="L19" s="977"/>
      <c r="M19" s="980"/>
      <c r="N19" s="967" t="str">
        <f>IF(S19=0,"Favor Avaliar Linha",IF(S19&gt;1,"Mais de uma Nota Atribuida na linha. Verifique","OK"))</f>
        <v>OK</v>
      </c>
      <c r="O19" s="968"/>
      <c r="P19" s="968"/>
      <c r="Q19" s="968"/>
      <c r="R19" s="969"/>
      <c r="S19" s="482">
        <f>COUNTA(F19:I19)</f>
        <v>1</v>
      </c>
    </row>
    <row r="20" spans="1:19">
      <c r="A20" s="982" t="s">
        <v>573</v>
      </c>
      <c r="B20" s="983"/>
      <c r="C20" s="983"/>
      <c r="D20" s="983"/>
      <c r="E20" s="984"/>
      <c r="F20" s="475" t="s">
        <v>558</v>
      </c>
      <c r="G20" s="475" t="s">
        <v>559</v>
      </c>
      <c r="H20" s="475" t="s">
        <v>560</v>
      </c>
      <c r="I20" s="476"/>
      <c r="J20" s="477"/>
      <c r="K20" s="974"/>
      <c r="L20" s="977"/>
      <c r="M20" s="980"/>
      <c r="S20" s="478"/>
    </row>
    <row r="21" spans="1:19" ht="18" thickBot="1">
      <c r="A21" s="479" t="s">
        <v>80</v>
      </c>
      <c r="B21" s="985" t="s">
        <v>574</v>
      </c>
      <c r="C21" s="986"/>
      <c r="D21" s="986"/>
      <c r="E21" s="987"/>
      <c r="F21" s="480" t="s">
        <v>565</v>
      </c>
      <c r="G21" s="480"/>
      <c r="H21" s="480"/>
      <c r="I21" s="481"/>
      <c r="J21" s="469"/>
      <c r="K21" s="974"/>
      <c r="L21" s="977"/>
      <c r="M21" s="980"/>
      <c r="N21" s="967" t="str">
        <f>IF(S21=0,"Favor Avaliar Linha",IF(S21&gt;1,"Mais de uma Nota Atribuida na linha. Verifique","OK"))</f>
        <v>OK</v>
      </c>
      <c r="O21" s="968"/>
      <c r="P21" s="968"/>
      <c r="Q21" s="968"/>
      <c r="R21" s="969"/>
      <c r="S21" s="482">
        <f>COUNTA(F21:I21)</f>
        <v>1</v>
      </c>
    </row>
    <row r="22" spans="1:19" ht="12.6" thickBot="1">
      <c r="A22" s="982" t="s">
        <v>575</v>
      </c>
      <c r="B22" s="983"/>
      <c r="C22" s="983"/>
      <c r="D22" s="983"/>
      <c r="E22" s="984"/>
      <c r="F22" s="475" t="s">
        <v>558</v>
      </c>
      <c r="G22" s="475" t="s">
        <v>559</v>
      </c>
      <c r="H22" s="475" t="s">
        <v>560</v>
      </c>
      <c r="I22" s="486" t="s">
        <v>576</v>
      </c>
      <c r="J22" s="477"/>
      <c r="K22" s="975"/>
      <c r="L22" s="978"/>
      <c r="M22" s="981"/>
      <c r="O22" s="487"/>
      <c r="P22" s="487"/>
      <c r="Q22" s="487"/>
      <c r="R22" s="487"/>
      <c r="S22" s="478"/>
    </row>
    <row r="23" spans="1:19" ht="18" thickBot="1">
      <c r="A23" s="483" t="s">
        <v>81</v>
      </c>
      <c r="B23" s="964" t="s">
        <v>577</v>
      </c>
      <c r="C23" s="965"/>
      <c r="D23" s="965"/>
      <c r="E23" s="966"/>
      <c r="F23" s="484" t="s">
        <v>565</v>
      </c>
      <c r="G23" s="484"/>
      <c r="H23" s="484"/>
      <c r="I23" s="488"/>
      <c r="J23" s="469"/>
      <c r="K23" s="489"/>
      <c r="L23" s="489"/>
      <c r="M23" s="489"/>
      <c r="N23" s="967" t="str">
        <f t="shared" ref="N23:N33" si="0">IF(S23=0,"Favor Avaliar Linha",IF(S23&gt;1,"Mais de uma Nota Atribuida na linha. Verifique","OK"))</f>
        <v>OK</v>
      </c>
      <c r="O23" s="968"/>
      <c r="P23" s="968"/>
      <c r="Q23" s="968"/>
      <c r="R23" s="969"/>
      <c r="S23" s="482">
        <f t="shared" ref="S23:S33" si="1">COUNTA(F23:I23)</f>
        <v>1</v>
      </c>
    </row>
    <row r="24" spans="1:19" ht="17.399999999999999">
      <c r="A24" s="483" t="s">
        <v>578</v>
      </c>
      <c r="B24" s="971" t="s">
        <v>579</v>
      </c>
      <c r="C24" s="972"/>
      <c r="D24" s="972"/>
      <c r="E24" s="953"/>
      <c r="F24" s="484" t="s">
        <v>565</v>
      </c>
      <c r="G24" s="484"/>
      <c r="H24" s="484"/>
      <c r="I24" s="488"/>
      <c r="J24" s="469"/>
      <c r="K24" s="973" t="s">
        <v>580</v>
      </c>
      <c r="L24" s="976" t="s">
        <v>562</v>
      </c>
      <c r="M24" s="979" t="s">
        <v>563</v>
      </c>
      <c r="N24" s="967" t="str">
        <f t="shared" si="0"/>
        <v>OK</v>
      </c>
      <c r="O24" s="968"/>
      <c r="P24" s="968"/>
      <c r="Q24" s="968"/>
      <c r="R24" s="969"/>
      <c r="S24" s="482">
        <f t="shared" si="1"/>
        <v>1</v>
      </c>
    </row>
    <row r="25" spans="1:19" ht="17.399999999999999">
      <c r="A25" s="483" t="s">
        <v>581</v>
      </c>
      <c r="B25" s="971" t="s">
        <v>582</v>
      </c>
      <c r="C25" s="972"/>
      <c r="D25" s="972"/>
      <c r="E25" s="953"/>
      <c r="F25" s="484" t="s">
        <v>565</v>
      </c>
      <c r="G25" s="484"/>
      <c r="H25" s="484"/>
      <c r="I25" s="488"/>
      <c r="J25" s="469"/>
      <c r="K25" s="974"/>
      <c r="L25" s="977"/>
      <c r="M25" s="980"/>
      <c r="N25" s="967" t="str">
        <f t="shared" si="0"/>
        <v>OK</v>
      </c>
      <c r="O25" s="968"/>
      <c r="P25" s="968"/>
      <c r="Q25" s="968"/>
      <c r="R25" s="969"/>
      <c r="S25" s="482">
        <f t="shared" si="1"/>
        <v>1</v>
      </c>
    </row>
    <row r="26" spans="1:19" ht="17.399999999999999">
      <c r="A26" s="483" t="s">
        <v>583</v>
      </c>
      <c r="B26" s="971" t="s">
        <v>584</v>
      </c>
      <c r="C26" s="972"/>
      <c r="D26" s="972"/>
      <c r="E26" s="953"/>
      <c r="F26" s="484" t="s">
        <v>565</v>
      </c>
      <c r="G26" s="484"/>
      <c r="H26" s="484"/>
      <c r="I26" s="488"/>
      <c r="J26" s="469"/>
      <c r="K26" s="974"/>
      <c r="L26" s="977"/>
      <c r="M26" s="980"/>
      <c r="N26" s="967" t="str">
        <f t="shared" si="0"/>
        <v>OK</v>
      </c>
      <c r="O26" s="968"/>
      <c r="P26" s="968"/>
      <c r="Q26" s="968"/>
      <c r="R26" s="969"/>
      <c r="S26" s="482">
        <f t="shared" si="1"/>
        <v>1</v>
      </c>
    </row>
    <row r="27" spans="1:19" ht="17.399999999999999">
      <c r="A27" s="483" t="s">
        <v>585</v>
      </c>
      <c r="B27" s="971" t="s">
        <v>586</v>
      </c>
      <c r="C27" s="972"/>
      <c r="D27" s="972"/>
      <c r="E27" s="953"/>
      <c r="F27" s="484" t="s">
        <v>565</v>
      </c>
      <c r="G27" s="484"/>
      <c r="H27" s="484"/>
      <c r="I27" s="488"/>
      <c r="J27" s="469"/>
      <c r="K27" s="974"/>
      <c r="L27" s="977"/>
      <c r="M27" s="980"/>
      <c r="N27" s="967" t="str">
        <f t="shared" si="0"/>
        <v>OK</v>
      </c>
      <c r="O27" s="968"/>
      <c r="P27" s="968"/>
      <c r="Q27" s="968"/>
      <c r="R27" s="969"/>
      <c r="S27" s="482">
        <f t="shared" si="1"/>
        <v>1</v>
      </c>
    </row>
    <row r="28" spans="1:19" ht="17.399999999999999">
      <c r="A28" s="483" t="s">
        <v>587</v>
      </c>
      <c r="B28" s="971" t="s">
        <v>588</v>
      </c>
      <c r="C28" s="972"/>
      <c r="D28" s="972"/>
      <c r="E28" s="953"/>
      <c r="F28" s="484" t="s">
        <v>565</v>
      </c>
      <c r="G28" s="484"/>
      <c r="H28" s="484"/>
      <c r="I28" s="488"/>
      <c r="J28" s="469"/>
      <c r="K28" s="974"/>
      <c r="L28" s="977"/>
      <c r="M28" s="980"/>
      <c r="N28" s="967" t="str">
        <f t="shared" si="0"/>
        <v>OK</v>
      </c>
      <c r="O28" s="968"/>
      <c r="P28" s="968"/>
      <c r="Q28" s="968"/>
      <c r="R28" s="969"/>
      <c r="S28" s="482">
        <f t="shared" si="1"/>
        <v>1</v>
      </c>
    </row>
    <row r="29" spans="1:19" ht="17.399999999999999">
      <c r="A29" s="483" t="s">
        <v>589</v>
      </c>
      <c r="B29" s="971" t="s">
        <v>590</v>
      </c>
      <c r="C29" s="972"/>
      <c r="D29" s="972"/>
      <c r="E29" s="953"/>
      <c r="F29" s="484" t="s">
        <v>565</v>
      </c>
      <c r="G29" s="484"/>
      <c r="H29" s="484"/>
      <c r="I29" s="488"/>
      <c r="J29" s="469"/>
      <c r="K29" s="974"/>
      <c r="L29" s="977"/>
      <c r="M29" s="980"/>
      <c r="N29" s="967" t="str">
        <f t="shared" si="0"/>
        <v>OK</v>
      </c>
      <c r="O29" s="968"/>
      <c r="P29" s="968"/>
      <c r="Q29" s="968"/>
      <c r="R29" s="969"/>
      <c r="S29" s="482">
        <f t="shared" si="1"/>
        <v>1</v>
      </c>
    </row>
    <row r="30" spans="1:19" ht="17.399999999999999">
      <c r="A30" s="483" t="s">
        <v>591</v>
      </c>
      <c r="B30" s="971" t="s">
        <v>592</v>
      </c>
      <c r="C30" s="972"/>
      <c r="D30" s="972"/>
      <c r="E30" s="953"/>
      <c r="F30" s="484" t="s">
        <v>565</v>
      </c>
      <c r="G30" s="484"/>
      <c r="H30" s="484"/>
      <c r="I30" s="488"/>
      <c r="J30" s="469"/>
      <c r="K30" s="974"/>
      <c r="L30" s="977"/>
      <c r="M30" s="980"/>
      <c r="N30" s="967" t="str">
        <f t="shared" si="0"/>
        <v>OK</v>
      </c>
      <c r="O30" s="968"/>
      <c r="P30" s="968"/>
      <c r="Q30" s="968"/>
      <c r="R30" s="969"/>
      <c r="S30" s="482">
        <f t="shared" si="1"/>
        <v>1</v>
      </c>
    </row>
    <row r="31" spans="1:19" ht="17.399999999999999">
      <c r="A31" s="483" t="s">
        <v>593</v>
      </c>
      <c r="B31" s="971" t="s">
        <v>594</v>
      </c>
      <c r="C31" s="972"/>
      <c r="D31" s="972"/>
      <c r="E31" s="953"/>
      <c r="F31" s="484" t="s">
        <v>565</v>
      </c>
      <c r="G31" s="484"/>
      <c r="H31" s="484"/>
      <c r="I31" s="488"/>
      <c r="J31" s="469"/>
      <c r="K31" s="974"/>
      <c r="L31" s="977"/>
      <c r="M31" s="980"/>
      <c r="N31" s="967" t="str">
        <f t="shared" si="0"/>
        <v>OK</v>
      </c>
      <c r="O31" s="968"/>
      <c r="P31" s="968"/>
      <c r="Q31" s="968"/>
      <c r="R31" s="969"/>
      <c r="S31" s="482">
        <f t="shared" si="1"/>
        <v>1</v>
      </c>
    </row>
    <row r="32" spans="1:19" ht="23.25" customHeight="1">
      <c r="A32" s="483" t="s">
        <v>595</v>
      </c>
      <c r="B32" s="964" t="s">
        <v>596</v>
      </c>
      <c r="C32" s="965"/>
      <c r="D32" s="965"/>
      <c r="E32" s="966"/>
      <c r="F32" s="484" t="s">
        <v>565</v>
      </c>
      <c r="G32" s="484"/>
      <c r="H32" s="484"/>
      <c r="I32" s="488"/>
      <c r="J32" s="469"/>
      <c r="K32" s="974"/>
      <c r="L32" s="977"/>
      <c r="M32" s="980"/>
      <c r="N32" s="967" t="str">
        <f t="shared" si="0"/>
        <v>OK</v>
      </c>
      <c r="O32" s="968"/>
      <c r="P32" s="968"/>
      <c r="Q32" s="968"/>
      <c r="R32" s="969"/>
      <c r="S32" s="482">
        <f t="shared" si="1"/>
        <v>1</v>
      </c>
    </row>
    <row r="33" spans="1:20" ht="24" customHeight="1" thickBot="1">
      <c r="A33" s="483" t="s">
        <v>597</v>
      </c>
      <c r="B33" s="964" t="s">
        <v>598</v>
      </c>
      <c r="C33" s="965"/>
      <c r="D33" s="965"/>
      <c r="E33" s="966"/>
      <c r="F33" s="484" t="s">
        <v>565</v>
      </c>
      <c r="G33" s="484"/>
      <c r="H33" s="484"/>
      <c r="I33" s="488"/>
      <c r="J33" s="469"/>
      <c r="K33" s="975"/>
      <c r="L33" s="978"/>
      <c r="M33" s="981"/>
      <c r="N33" s="967" t="str">
        <f t="shared" si="0"/>
        <v>OK</v>
      </c>
      <c r="O33" s="968"/>
      <c r="P33" s="968"/>
      <c r="Q33" s="968"/>
      <c r="R33" s="969"/>
      <c r="S33" s="482">
        <f t="shared" si="1"/>
        <v>1</v>
      </c>
    </row>
    <row r="34" spans="1:20" ht="18" thickBot="1">
      <c r="A34" s="479" t="s">
        <v>599</v>
      </c>
      <c r="B34" s="970" t="s">
        <v>600</v>
      </c>
      <c r="C34" s="970"/>
      <c r="D34" s="970"/>
      <c r="E34" s="970"/>
      <c r="F34" s="480" t="s">
        <v>565</v>
      </c>
      <c r="G34" s="480"/>
      <c r="H34" s="480"/>
      <c r="I34" s="490"/>
      <c r="J34" s="469"/>
      <c r="N34" s="967" t="str">
        <f>IF(S34=0,"Favor Avaliar Linha",IF(S34&gt;1,"Mais de uma Nota Atribuida na linha. Verifique","OK"))</f>
        <v>OK</v>
      </c>
      <c r="O34" s="968"/>
      <c r="P34" s="968"/>
      <c r="Q34" s="968"/>
      <c r="R34" s="969"/>
      <c r="S34" s="482">
        <f>COUNTA(F34:I34)</f>
        <v>1</v>
      </c>
    </row>
    <row r="35" spans="1:20" ht="12.6" thickBot="1">
      <c r="A35" s="930" t="s">
        <v>601</v>
      </c>
      <c r="B35" s="931"/>
      <c r="C35" s="932"/>
      <c r="D35" s="933" t="s">
        <v>602</v>
      </c>
      <c r="E35" s="934"/>
      <c r="F35" s="491">
        <f>COUNTA(F14)+COUNTA(F16:F19)+COUNTA(F21)+COUNTA(F23:F34)</f>
        <v>18</v>
      </c>
      <c r="G35" s="491">
        <f>COUNTA(G14)+COUNTA(G16:G19)+COUNTA(G21)+COUNTA(G23:G34)</f>
        <v>0</v>
      </c>
      <c r="H35" s="491">
        <f>COUNTA(H14)+COUNTA(H16:H19)+COUNTA(H21)+COUNTA(H23:H34)</f>
        <v>0</v>
      </c>
      <c r="I35" s="492">
        <f>+COUNTA(I23:I34)</f>
        <v>0</v>
      </c>
      <c r="J35" s="472"/>
      <c r="K35" s="493">
        <f>SUM(F35:I35)</f>
        <v>18</v>
      </c>
      <c r="S35" s="478"/>
    </row>
    <row r="36" spans="1:20">
      <c r="A36" s="935" t="str">
        <f>IF(H38&gt;=93,"A",(IF(H38&gt;=90,"B",(IF(H38&gt;=88,"C",(IF(H38&gt;=86,"D",(IF(H38&gt;=84,"E",(IF(H38&gt;=82,"F",IF(H38&gt;=0,"G"))))))))))))</f>
        <v>A</v>
      </c>
      <c r="B36" s="936" t="str">
        <f t="shared" ref="B36:C38" si="2">IF(A36&gt;=8.1,"A",(IF(A36&gt;=7.65,"B",(IF(A36&gt;=6.75,"C",(IF(A36&gt;=5.85,"D",(IF(A36&gt;=0,"E")))))))))</f>
        <v>A</v>
      </c>
      <c r="C36" s="937" t="str">
        <f t="shared" si="2"/>
        <v>A</v>
      </c>
      <c r="D36" s="933" t="s">
        <v>603</v>
      </c>
      <c r="E36" s="934"/>
      <c r="F36" s="491">
        <v>100</v>
      </c>
      <c r="G36" s="491">
        <v>80</v>
      </c>
      <c r="H36" s="494">
        <v>30</v>
      </c>
      <c r="I36" s="944" t="str">
        <f>IF(K35=" ","Nota Não Atribuida",(IF(K35&gt;18,"Foram Avaliados mais itens do que o necessário",(IF(K35&lt;18,"Não foram avaliados todos os itens",(IF(K35=18,"Avaliação Ok")))))))</f>
        <v>Avaliação Ok</v>
      </c>
      <c r="J36" s="945" t="e">
        <f>IF(#REF!="","Nota Não Atribuida",(IF(#REF!&gt;3,"Nota Inválida",(IF(#REF!=2,"Nota Inválida",(IF(#REF!=0,"Avaliação Ok",(IF(#REF!=1,"Avaliação Ok",(IF(#REF!=3,"Avaliação Ok",)))))))))))</f>
        <v>#REF!</v>
      </c>
      <c r="K36" s="945" t="str">
        <f t="shared" ref="K36:M38" si="3">IF(I36="","Nota Não Atribuida",(IF(I36&gt;3,"Nota Inválida",(IF(I36=2,"Nota Inválida",(IF(I36=0,"Avaliação Ok",(IF(I36=1,"Avaliação Ok",(IF(I36=3,"Avaliação Ok",)))))))))))</f>
        <v>Nota Inválida</v>
      </c>
      <c r="L36" s="945" t="e">
        <f t="shared" si="3"/>
        <v>#REF!</v>
      </c>
      <c r="M36" s="946" t="str">
        <f t="shared" si="3"/>
        <v>Nota Inválida</v>
      </c>
      <c r="S36" s="478"/>
    </row>
    <row r="37" spans="1:20">
      <c r="A37" s="938" t="e">
        <f>IF(#REF!&gt;=8.1,"A",(IF(#REF!&gt;=7.65,"B",(IF(#REF!&gt;=6.75,"C",(IF(#REF!&gt;=5.85,"D",(IF(#REF!&gt;=0,"E")))))))))</f>
        <v>#REF!</v>
      </c>
      <c r="B37" s="939" t="e">
        <f t="shared" si="2"/>
        <v>#REF!</v>
      </c>
      <c r="C37" s="940" t="e">
        <f t="shared" si="2"/>
        <v>#REF!</v>
      </c>
      <c r="D37" s="953" t="s">
        <v>604</v>
      </c>
      <c r="E37" s="954"/>
      <c r="F37" s="495">
        <f>+F36*F35</f>
        <v>1800</v>
      </c>
      <c r="G37" s="495">
        <f>+G36*G35</f>
        <v>0</v>
      </c>
      <c r="H37" s="496">
        <f>+H36*H35</f>
        <v>0</v>
      </c>
      <c r="I37" s="947" t="e">
        <f>IF(#REF!="","Nota Não Atribuida",(IF(#REF!&gt;3,"Nota Inválida",(IF(#REF!=2,"Nota Inválida",(IF(#REF!=0,"Avaliação Ok",(IF(#REF!=1,"Avaliação Ok",(IF(#REF!=3,"Avaliação Ok",)))))))))))</f>
        <v>#REF!</v>
      </c>
      <c r="J37" s="948" t="e">
        <f>IF(#REF!="","Nota Não Atribuida",(IF(#REF!&gt;3,"Nota Inválida",(IF(#REF!=2,"Nota Inválida",(IF(#REF!=0,"Avaliação Ok",(IF(#REF!=1,"Avaliação Ok",(IF(#REF!=3,"Avaliação Ok",)))))))))))</f>
        <v>#REF!</v>
      </c>
      <c r="K37" s="948" t="e">
        <f t="shared" si="3"/>
        <v>#REF!</v>
      </c>
      <c r="L37" s="948" t="e">
        <f t="shared" si="3"/>
        <v>#REF!</v>
      </c>
      <c r="M37" s="949" t="e">
        <f t="shared" si="3"/>
        <v>#REF!</v>
      </c>
    </row>
    <row r="38" spans="1:20" ht="13.8" thickBot="1">
      <c r="A38" s="941" t="e">
        <f>IF(#REF!&gt;=8.1,"A",(IF(#REF!&gt;=7.65,"B",(IF(#REF!&gt;=6.75,"C",(IF(#REF!&gt;=5.85,"D",(IF(#REF!&gt;=0,"E")))))))))</f>
        <v>#REF!</v>
      </c>
      <c r="B38" s="942" t="e">
        <f t="shared" si="2"/>
        <v>#REF!</v>
      </c>
      <c r="C38" s="943" t="e">
        <f t="shared" si="2"/>
        <v>#REF!</v>
      </c>
      <c r="D38" s="955" t="s">
        <v>605</v>
      </c>
      <c r="E38" s="956"/>
      <c r="F38" s="497">
        <f>+F37+G37+H37</f>
        <v>1800</v>
      </c>
      <c r="G38" s="498" t="s">
        <v>606</v>
      </c>
      <c r="H38" s="499">
        <f>ROUND(+F38/(SUM(F35:H35)),0)</f>
        <v>100</v>
      </c>
      <c r="I38" s="950" t="e">
        <f>IF(#REF!="","Nota Não Atribuida",(IF(#REF!&gt;3,"Nota Inválida",(IF(#REF!=2,"Nota Inválida",(IF(#REF!=0,"Avaliação Ok",(IF(#REF!=1,"Avaliação Ok",(IF(#REF!=3,"Avaliação Ok",)))))))))))</f>
        <v>#REF!</v>
      </c>
      <c r="J38" s="951" t="e">
        <f>IF(#REF!="","Nota Não Atribuida",(IF(#REF!&gt;3,"Nota Inválida",(IF(#REF!=2,"Nota Inválida",(IF(#REF!=0,"Avaliação Ok",(IF(#REF!=1,"Avaliação Ok",(IF(#REF!=3,"Avaliação Ok",)))))))))))</f>
        <v>#REF!</v>
      </c>
      <c r="K38" s="951" t="e">
        <f t="shared" si="3"/>
        <v>#REF!</v>
      </c>
      <c r="L38" s="951" t="e">
        <f t="shared" si="3"/>
        <v>#REF!</v>
      </c>
      <c r="M38" s="952" t="e">
        <f t="shared" si="3"/>
        <v>#REF!</v>
      </c>
      <c r="O38" s="500"/>
      <c r="P38" s="500"/>
      <c r="Q38" s="500"/>
      <c r="R38" s="500"/>
      <c r="S38" s="500"/>
    </row>
    <row r="39" spans="1:20" ht="12.6" thickBot="1">
      <c r="G39" s="471"/>
      <c r="H39" s="471"/>
      <c r="I39" s="472"/>
      <c r="J39" s="472"/>
      <c r="K39" s="469"/>
    </row>
    <row r="40" spans="1:20" ht="13.8" thickBot="1">
      <c r="A40" s="957" t="s">
        <v>607</v>
      </c>
      <c r="B40" s="958"/>
      <c r="C40" s="958"/>
      <c r="D40" s="958"/>
      <c r="E40" s="959"/>
      <c r="F40" s="501">
        <f>+'Custo Limpeza'!X109</f>
        <v>208</v>
      </c>
      <c r="G40" s="960" t="s">
        <v>608</v>
      </c>
      <c r="H40" s="961"/>
      <c r="I40" s="961"/>
      <c r="J40" s="961"/>
      <c r="K40" s="961"/>
      <c r="L40" s="962"/>
      <c r="M40" s="502"/>
      <c r="O40" s="503"/>
      <c r="P40" s="503"/>
      <c r="Q40" s="503"/>
      <c r="R40" s="503"/>
      <c r="S40" s="503"/>
      <c r="T40" s="503"/>
    </row>
    <row r="41" spans="1:20" ht="16.8">
      <c r="A41" s="504" t="s">
        <v>609</v>
      </c>
      <c r="B41" s="963" t="s">
        <v>610</v>
      </c>
      <c r="C41" s="963"/>
      <c r="D41" s="963"/>
      <c r="E41" s="505" t="s">
        <v>611</v>
      </c>
      <c r="F41" s="506"/>
      <c r="H41" s="507"/>
      <c r="I41" s="472"/>
      <c r="J41" s="472"/>
      <c r="K41" s="469"/>
      <c r="O41" s="503"/>
      <c r="P41" s="503"/>
      <c r="Q41" s="503"/>
      <c r="R41" s="503"/>
      <c r="S41" s="503"/>
      <c r="T41" s="503"/>
    </row>
    <row r="42" spans="1:20">
      <c r="A42" s="508" t="s">
        <v>4</v>
      </c>
      <c r="B42" s="900" t="s">
        <v>612</v>
      </c>
      <c r="C42" s="900"/>
      <c r="D42" s="900"/>
      <c r="E42" s="509">
        <v>1</v>
      </c>
      <c r="F42" s="510"/>
      <c r="M42" s="469"/>
      <c r="O42" s="503"/>
      <c r="P42" s="503"/>
      <c r="Q42" s="503"/>
      <c r="R42" s="503"/>
      <c r="S42" s="503"/>
      <c r="T42" s="503"/>
    </row>
    <row r="43" spans="1:20" ht="12.6" thickBot="1">
      <c r="A43" s="508" t="s">
        <v>6</v>
      </c>
      <c r="B43" s="900" t="s">
        <v>613</v>
      </c>
      <c r="C43" s="900"/>
      <c r="D43" s="900"/>
      <c r="E43" s="509">
        <v>0.95</v>
      </c>
      <c r="F43" s="510"/>
      <c r="O43" s="503"/>
      <c r="P43" s="503"/>
      <c r="Q43" s="503"/>
      <c r="R43" s="503"/>
      <c r="S43" s="503"/>
      <c r="T43" s="503"/>
    </row>
    <row r="44" spans="1:20" ht="13.8" thickBot="1">
      <c r="A44" s="508" t="s">
        <v>9</v>
      </c>
      <c r="B44" s="900" t="s">
        <v>614</v>
      </c>
      <c r="C44" s="900"/>
      <c r="D44" s="900"/>
      <c r="E44" s="512">
        <v>0.92</v>
      </c>
      <c r="F44" s="510"/>
      <c r="G44" s="925" t="s">
        <v>615</v>
      </c>
      <c r="H44" s="926"/>
      <c r="I44" s="927"/>
      <c r="K44" s="928">
        <f>+'Controle Area Física'!I27-IMR!K45</f>
        <v>0</v>
      </c>
      <c r="L44" s="929"/>
      <c r="O44" s="503"/>
      <c r="P44" s="503"/>
      <c r="Q44" s="503"/>
      <c r="R44" s="503"/>
      <c r="S44" s="503"/>
      <c r="T44" s="503"/>
    </row>
    <row r="45" spans="1:20" ht="12.6" thickBot="1">
      <c r="A45" s="508" t="s">
        <v>11</v>
      </c>
      <c r="B45" s="900" t="s">
        <v>616</v>
      </c>
      <c r="C45" s="900"/>
      <c r="D45" s="900"/>
      <c r="E45" s="512">
        <v>0.89</v>
      </c>
      <c r="F45" s="510"/>
      <c r="G45" s="925" t="s">
        <v>617</v>
      </c>
      <c r="H45" s="926"/>
      <c r="I45" s="927"/>
      <c r="J45" s="472"/>
      <c r="K45" s="928">
        <f>+'Controle de Material'!T90</f>
        <v>0</v>
      </c>
      <c r="L45" s="929"/>
      <c r="O45" s="503"/>
      <c r="P45" s="503"/>
      <c r="Q45" s="503"/>
      <c r="R45" s="503"/>
      <c r="S45" s="503"/>
      <c r="T45" s="503"/>
    </row>
    <row r="46" spans="1:20" ht="13.2">
      <c r="A46" s="508" t="s">
        <v>37</v>
      </c>
      <c r="B46" s="900" t="s">
        <v>618</v>
      </c>
      <c r="C46" s="900"/>
      <c r="D46" s="900"/>
      <c r="E46" s="512">
        <v>0.86</v>
      </c>
      <c r="F46" s="510"/>
      <c r="G46" s="925" t="s">
        <v>619</v>
      </c>
      <c r="H46" s="926"/>
      <c r="I46" s="927"/>
      <c r="J46" s="472"/>
      <c r="K46" s="928">
        <f>+K45+K44</f>
        <v>0</v>
      </c>
      <c r="L46" s="929"/>
      <c r="O46" s="503"/>
      <c r="P46" s="503"/>
      <c r="Q46" s="503"/>
      <c r="R46" s="503"/>
      <c r="S46" s="503"/>
      <c r="T46" s="503"/>
    </row>
    <row r="47" spans="1:20">
      <c r="A47" s="508" t="s">
        <v>39</v>
      </c>
      <c r="B47" s="900" t="s">
        <v>620</v>
      </c>
      <c r="C47" s="900"/>
      <c r="D47" s="900"/>
      <c r="E47" s="512">
        <v>0.83</v>
      </c>
      <c r="F47" s="510"/>
      <c r="G47" s="901" t="s">
        <v>621</v>
      </c>
      <c r="H47" s="902"/>
      <c r="I47" s="903"/>
      <c r="J47" s="472"/>
      <c r="K47" s="904">
        <f>IF(A36="A",1,(IF(A36="B",0.95,(IF(A36="C",0.92,(IF(A36="D",0.89,(IF(A36="E",0.86,(IF(A36="F",0.83,(IF(A36="G",0.8,"Nota Invalida")))))))))))))</f>
        <v>1</v>
      </c>
      <c r="L47" s="905"/>
      <c r="O47" s="503"/>
      <c r="P47" s="503"/>
      <c r="Q47" s="503"/>
      <c r="R47" s="503"/>
      <c r="S47" s="503"/>
      <c r="T47" s="503"/>
    </row>
    <row r="48" spans="1:20" ht="12.6" thickBot="1">
      <c r="A48" s="513" t="s">
        <v>41</v>
      </c>
      <c r="B48" s="906" t="s">
        <v>622</v>
      </c>
      <c r="C48" s="906"/>
      <c r="D48" s="906"/>
      <c r="E48" s="514">
        <v>0.8</v>
      </c>
      <c r="F48" s="510"/>
      <c r="G48" s="907" t="s">
        <v>623</v>
      </c>
      <c r="H48" s="908"/>
      <c r="I48" s="909"/>
      <c r="J48" s="472"/>
      <c r="K48" s="910">
        <f>+K46*(K47)</f>
        <v>0</v>
      </c>
      <c r="L48" s="911"/>
      <c r="O48" s="503"/>
      <c r="P48" s="503"/>
      <c r="Q48" s="503"/>
      <c r="R48" s="503"/>
      <c r="S48" s="503"/>
      <c r="T48" s="503"/>
    </row>
    <row r="49" spans="1:20" ht="12.6" thickBot="1">
      <c r="A49" s="471"/>
      <c r="B49" s="471"/>
      <c r="C49" s="471"/>
      <c r="D49" s="899"/>
      <c r="E49" s="899"/>
      <c r="F49" s="515"/>
      <c r="G49" s="516"/>
      <c r="H49" s="516"/>
      <c r="I49" s="471"/>
      <c r="J49" s="472"/>
      <c r="K49" s="471"/>
      <c r="L49" s="517"/>
      <c r="M49" s="518" t="s">
        <v>624</v>
      </c>
      <c r="O49" s="912"/>
      <c r="P49" s="471"/>
      <c r="Q49" s="519"/>
      <c r="R49" s="471"/>
      <c r="S49" s="471"/>
      <c r="T49" s="471"/>
    </row>
    <row r="50" spans="1:20" ht="12.6" thickBot="1">
      <c r="A50" s="913" t="s">
        <v>625</v>
      </c>
      <c r="B50" s="914"/>
      <c r="C50" s="914"/>
      <c r="D50" s="914"/>
      <c r="E50" s="914"/>
      <c r="F50" s="914"/>
      <c r="G50" s="914"/>
      <c r="H50" s="914"/>
      <c r="I50" s="914"/>
      <c r="J50" s="914"/>
      <c r="K50" s="914"/>
      <c r="L50" s="914"/>
      <c r="M50" s="915"/>
      <c r="O50" s="912"/>
      <c r="P50" s="471"/>
      <c r="Q50" s="519"/>
      <c r="R50" s="471"/>
      <c r="S50" s="471"/>
      <c r="T50" s="471"/>
    </row>
    <row r="51" spans="1:20" ht="12.6" thickBot="1">
      <c r="A51" s="916" t="s">
        <v>626</v>
      </c>
      <c r="B51" s="917"/>
      <c r="C51" s="917"/>
      <c r="D51" s="917"/>
      <c r="E51" s="917"/>
      <c r="F51" s="917"/>
      <c r="G51" s="917"/>
      <c r="H51" s="917"/>
      <c r="I51" s="917"/>
      <c r="J51" s="917"/>
      <c r="K51" s="917"/>
      <c r="L51" s="917"/>
      <c r="M51" s="918"/>
      <c r="O51" s="912"/>
      <c r="P51" s="471"/>
      <c r="Q51" s="519"/>
      <c r="R51" s="471"/>
      <c r="S51" s="471"/>
      <c r="T51" s="471"/>
    </row>
    <row r="52" spans="1:20">
      <c r="A52" s="919"/>
      <c r="B52" s="920"/>
      <c r="C52" s="920"/>
      <c r="D52" s="920"/>
      <c r="E52" s="920"/>
      <c r="F52" s="920"/>
      <c r="G52" s="920"/>
      <c r="H52" s="920"/>
      <c r="I52" s="920"/>
      <c r="J52" s="920"/>
      <c r="K52" s="920"/>
      <c r="L52" s="920"/>
      <c r="M52" s="921"/>
      <c r="O52" s="471"/>
      <c r="P52" s="471"/>
      <c r="Q52" s="471"/>
      <c r="R52" s="471"/>
      <c r="S52" s="471"/>
      <c r="T52" s="471"/>
    </row>
    <row r="53" spans="1:20">
      <c r="A53" s="922"/>
      <c r="B53" s="923"/>
      <c r="C53" s="923"/>
      <c r="D53" s="923"/>
      <c r="E53" s="923"/>
      <c r="F53" s="923"/>
      <c r="G53" s="923"/>
      <c r="H53" s="923"/>
      <c r="I53" s="923"/>
      <c r="J53" s="923"/>
      <c r="K53" s="923"/>
      <c r="L53" s="923"/>
      <c r="M53" s="924"/>
      <c r="O53" s="471"/>
      <c r="P53" s="899"/>
      <c r="Q53" s="899"/>
      <c r="R53" s="507"/>
      <c r="S53" s="507"/>
      <c r="T53" s="507"/>
    </row>
    <row r="54" spans="1:20">
      <c r="A54" s="922"/>
      <c r="B54" s="923"/>
      <c r="C54" s="923"/>
      <c r="D54" s="923"/>
      <c r="E54" s="923"/>
      <c r="F54" s="923"/>
      <c r="G54" s="923"/>
      <c r="H54" s="923"/>
      <c r="I54" s="923"/>
      <c r="J54" s="923"/>
      <c r="K54" s="923"/>
      <c r="L54" s="923"/>
      <c r="M54" s="924"/>
      <c r="O54" s="471"/>
      <c r="P54" s="899"/>
      <c r="Q54" s="899"/>
      <c r="R54" s="507"/>
      <c r="S54" s="507"/>
      <c r="T54" s="507"/>
    </row>
    <row r="55" spans="1:20">
      <c r="A55" s="922"/>
      <c r="B55" s="923"/>
      <c r="C55" s="923"/>
      <c r="D55" s="923"/>
      <c r="E55" s="923"/>
      <c r="F55" s="923"/>
      <c r="G55" s="923"/>
      <c r="H55" s="923"/>
      <c r="I55" s="923"/>
      <c r="J55" s="923"/>
      <c r="K55" s="923"/>
      <c r="L55" s="923"/>
      <c r="M55" s="924"/>
      <c r="O55" s="471"/>
      <c r="P55" s="899"/>
      <c r="Q55" s="899"/>
      <c r="R55" s="515"/>
      <c r="S55" s="516"/>
      <c r="T55" s="516"/>
    </row>
    <row r="56" spans="1:20">
      <c r="A56" s="922"/>
      <c r="B56" s="923"/>
      <c r="C56" s="923"/>
      <c r="D56" s="923"/>
      <c r="E56" s="923"/>
      <c r="F56" s="923"/>
      <c r="G56" s="923"/>
      <c r="H56" s="923"/>
      <c r="I56" s="923"/>
      <c r="J56" s="923"/>
      <c r="K56" s="923"/>
      <c r="L56" s="923"/>
      <c r="M56" s="924"/>
      <c r="O56" s="503"/>
      <c r="P56" s="503"/>
      <c r="Q56" s="503"/>
      <c r="R56" s="503"/>
      <c r="S56" s="503"/>
      <c r="T56" s="503"/>
    </row>
    <row r="57" spans="1:20">
      <c r="A57" s="922"/>
      <c r="B57" s="923"/>
      <c r="C57" s="923"/>
      <c r="D57" s="923"/>
      <c r="E57" s="923"/>
      <c r="F57" s="923"/>
      <c r="G57" s="923"/>
      <c r="H57" s="923"/>
      <c r="I57" s="923"/>
      <c r="J57" s="923"/>
      <c r="K57" s="923"/>
      <c r="L57" s="923"/>
      <c r="M57" s="924"/>
    </row>
    <row r="58" spans="1:20">
      <c r="A58" s="922"/>
      <c r="B58" s="923"/>
      <c r="C58" s="923"/>
      <c r="D58" s="923"/>
      <c r="E58" s="923"/>
      <c r="F58" s="923"/>
      <c r="G58" s="923"/>
      <c r="H58" s="923"/>
      <c r="I58" s="923"/>
      <c r="J58" s="923"/>
      <c r="K58" s="923"/>
      <c r="L58" s="923"/>
      <c r="M58" s="924"/>
      <c r="N58" s="520"/>
    </row>
    <row r="59" spans="1:20">
      <c r="A59" s="922"/>
      <c r="B59" s="923"/>
      <c r="C59" s="923"/>
      <c r="D59" s="923"/>
      <c r="E59" s="923"/>
      <c r="F59" s="923"/>
      <c r="G59" s="923"/>
      <c r="H59" s="923"/>
      <c r="I59" s="923"/>
      <c r="J59" s="923"/>
      <c r="K59" s="923"/>
      <c r="L59" s="923"/>
      <c r="M59" s="924"/>
    </row>
    <row r="60" spans="1:20">
      <c r="A60" s="922"/>
      <c r="B60" s="923"/>
      <c r="C60" s="923"/>
      <c r="D60" s="923"/>
      <c r="E60" s="923"/>
      <c r="F60" s="923"/>
      <c r="G60" s="923"/>
      <c r="H60" s="923"/>
      <c r="I60" s="923"/>
      <c r="J60" s="923"/>
      <c r="K60" s="923"/>
      <c r="L60" s="923"/>
      <c r="M60" s="924"/>
    </row>
    <row r="61" spans="1:20">
      <c r="A61" s="922"/>
      <c r="B61" s="923"/>
      <c r="C61" s="923"/>
      <c r="D61" s="923"/>
      <c r="E61" s="923"/>
      <c r="F61" s="923"/>
      <c r="G61" s="923"/>
      <c r="H61" s="923"/>
      <c r="I61" s="923"/>
      <c r="J61" s="923"/>
      <c r="K61" s="923"/>
      <c r="L61" s="923"/>
      <c r="M61" s="924"/>
    </row>
    <row r="62" spans="1:20">
      <c r="A62" s="922"/>
      <c r="B62" s="923"/>
      <c r="C62" s="923"/>
      <c r="D62" s="923"/>
      <c r="E62" s="923"/>
      <c r="F62" s="923"/>
      <c r="G62" s="923"/>
      <c r="H62" s="923"/>
      <c r="I62" s="923"/>
      <c r="J62" s="923"/>
      <c r="K62" s="923"/>
      <c r="L62" s="923"/>
      <c r="M62" s="924"/>
    </row>
    <row r="63" spans="1:20">
      <c r="A63" s="922"/>
      <c r="B63" s="923"/>
      <c r="C63" s="923"/>
      <c r="D63" s="923"/>
      <c r="E63" s="923"/>
      <c r="F63" s="923"/>
      <c r="G63" s="923"/>
      <c r="H63" s="923"/>
      <c r="I63" s="923"/>
      <c r="J63" s="923"/>
      <c r="K63" s="923"/>
      <c r="L63" s="923"/>
      <c r="M63" s="924"/>
    </row>
    <row r="64" spans="1:20">
      <c r="A64" s="922"/>
      <c r="B64" s="923"/>
      <c r="C64" s="923"/>
      <c r="D64" s="923"/>
      <c r="E64" s="923"/>
      <c r="F64" s="923"/>
      <c r="G64" s="923"/>
      <c r="H64" s="923"/>
      <c r="I64" s="923"/>
      <c r="J64" s="923"/>
      <c r="K64" s="923"/>
      <c r="L64" s="923"/>
      <c r="M64" s="924"/>
    </row>
    <row r="65" spans="1:13">
      <c r="A65" s="922"/>
      <c r="B65" s="923"/>
      <c r="C65" s="923"/>
      <c r="D65" s="923"/>
      <c r="E65" s="923"/>
      <c r="F65" s="923"/>
      <c r="G65" s="923"/>
      <c r="H65" s="923"/>
      <c r="I65" s="923"/>
      <c r="J65" s="923"/>
      <c r="K65" s="923"/>
      <c r="L65" s="923"/>
      <c r="M65" s="924"/>
    </row>
    <row r="66" spans="1:13">
      <c r="A66" s="922"/>
      <c r="B66" s="923"/>
      <c r="C66" s="923"/>
      <c r="D66" s="923"/>
      <c r="E66" s="923"/>
      <c r="F66" s="923"/>
      <c r="G66" s="923"/>
      <c r="H66" s="923"/>
      <c r="I66" s="923"/>
      <c r="J66" s="923"/>
      <c r="K66" s="923"/>
      <c r="L66" s="923"/>
      <c r="M66" s="924"/>
    </row>
    <row r="67" spans="1:13">
      <c r="A67" s="922"/>
      <c r="B67" s="923"/>
      <c r="C67" s="923"/>
      <c r="D67" s="923"/>
      <c r="E67" s="923"/>
      <c r="F67" s="923"/>
      <c r="G67" s="923"/>
      <c r="H67" s="923"/>
      <c r="I67" s="923"/>
      <c r="J67" s="923"/>
      <c r="K67" s="923"/>
      <c r="L67" s="923"/>
      <c r="M67" s="924"/>
    </row>
    <row r="68" spans="1:13">
      <c r="A68" s="922"/>
      <c r="B68" s="923"/>
      <c r="C68" s="923"/>
      <c r="D68" s="923"/>
      <c r="E68" s="923"/>
      <c r="F68" s="923"/>
      <c r="G68" s="923"/>
      <c r="H68" s="923"/>
      <c r="I68" s="923"/>
      <c r="J68" s="923"/>
      <c r="K68" s="923"/>
      <c r="L68" s="923"/>
      <c r="M68" s="924"/>
    </row>
    <row r="69" spans="1:13">
      <c r="A69" s="922"/>
      <c r="B69" s="923"/>
      <c r="C69" s="923"/>
      <c r="D69" s="923"/>
      <c r="E69" s="923"/>
      <c r="F69" s="923"/>
      <c r="G69" s="923"/>
      <c r="H69" s="923"/>
      <c r="I69" s="923"/>
      <c r="J69" s="923"/>
      <c r="K69" s="923"/>
      <c r="L69" s="923"/>
      <c r="M69" s="924"/>
    </row>
    <row r="70" spans="1:13">
      <c r="A70" s="922"/>
      <c r="B70" s="923"/>
      <c r="C70" s="923"/>
      <c r="D70" s="923"/>
      <c r="E70" s="923"/>
      <c r="F70" s="923"/>
      <c r="G70" s="923"/>
      <c r="H70" s="923"/>
      <c r="I70" s="923"/>
      <c r="J70" s="923"/>
      <c r="K70" s="923"/>
      <c r="L70" s="923"/>
      <c r="M70" s="924"/>
    </row>
    <row r="71" spans="1:13">
      <c r="A71" s="922"/>
      <c r="B71" s="923"/>
      <c r="C71" s="923"/>
      <c r="D71" s="923"/>
      <c r="E71" s="923"/>
      <c r="F71" s="923"/>
      <c r="G71" s="923"/>
      <c r="H71" s="923"/>
      <c r="I71" s="923"/>
      <c r="J71" s="923"/>
      <c r="K71" s="923"/>
      <c r="L71" s="923"/>
      <c r="M71" s="924"/>
    </row>
    <row r="72" spans="1:13">
      <c r="A72" s="922"/>
      <c r="B72" s="923"/>
      <c r="C72" s="923"/>
      <c r="D72" s="923"/>
      <c r="E72" s="923"/>
      <c r="F72" s="923"/>
      <c r="G72" s="923"/>
      <c r="H72" s="923"/>
      <c r="I72" s="923"/>
      <c r="J72" s="923"/>
      <c r="K72" s="923"/>
      <c r="L72" s="923"/>
      <c r="M72" s="924"/>
    </row>
    <row r="73" spans="1:13">
      <c r="A73" s="922"/>
      <c r="B73" s="923"/>
      <c r="C73" s="923"/>
      <c r="D73" s="923"/>
      <c r="E73" s="923"/>
      <c r="F73" s="923"/>
      <c r="G73" s="923"/>
      <c r="H73" s="923"/>
      <c r="I73" s="923"/>
      <c r="J73" s="923"/>
      <c r="K73" s="923"/>
      <c r="L73" s="923"/>
      <c r="M73" s="924"/>
    </row>
    <row r="74" spans="1:13">
      <c r="A74" s="922"/>
      <c r="B74" s="923"/>
      <c r="C74" s="923"/>
      <c r="D74" s="923"/>
      <c r="E74" s="923"/>
      <c r="F74" s="923"/>
      <c r="G74" s="923"/>
      <c r="H74" s="923"/>
      <c r="I74" s="923"/>
      <c r="J74" s="923"/>
      <c r="K74" s="923"/>
      <c r="L74" s="923"/>
      <c r="M74" s="924"/>
    </row>
    <row r="75" spans="1:13">
      <c r="A75" s="922"/>
      <c r="B75" s="923"/>
      <c r="C75" s="923"/>
      <c r="D75" s="923"/>
      <c r="E75" s="923"/>
      <c r="F75" s="923"/>
      <c r="G75" s="923"/>
      <c r="H75" s="923"/>
      <c r="I75" s="923"/>
      <c r="J75" s="923"/>
      <c r="K75" s="923"/>
      <c r="L75" s="923"/>
      <c r="M75" s="924"/>
    </row>
    <row r="76" spans="1:13">
      <c r="A76" s="922"/>
      <c r="B76" s="923"/>
      <c r="C76" s="923"/>
      <c r="D76" s="923"/>
      <c r="E76" s="923"/>
      <c r="F76" s="923"/>
      <c r="G76" s="923"/>
      <c r="H76" s="923"/>
      <c r="I76" s="923"/>
      <c r="J76" s="923"/>
      <c r="K76" s="923"/>
      <c r="L76" s="923"/>
      <c r="M76" s="924"/>
    </row>
    <row r="77" spans="1:13">
      <c r="A77" s="922"/>
      <c r="B77" s="923"/>
      <c r="C77" s="923"/>
      <c r="D77" s="923"/>
      <c r="E77" s="923"/>
      <c r="F77" s="923"/>
      <c r="G77" s="923"/>
      <c r="H77" s="923"/>
      <c r="I77" s="923"/>
      <c r="J77" s="923"/>
      <c r="K77" s="923"/>
      <c r="L77" s="923"/>
      <c r="M77" s="924"/>
    </row>
    <row r="78" spans="1:13">
      <c r="A78" s="922"/>
      <c r="B78" s="923"/>
      <c r="C78" s="923"/>
      <c r="D78" s="923"/>
      <c r="E78" s="923"/>
      <c r="F78" s="923"/>
      <c r="G78" s="923"/>
      <c r="H78" s="923"/>
      <c r="I78" s="923"/>
      <c r="J78" s="923"/>
      <c r="K78" s="923"/>
      <c r="L78" s="923"/>
      <c r="M78" s="924"/>
    </row>
    <row r="79" spans="1:13">
      <c r="A79" s="922"/>
      <c r="B79" s="923"/>
      <c r="C79" s="923"/>
      <c r="D79" s="923"/>
      <c r="E79" s="923"/>
      <c r="F79" s="923"/>
      <c r="G79" s="923"/>
      <c r="H79" s="923"/>
      <c r="I79" s="923"/>
      <c r="J79" s="923"/>
      <c r="K79" s="923"/>
      <c r="L79" s="923"/>
      <c r="M79" s="924"/>
    </row>
    <row r="80" spans="1:13">
      <c r="A80" s="922"/>
      <c r="B80" s="923"/>
      <c r="C80" s="923"/>
      <c r="D80" s="923"/>
      <c r="E80" s="923"/>
      <c r="F80" s="923"/>
      <c r="G80" s="923"/>
      <c r="H80" s="923"/>
      <c r="I80" s="923"/>
      <c r="J80" s="923"/>
      <c r="K80" s="923"/>
      <c r="L80" s="923"/>
      <c r="M80" s="924"/>
    </row>
    <row r="81" spans="1:13">
      <c r="A81" s="922"/>
      <c r="B81" s="923"/>
      <c r="C81" s="923"/>
      <c r="D81" s="923"/>
      <c r="E81" s="923"/>
      <c r="F81" s="923"/>
      <c r="G81" s="923"/>
      <c r="H81" s="923"/>
      <c r="I81" s="923"/>
      <c r="J81" s="923"/>
      <c r="K81" s="923"/>
      <c r="L81" s="923"/>
      <c r="M81" s="924"/>
    </row>
    <row r="82" spans="1:13">
      <c r="A82" s="922"/>
      <c r="B82" s="923"/>
      <c r="C82" s="923"/>
      <c r="D82" s="923"/>
      <c r="E82" s="923"/>
      <c r="F82" s="923"/>
      <c r="G82" s="923"/>
      <c r="H82" s="923"/>
      <c r="I82" s="923"/>
      <c r="J82" s="923"/>
      <c r="K82" s="923"/>
      <c r="L82" s="923"/>
      <c r="M82" s="924"/>
    </row>
    <row r="83" spans="1:13">
      <c r="A83" s="922"/>
      <c r="B83" s="923"/>
      <c r="C83" s="923"/>
      <c r="D83" s="923"/>
      <c r="E83" s="923"/>
      <c r="F83" s="923"/>
      <c r="G83" s="923"/>
      <c r="H83" s="923"/>
      <c r="I83" s="923"/>
      <c r="J83" s="923"/>
      <c r="K83" s="923"/>
      <c r="L83" s="923"/>
      <c r="M83" s="924"/>
    </row>
    <row r="84" spans="1:13">
      <c r="A84" s="922"/>
      <c r="B84" s="923"/>
      <c r="C84" s="923"/>
      <c r="D84" s="923"/>
      <c r="E84" s="923"/>
      <c r="F84" s="923"/>
      <c r="G84" s="923"/>
      <c r="H84" s="923"/>
      <c r="I84" s="923"/>
      <c r="J84" s="923"/>
      <c r="K84" s="923"/>
      <c r="L84" s="923"/>
      <c r="M84" s="924"/>
    </row>
    <row r="85" spans="1:13">
      <c r="A85" s="922"/>
      <c r="B85" s="923"/>
      <c r="C85" s="923"/>
      <c r="D85" s="923"/>
      <c r="E85" s="923"/>
      <c r="F85" s="923"/>
      <c r="G85" s="923"/>
      <c r="H85" s="923"/>
      <c r="I85" s="923"/>
      <c r="J85" s="923"/>
      <c r="K85" s="923"/>
      <c r="L85" s="923"/>
      <c r="M85" s="924"/>
    </row>
    <row r="86" spans="1:13">
      <c r="A86" s="922"/>
      <c r="B86" s="923"/>
      <c r="C86" s="923"/>
      <c r="D86" s="923"/>
      <c r="E86" s="923"/>
      <c r="F86" s="923"/>
      <c r="G86" s="923"/>
      <c r="H86" s="923"/>
      <c r="I86" s="923"/>
      <c r="J86" s="923"/>
      <c r="K86" s="923"/>
      <c r="L86" s="923"/>
      <c r="M86" s="924"/>
    </row>
    <row r="87" spans="1:13">
      <c r="A87" s="922"/>
      <c r="B87" s="923"/>
      <c r="C87" s="923"/>
      <c r="D87" s="923"/>
      <c r="E87" s="923"/>
      <c r="F87" s="923"/>
      <c r="G87" s="923"/>
      <c r="H87" s="923"/>
      <c r="I87" s="923"/>
      <c r="J87" s="923"/>
      <c r="K87" s="923"/>
      <c r="L87" s="923"/>
      <c r="M87" s="924"/>
    </row>
    <row r="88" spans="1:13">
      <c r="A88" s="922"/>
      <c r="B88" s="923"/>
      <c r="C88" s="923"/>
      <c r="D88" s="923"/>
      <c r="E88" s="923"/>
      <c r="F88" s="923"/>
      <c r="G88" s="923"/>
      <c r="H88" s="923"/>
      <c r="I88" s="923"/>
      <c r="J88" s="923"/>
      <c r="K88" s="923"/>
      <c r="L88" s="923"/>
      <c r="M88" s="924"/>
    </row>
    <row r="89" spans="1:13">
      <c r="A89" s="922"/>
      <c r="B89" s="923"/>
      <c r="C89" s="923"/>
      <c r="D89" s="923"/>
      <c r="E89" s="923"/>
      <c r="F89" s="923"/>
      <c r="G89" s="923"/>
      <c r="H89" s="923"/>
      <c r="I89" s="923"/>
      <c r="J89" s="923"/>
      <c r="K89" s="923"/>
      <c r="L89" s="923"/>
      <c r="M89" s="924"/>
    </row>
    <row r="90" spans="1:13">
      <c r="A90" s="922"/>
      <c r="B90" s="923"/>
      <c r="C90" s="923"/>
      <c r="D90" s="923"/>
      <c r="E90" s="923"/>
      <c r="F90" s="923"/>
      <c r="G90" s="923"/>
      <c r="H90" s="923"/>
      <c r="I90" s="923"/>
      <c r="J90" s="923"/>
      <c r="K90" s="923"/>
      <c r="L90" s="923"/>
      <c r="M90" s="924"/>
    </row>
    <row r="91" spans="1:13">
      <c r="A91" s="922"/>
      <c r="B91" s="923"/>
      <c r="C91" s="923"/>
      <c r="D91" s="923"/>
      <c r="E91" s="923"/>
      <c r="F91" s="923"/>
      <c r="G91" s="923"/>
      <c r="H91" s="923"/>
      <c r="I91" s="923"/>
      <c r="J91" s="923"/>
      <c r="K91" s="923"/>
      <c r="L91" s="923"/>
      <c r="M91" s="924"/>
    </row>
    <row r="92" spans="1:13">
      <c r="A92" s="922"/>
      <c r="B92" s="923"/>
      <c r="C92" s="923"/>
      <c r="D92" s="923"/>
      <c r="E92" s="923"/>
      <c r="F92" s="923"/>
      <c r="G92" s="923"/>
      <c r="H92" s="923"/>
      <c r="I92" s="923"/>
      <c r="J92" s="923"/>
      <c r="K92" s="923"/>
      <c r="L92" s="923"/>
      <c r="M92" s="924"/>
    </row>
    <row r="93" spans="1:13">
      <c r="A93" s="922"/>
      <c r="B93" s="923"/>
      <c r="C93" s="923"/>
      <c r="D93" s="923"/>
      <c r="E93" s="923"/>
      <c r="F93" s="923"/>
      <c r="G93" s="923"/>
      <c r="H93" s="923"/>
      <c r="I93" s="923"/>
      <c r="J93" s="923"/>
      <c r="K93" s="923"/>
      <c r="L93" s="923"/>
      <c r="M93" s="924"/>
    </row>
    <row r="94" spans="1:13">
      <c r="A94" s="922"/>
      <c r="B94" s="923"/>
      <c r="C94" s="923"/>
      <c r="D94" s="923"/>
      <c r="E94" s="923"/>
      <c r="F94" s="923"/>
      <c r="G94" s="923"/>
      <c r="H94" s="923"/>
      <c r="I94" s="923"/>
      <c r="J94" s="923"/>
      <c r="K94" s="923"/>
      <c r="L94" s="923"/>
      <c r="M94" s="924"/>
    </row>
    <row r="95" spans="1:13">
      <c r="A95" s="922"/>
      <c r="B95" s="923"/>
      <c r="C95" s="923"/>
      <c r="D95" s="923"/>
      <c r="E95" s="923"/>
      <c r="F95" s="923"/>
      <c r="G95" s="923"/>
      <c r="H95" s="923"/>
      <c r="I95" s="923"/>
      <c r="J95" s="923"/>
      <c r="K95" s="923"/>
      <c r="L95" s="923"/>
      <c r="M95" s="924"/>
    </row>
    <row r="96" spans="1:13">
      <c r="A96" s="922"/>
      <c r="B96" s="923"/>
      <c r="C96" s="923"/>
      <c r="D96" s="923"/>
      <c r="E96" s="923"/>
      <c r="F96" s="923"/>
      <c r="G96" s="923"/>
      <c r="H96" s="923"/>
      <c r="I96" s="923"/>
      <c r="J96" s="923"/>
      <c r="K96" s="923"/>
      <c r="L96" s="923"/>
      <c r="M96" s="924"/>
    </row>
    <row r="97" spans="1:15">
      <c r="A97" s="922"/>
      <c r="B97" s="923"/>
      <c r="C97" s="923"/>
      <c r="D97" s="923"/>
      <c r="E97" s="923"/>
      <c r="F97" s="923"/>
      <c r="G97" s="923"/>
      <c r="H97" s="923"/>
      <c r="I97" s="923"/>
      <c r="J97" s="923"/>
      <c r="K97" s="923"/>
      <c r="L97" s="923"/>
      <c r="M97" s="924"/>
    </row>
    <row r="98" spans="1:15">
      <c r="A98" s="922"/>
      <c r="B98" s="923"/>
      <c r="C98" s="923"/>
      <c r="D98" s="923"/>
      <c r="E98" s="923"/>
      <c r="F98" s="923"/>
      <c r="G98" s="923"/>
      <c r="H98" s="923"/>
      <c r="I98" s="923"/>
      <c r="J98" s="923"/>
      <c r="K98" s="923"/>
      <c r="L98" s="923"/>
      <c r="M98" s="924"/>
    </row>
    <row r="99" spans="1:15">
      <c r="A99" s="922"/>
      <c r="B99" s="923"/>
      <c r="C99" s="923"/>
      <c r="D99" s="923"/>
      <c r="E99" s="923"/>
      <c r="F99" s="923"/>
      <c r="G99" s="923"/>
      <c r="H99" s="923"/>
      <c r="I99" s="923"/>
      <c r="J99" s="923"/>
      <c r="K99" s="923"/>
      <c r="L99" s="923"/>
      <c r="M99" s="924"/>
    </row>
    <row r="100" spans="1:15">
      <c r="A100" s="922"/>
      <c r="B100" s="923"/>
      <c r="C100" s="923"/>
      <c r="D100" s="923"/>
      <c r="E100" s="923"/>
      <c r="F100" s="923"/>
      <c r="G100" s="923"/>
      <c r="H100" s="923"/>
      <c r="I100" s="923"/>
      <c r="J100" s="923"/>
      <c r="K100" s="923"/>
      <c r="L100" s="923"/>
      <c r="M100" s="924"/>
    </row>
    <row r="101" spans="1:15">
      <c r="A101" s="922"/>
      <c r="B101" s="923"/>
      <c r="C101" s="923"/>
      <c r="D101" s="923"/>
      <c r="E101" s="923"/>
      <c r="F101" s="923"/>
      <c r="G101" s="923"/>
      <c r="H101" s="923"/>
      <c r="I101" s="923"/>
      <c r="J101" s="923"/>
      <c r="K101" s="923"/>
      <c r="L101" s="923"/>
      <c r="M101" s="924"/>
    </row>
    <row r="102" spans="1:15">
      <c r="A102" s="922"/>
      <c r="B102" s="923"/>
      <c r="C102" s="923"/>
      <c r="D102" s="923"/>
      <c r="E102" s="923"/>
      <c r="F102" s="923"/>
      <c r="G102" s="923"/>
      <c r="H102" s="923"/>
      <c r="I102" s="923"/>
      <c r="J102" s="923"/>
      <c r="K102" s="923"/>
      <c r="L102" s="923"/>
      <c r="M102" s="924"/>
    </row>
    <row r="103" spans="1:15">
      <c r="A103" s="922"/>
      <c r="B103" s="923"/>
      <c r="C103" s="923"/>
      <c r="D103" s="923"/>
      <c r="E103" s="923"/>
      <c r="F103" s="923"/>
      <c r="G103" s="923"/>
      <c r="H103" s="923"/>
      <c r="I103" s="923"/>
      <c r="J103" s="923"/>
      <c r="K103" s="923"/>
      <c r="L103" s="923"/>
      <c r="M103" s="924"/>
      <c r="O103" s="521"/>
    </row>
    <row r="104" spans="1:15">
      <c r="A104" s="922"/>
      <c r="B104" s="923"/>
      <c r="C104" s="923"/>
      <c r="D104" s="923"/>
      <c r="E104" s="923"/>
      <c r="F104" s="923"/>
      <c r="G104" s="923"/>
      <c r="H104" s="923"/>
      <c r="I104" s="923"/>
      <c r="J104" s="923"/>
      <c r="K104" s="923"/>
      <c r="L104" s="923"/>
      <c r="M104" s="924"/>
    </row>
    <row r="105" spans="1:15" ht="12.6" thickBot="1">
      <c r="A105" s="922"/>
      <c r="B105" s="923"/>
      <c r="C105" s="923"/>
      <c r="D105" s="923"/>
      <c r="E105" s="923"/>
      <c r="F105" s="923"/>
      <c r="G105" s="923"/>
      <c r="H105" s="923"/>
      <c r="I105" s="923"/>
      <c r="J105" s="923"/>
      <c r="K105" s="923"/>
      <c r="L105" s="923"/>
      <c r="M105" s="924"/>
    </row>
    <row r="106" spans="1:15">
      <c r="A106" s="882" t="s">
        <v>627</v>
      </c>
      <c r="B106" s="883"/>
      <c r="C106" s="883"/>
      <c r="D106" s="883"/>
      <c r="E106" s="883"/>
      <c r="F106" s="884"/>
      <c r="G106" s="882" t="s">
        <v>628</v>
      </c>
      <c r="H106" s="883"/>
      <c r="I106" s="883"/>
      <c r="J106" s="883"/>
      <c r="K106" s="883"/>
      <c r="L106" s="883"/>
      <c r="M106" s="884"/>
    </row>
    <row r="107" spans="1:15">
      <c r="A107" s="885" t="s">
        <v>562</v>
      </c>
      <c r="B107" s="886"/>
      <c r="C107" s="886"/>
      <c r="D107" s="886"/>
      <c r="E107" s="886" t="s">
        <v>563</v>
      </c>
      <c r="F107" s="889"/>
      <c r="G107" s="891" t="s">
        <v>562</v>
      </c>
      <c r="H107" s="892"/>
      <c r="I107" s="892"/>
      <c r="J107" s="892"/>
      <c r="K107" s="893"/>
      <c r="L107" s="897" t="s">
        <v>563</v>
      </c>
      <c r="M107" s="898"/>
    </row>
    <row r="108" spans="1:15">
      <c r="A108" s="885"/>
      <c r="B108" s="886"/>
      <c r="C108" s="886"/>
      <c r="D108" s="886"/>
      <c r="E108" s="886"/>
      <c r="F108" s="889"/>
      <c r="G108" s="891"/>
      <c r="H108" s="892"/>
      <c r="I108" s="892"/>
      <c r="J108" s="892"/>
      <c r="K108" s="893"/>
      <c r="L108" s="886"/>
      <c r="M108" s="889"/>
    </row>
    <row r="109" spans="1:15" ht="12.6" thickBot="1">
      <c r="A109" s="887"/>
      <c r="B109" s="888"/>
      <c r="C109" s="888"/>
      <c r="D109" s="888"/>
      <c r="E109" s="888"/>
      <c r="F109" s="890"/>
      <c r="G109" s="894"/>
      <c r="H109" s="895"/>
      <c r="I109" s="895"/>
      <c r="J109" s="895"/>
      <c r="K109" s="896"/>
      <c r="L109" s="888"/>
      <c r="M109" s="890"/>
    </row>
    <row r="110" spans="1:15" ht="12.6" thickBot="1">
      <c r="A110" s="522"/>
      <c r="B110" s="523"/>
      <c r="C110" s="523"/>
      <c r="D110" s="523"/>
      <c r="E110" s="523"/>
      <c r="F110" s="523"/>
      <c r="G110" s="523"/>
      <c r="H110" s="523"/>
      <c r="I110" s="523"/>
      <c r="J110" s="523"/>
      <c r="K110" s="523"/>
      <c r="L110" s="523"/>
      <c r="M110" s="524" t="s">
        <v>629</v>
      </c>
    </row>
    <row r="111" spans="1:15">
      <c r="A111" s="525"/>
      <c r="B111" s="525"/>
      <c r="C111" s="525"/>
      <c r="D111" s="525"/>
      <c r="E111" s="525"/>
      <c r="F111" s="525"/>
      <c r="G111" s="525"/>
      <c r="H111" s="525"/>
      <c r="I111" s="525"/>
      <c r="J111" s="525"/>
      <c r="K111" s="525"/>
      <c r="L111" s="525"/>
      <c r="M111" s="525"/>
    </row>
    <row r="112" spans="1:15">
      <c r="A112" s="525"/>
      <c r="B112" s="525"/>
      <c r="C112" s="525"/>
      <c r="D112" s="525"/>
      <c r="E112" s="525"/>
      <c r="F112" s="525"/>
      <c r="G112" s="525"/>
      <c r="H112" s="525"/>
      <c r="I112" s="525"/>
      <c r="J112" s="525"/>
      <c r="K112" s="525"/>
      <c r="L112" s="525"/>
      <c r="M112" s="525"/>
    </row>
    <row r="113" spans="1:13">
      <c r="A113" s="525"/>
      <c r="B113" s="525"/>
      <c r="C113" s="525"/>
      <c r="D113" s="525"/>
      <c r="E113" s="525"/>
      <c r="F113" s="525"/>
      <c r="G113" s="525"/>
      <c r="H113" s="525"/>
      <c r="I113" s="525"/>
      <c r="J113" s="525"/>
      <c r="K113" s="525"/>
      <c r="L113" s="525"/>
      <c r="M113" s="525"/>
    </row>
    <row r="114" spans="1:13">
      <c r="A114" s="525"/>
      <c r="B114" s="525"/>
      <c r="C114" s="525"/>
      <c r="D114" s="525"/>
      <c r="E114" s="525"/>
      <c r="F114" s="525"/>
      <c r="G114" s="525"/>
      <c r="H114" s="525"/>
      <c r="I114" s="525"/>
      <c r="J114" s="525"/>
      <c r="K114" s="525"/>
      <c r="L114" s="525"/>
      <c r="M114" s="525"/>
    </row>
    <row r="115" spans="1:13">
      <c r="A115" s="525"/>
      <c r="B115" s="525"/>
      <c r="C115" s="525"/>
      <c r="D115" s="525"/>
      <c r="E115" s="525"/>
      <c r="F115" s="525"/>
      <c r="G115" s="525"/>
      <c r="H115" s="525"/>
      <c r="I115" s="525"/>
      <c r="J115" s="525"/>
      <c r="K115" s="525"/>
      <c r="L115" s="525"/>
      <c r="M115" s="525"/>
    </row>
    <row r="116" spans="1:13">
      <c r="A116" s="525"/>
      <c r="B116" s="525"/>
      <c r="C116" s="525"/>
      <c r="D116" s="525"/>
      <c r="E116" s="525"/>
      <c r="F116" s="525"/>
      <c r="G116" s="525"/>
      <c r="H116" s="525"/>
      <c r="I116" s="525"/>
      <c r="J116" s="525"/>
      <c r="K116" s="525"/>
      <c r="L116" s="525"/>
      <c r="M116" s="525"/>
    </row>
    <row r="117" spans="1:13">
      <c r="A117" s="525"/>
      <c r="B117" s="525"/>
      <c r="C117" s="525"/>
      <c r="D117" s="525"/>
      <c r="E117" s="525"/>
      <c r="F117" s="525"/>
      <c r="G117" s="525"/>
      <c r="H117" s="525"/>
      <c r="I117" s="525"/>
      <c r="J117" s="525"/>
      <c r="K117" s="525"/>
      <c r="L117" s="525"/>
      <c r="M117" s="525"/>
    </row>
    <row r="118" spans="1:13">
      <c r="A118" s="525"/>
      <c r="B118" s="525"/>
      <c r="C118" s="525"/>
      <c r="D118" s="525"/>
      <c r="E118" s="525"/>
      <c r="F118" s="525"/>
      <c r="G118" s="525"/>
      <c r="H118" s="525"/>
      <c r="I118" s="525"/>
      <c r="J118" s="525"/>
      <c r="K118" s="525"/>
      <c r="L118" s="525"/>
      <c r="M118" s="525"/>
    </row>
    <row r="119" spans="1:13">
      <c r="A119" s="525"/>
      <c r="B119" s="525"/>
      <c r="C119" s="525"/>
      <c r="D119" s="525"/>
      <c r="E119" s="525"/>
      <c r="F119" s="525"/>
      <c r="G119" s="525"/>
      <c r="H119" s="525"/>
      <c r="I119" s="525"/>
      <c r="J119" s="525"/>
      <c r="K119" s="525"/>
      <c r="L119" s="525"/>
      <c r="M119" s="525"/>
    </row>
    <row r="120" spans="1:13">
      <c r="A120" s="525"/>
      <c r="B120" s="525"/>
      <c r="C120" s="525"/>
      <c r="D120" s="525"/>
      <c r="E120" s="525"/>
      <c r="F120" s="525"/>
      <c r="G120" s="525"/>
      <c r="H120" s="525"/>
      <c r="I120" s="525"/>
      <c r="J120" s="525"/>
      <c r="K120" s="525"/>
      <c r="L120" s="525"/>
      <c r="M120" s="525"/>
    </row>
    <row r="121" spans="1:13">
      <c r="A121" s="525"/>
      <c r="B121" s="525"/>
      <c r="C121" s="525"/>
      <c r="D121" s="525"/>
      <c r="E121" s="525"/>
      <c r="F121" s="525"/>
      <c r="G121" s="525"/>
      <c r="H121" s="525"/>
      <c r="I121" s="525"/>
      <c r="J121" s="525"/>
      <c r="K121" s="525"/>
      <c r="L121" s="525"/>
      <c r="M121" s="525"/>
    </row>
    <row r="122" spans="1:13">
      <c r="A122" s="525"/>
      <c r="B122" s="525"/>
      <c r="C122" s="525"/>
      <c r="D122" s="525"/>
      <c r="E122" s="525"/>
      <c r="F122" s="525"/>
      <c r="G122" s="525"/>
      <c r="H122" s="525"/>
      <c r="I122" s="525"/>
      <c r="J122" s="525"/>
      <c r="K122" s="525"/>
      <c r="L122" s="525"/>
      <c r="M122" s="525"/>
    </row>
    <row r="123" spans="1:13">
      <c r="A123" s="525"/>
      <c r="B123" s="525"/>
      <c r="C123" s="525"/>
      <c r="D123" s="525"/>
      <c r="E123" s="525"/>
      <c r="F123" s="525"/>
      <c r="G123" s="525"/>
      <c r="H123" s="525"/>
      <c r="I123" s="525"/>
      <c r="J123" s="525"/>
      <c r="K123" s="525"/>
      <c r="L123" s="525"/>
      <c r="M123" s="525"/>
    </row>
    <row r="124" spans="1:13">
      <c r="A124" s="525"/>
      <c r="B124" s="525"/>
      <c r="C124" s="525"/>
      <c r="D124" s="525"/>
      <c r="E124" s="525"/>
      <c r="F124" s="525"/>
      <c r="G124" s="525"/>
      <c r="H124" s="525"/>
      <c r="I124" s="525"/>
      <c r="J124" s="525"/>
      <c r="K124" s="525"/>
      <c r="L124" s="525"/>
      <c r="M124" s="525"/>
    </row>
    <row r="125" spans="1:13">
      <c r="A125" s="525"/>
      <c r="B125" s="525"/>
      <c r="C125" s="525"/>
      <c r="D125" s="525"/>
      <c r="E125" s="525"/>
      <c r="F125" s="525"/>
      <c r="G125" s="525"/>
      <c r="H125" s="525"/>
      <c r="I125" s="525"/>
      <c r="J125" s="525"/>
      <c r="K125" s="525"/>
      <c r="L125" s="525"/>
      <c r="M125" s="525"/>
    </row>
    <row r="126" spans="1:13">
      <c r="A126" s="503"/>
      <c r="B126" s="503"/>
      <c r="C126" s="503"/>
      <c r="D126" s="503"/>
      <c r="E126" s="503"/>
      <c r="F126" s="503"/>
      <c r="G126" s="503"/>
      <c r="H126" s="503"/>
      <c r="I126" s="503"/>
      <c r="K126" s="503"/>
      <c r="L126" s="503"/>
      <c r="M126" s="503"/>
    </row>
  </sheetData>
  <mergeCells count="100">
    <mergeCell ref="A1:A2"/>
    <mergeCell ref="B1:M1"/>
    <mergeCell ref="B2:M2"/>
    <mergeCell ref="A4:M4"/>
    <mergeCell ref="A6:B6"/>
    <mergeCell ref="C6:M6"/>
    <mergeCell ref="A8:B8"/>
    <mergeCell ref="C8:M8"/>
    <mergeCell ref="A10:B10"/>
    <mergeCell ref="C10:D10"/>
    <mergeCell ref="I10:J10"/>
    <mergeCell ref="K10:M10"/>
    <mergeCell ref="A11:M11"/>
    <mergeCell ref="A13:E13"/>
    <mergeCell ref="K13:K22"/>
    <mergeCell ref="L13:L22"/>
    <mergeCell ref="M13:M22"/>
    <mergeCell ref="B14:E14"/>
    <mergeCell ref="B18:E18"/>
    <mergeCell ref="A22:E22"/>
    <mergeCell ref="N14:R14"/>
    <mergeCell ref="A15:E15"/>
    <mergeCell ref="B16:E16"/>
    <mergeCell ref="N16:R16"/>
    <mergeCell ref="B17:E17"/>
    <mergeCell ref="N17:R17"/>
    <mergeCell ref="N18:R18"/>
    <mergeCell ref="B19:E19"/>
    <mergeCell ref="N19:R19"/>
    <mergeCell ref="A20:E20"/>
    <mergeCell ref="B21:E21"/>
    <mergeCell ref="N21:R21"/>
    <mergeCell ref="B23:E23"/>
    <mergeCell ref="N23:R23"/>
    <mergeCell ref="B24:E24"/>
    <mergeCell ref="K24:K33"/>
    <mergeCell ref="L24:L33"/>
    <mergeCell ref="M24:M33"/>
    <mergeCell ref="N24:R24"/>
    <mergeCell ref="B25:E25"/>
    <mergeCell ref="N25:R25"/>
    <mergeCell ref="B26:E26"/>
    <mergeCell ref="N26:R26"/>
    <mergeCell ref="B27:E27"/>
    <mergeCell ref="N27:R27"/>
    <mergeCell ref="B28:E28"/>
    <mergeCell ref="N28:R28"/>
    <mergeCell ref="B30:E30"/>
    <mergeCell ref="N30:R30"/>
    <mergeCell ref="B31:E31"/>
    <mergeCell ref="N31:R31"/>
    <mergeCell ref="B29:E29"/>
    <mergeCell ref="N29:R29"/>
    <mergeCell ref="B32:E32"/>
    <mergeCell ref="N32:R32"/>
    <mergeCell ref="B33:E33"/>
    <mergeCell ref="N33:R33"/>
    <mergeCell ref="B34:E34"/>
    <mergeCell ref="N34:R34"/>
    <mergeCell ref="A35:C35"/>
    <mergeCell ref="D35:E35"/>
    <mergeCell ref="K44:L44"/>
    <mergeCell ref="A36:C38"/>
    <mergeCell ref="D36:E36"/>
    <mergeCell ref="I36:M38"/>
    <mergeCell ref="D37:E37"/>
    <mergeCell ref="D38:E38"/>
    <mergeCell ref="A40:E40"/>
    <mergeCell ref="G40:L40"/>
    <mergeCell ref="B41:D41"/>
    <mergeCell ref="B42:D42"/>
    <mergeCell ref="B43:D43"/>
    <mergeCell ref="B44:D44"/>
    <mergeCell ref="G44:I44"/>
    <mergeCell ref="B45:D45"/>
    <mergeCell ref="G45:I45"/>
    <mergeCell ref="K45:L45"/>
    <mergeCell ref="B46:D46"/>
    <mergeCell ref="G46:I46"/>
    <mergeCell ref="K46:L46"/>
    <mergeCell ref="P53:Q53"/>
    <mergeCell ref="P54:Q54"/>
    <mergeCell ref="P55:Q55"/>
    <mergeCell ref="B47:D47"/>
    <mergeCell ref="G47:I47"/>
    <mergeCell ref="K47:L47"/>
    <mergeCell ref="B48:D48"/>
    <mergeCell ref="G48:I48"/>
    <mergeCell ref="K48:L48"/>
    <mergeCell ref="D49:E49"/>
    <mergeCell ref="O49:O51"/>
    <mergeCell ref="A50:M50"/>
    <mergeCell ref="A51:M51"/>
    <mergeCell ref="A52:M105"/>
    <mergeCell ref="A106:F106"/>
    <mergeCell ref="G106:M106"/>
    <mergeCell ref="A107:D109"/>
    <mergeCell ref="E107:F109"/>
    <mergeCell ref="G107:K109"/>
    <mergeCell ref="L107:M109"/>
  </mergeCells>
  <conditionalFormatting sqref="O38">
    <cfRule type="cellIs" dxfId="9" priority="9" stopIfTrue="1" operator="equal">
      <formula>"Avaliação Ok"</formula>
    </cfRule>
    <cfRule type="cellIs" dxfId="8" priority="10" stopIfTrue="1" operator="equal">
      <formula>"Nota Não Atribuida"</formula>
    </cfRule>
  </conditionalFormatting>
  <conditionalFormatting sqref="O38:S38">
    <cfRule type="cellIs" dxfId="7" priority="8" stopIfTrue="1" operator="equal">
      <formula>"Nota Inválida"</formula>
    </cfRule>
  </conditionalFormatting>
  <conditionalFormatting sqref="N14 N16:N19 N21 N23:N34">
    <cfRule type="containsText" dxfId="6" priority="5" stopIfTrue="1" operator="containsText" text="Mais de uma Nota Atribuida na linha. Verifique">
      <formula>NOT(ISERROR(SEARCH("Mais de uma Nota Atribuida na linha. Verifique",N14)))</formula>
    </cfRule>
    <cfRule type="containsText" dxfId="5" priority="6" stopIfTrue="1" operator="containsText" text="Favor Avaliar Linha">
      <formula>NOT(ISERROR(SEARCH("Favor Avaliar Linha",N14)))</formula>
    </cfRule>
    <cfRule type="containsText" dxfId="4" priority="7" stopIfTrue="1" operator="containsText" text="OK">
      <formula>NOT(ISERROR(SEARCH("OK",N14)))</formula>
    </cfRule>
  </conditionalFormatting>
  <conditionalFormatting sqref="I36:M38">
    <cfRule type="cellIs" dxfId="3" priority="1" stopIfTrue="1" operator="equal">
      <formula>"Avaliação Ok"</formula>
    </cfRule>
    <cfRule type="cellIs" dxfId="2" priority="2" stopIfTrue="1" operator="equal">
      <formula>"Não foram avaliados todos os itens"</formula>
    </cfRule>
    <cfRule type="cellIs" dxfId="1" priority="3" stopIfTrue="1" operator="equal">
      <formula>"Foram Avaliados mais itens do que o necessário"</formula>
    </cfRule>
    <cfRule type="containsText" dxfId="0" priority="4" stopIfTrue="1" operator="containsText" text="Nota Não Atribuida">
      <formula>NOT(ISERROR(SEARCH("Nota Não Atribuida",I36)))</formula>
    </cfRule>
  </conditionalFormatting>
  <dataValidations count="1">
    <dataValidation type="list" allowBlank="1" showInputMessage="1" showErrorMessage="1" sqref="WVN983049:WVP983049 WLR983049:WLT983049 WBV983049:WBX983049 VRZ983049:VSB983049 VID983049:VIF983049 UYH983049:UYJ983049 UOL983049:UON983049 UEP983049:UER983049 TUT983049:TUV983049 TKX983049:TKZ983049 TBB983049:TBD983049 SRF983049:SRH983049 SHJ983049:SHL983049 RXN983049:RXP983049 RNR983049:RNT983049 RDV983049:RDX983049 QTZ983049:QUB983049 QKD983049:QKF983049 QAH983049:QAJ983049 PQL983049:PQN983049 PGP983049:PGR983049 OWT983049:OWV983049 OMX983049:OMZ983049 ODB983049:ODD983049 NTF983049:NTH983049 NJJ983049:NJL983049 MZN983049:MZP983049 MPR983049:MPT983049 MFV983049:MFX983049 LVZ983049:LWB983049 LMD983049:LMF983049 LCH983049:LCJ983049 KSL983049:KSN983049 KIP983049:KIR983049 JYT983049:JYV983049 JOX983049:JOZ983049 JFB983049:JFD983049 IVF983049:IVH983049 ILJ983049:ILL983049 IBN983049:IBP983049 HRR983049:HRT983049 HHV983049:HHX983049 GXZ983049:GYB983049 GOD983049:GOF983049 GEH983049:GEJ983049 FUL983049:FUN983049 FKP983049:FKR983049 FAT983049:FAV983049 EQX983049:EQZ983049 EHB983049:EHD983049 DXF983049:DXH983049 DNJ983049:DNL983049 DDN983049:DDP983049 CTR983049:CTT983049 CJV983049:CJX983049 BZZ983049:CAB983049 BQD983049:BQF983049 BGH983049:BGJ983049 AWL983049:AWN983049 AMP983049:AMR983049 ACT983049:ACV983049 SX983049:SZ983049 JB983049:JD983049 F983049:H983049 WVN917513:WVP917513 WLR917513:WLT917513 WBV917513:WBX917513 VRZ917513:VSB917513 VID917513:VIF917513 UYH917513:UYJ917513 UOL917513:UON917513 UEP917513:UER917513 TUT917513:TUV917513 TKX917513:TKZ917513 TBB917513:TBD917513 SRF917513:SRH917513 SHJ917513:SHL917513 RXN917513:RXP917513 RNR917513:RNT917513 RDV917513:RDX917513 QTZ917513:QUB917513 QKD917513:QKF917513 QAH917513:QAJ917513 PQL917513:PQN917513 PGP917513:PGR917513 OWT917513:OWV917513 OMX917513:OMZ917513 ODB917513:ODD917513 NTF917513:NTH917513 NJJ917513:NJL917513 MZN917513:MZP917513 MPR917513:MPT917513 MFV917513:MFX917513 LVZ917513:LWB917513 LMD917513:LMF917513 LCH917513:LCJ917513 KSL917513:KSN917513 KIP917513:KIR917513 JYT917513:JYV917513 JOX917513:JOZ917513 JFB917513:JFD917513 IVF917513:IVH917513 ILJ917513:ILL917513 IBN917513:IBP917513 HRR917513:HRT917513 HHV917513:HHX917513 GXZ917513:GYB917513 GOD917513:GOF917513 GEH917513:GEJ917513 FUL917513:FUN917513 FKP917513:FKR917513 FAT917513:FAV917513 EQX917513:EQZ917513 EHB917513:EHD917513 DXF917513:DXH917513 DNJ917513:DNL917513 DDN917513:DDP917513 CTR917513:CTT917513 CJV917513:CJX917513 BZZ917513:CAB917513 BQD917513:BQF917513 BGH917513:BGJ917513 AWL917513:AWN917513 AMP917513:AMR917513 ACT917513:ACV917513 SX917513:SZ917513 JB917513:JD917513 F917513:H917513 WVN851977:WVP851977 WLR851977:WLT851977 WBV851977:WBX851977 VRZ851977:VSB851977 VID851977:VIF851977 UYH851977:UYJ851977 UOL851977:UON851977 UEP851977:UER851977 TUT851977:TUV851977 TKX851977:TKZ851977 TBB851977:TBD851977 SRF851977:SRH851977 SHJ851977:SHL851977 RXN851977:RXP851977 RNR851977:RNT851977 RDV851977:RDX851977 QTZ851977:QUB851977 QKD851977:QKF851977 QAH851977:QAJ851977 PQL851977:PQN851977 PGP851977:PGR851977 OWT851977:OWV851977 OMX851977:OMZ851977 ODB851977:ODD851977 NTF851977:NTH851977 NJJ851977:NJL851977 MZN851977:MZP851977 MPR851977:MPT851977 MFV851977:MFX851977 LVZ851977:LWB851977 LMD851977:LMF851977 LCH851977:LCJ851977 KSL851977:KSN851977 KIP851977:KIR851977 JYT851977:JYV851977 JOX851977:JOZ851977 JFB851977:JFD851977 IVF851977:IVH851977 ILJ851977:ILL851977 IBN851977:IBP851977 HRR851977:HRT851977 HHV851977:HHX851977 GXZ851977:GYB851977 GOD851977:GOF851977 GEH851977:GEJ851977 FUL851977:FUN851977 FKP851977:FKR851977 FAT851977:FAV851977 EQX851977:EQZ851977 EHB851977:EHD851977 DXF851977:DXH851977 DNJ851977:DNL851977 DDN851977:DDP851977 CTR851977:CTT851977 CJV851977:CJX851977 BZZ851977:CAB851977 BQD851977:BQF851977 BGH851977:BGJ851977 AWL851977:AWN851977 AMP851977:AMR851977 ACT851977:ACV851977 SX851977:SZ851977 JB851977:JD851977 F851977:H851977 WVN786441:WVP786441 WLR786441:WLT786441 WBV786441:WBX786441 VRZ786441:VSB786441 VID786441:VIF786441 UYH786441:UYJ786441 UOL786441:UON786441 UEP786441:UER786441 TUT786441:TUV786441 TKX786441:TKZ786441 TBB786441:TBD786441 SRF786441:SRH786441 SHJ786441:SHL786441 RXN786441:RXP786441 RNR786441:RNT786441 RDV786441:RDX786441 QTZ786441:QUB786441 QKD786441:QKF786441 QAH786441:QAJ786441 PQL786441:PQN786441 PGP786441:PGR786441 OWT786441:OWV786441 OMX786441:OMZ786441 ODB786441:ODD786441 NTF786441:NTH786441 NJJ786441:NJL786441 MZN786441:MZP786441 MPR786441:MPT786441 MFV786441:MFX786441 LVZ786441:LWB786441 LMD786441:LMF786441 LCH786441:LCJ786441 KSL786441:KSN786441 KIP786441:KIR786441 JYT786441:JYV786441 JOX786441:JOZ786441 JFB786441:JFD786441 IVF786441:IVH786441 ILJ786441:ILL786441 IBN786441:IBP786441 HRR786441:HRT786441 HHV786441:HHX786441 GXZ786441:GYB786441 GOD786441:GOF786441 GEH786441:GEJ786441 FUL786441:FUN786441 FKP786441:FKR786441 FAT786441:FAV786441 EQX786441:EQZ786441 EHB786441:EHD786441 DXF786441:DXH786441 DNJ786441:DNL786441 DDN786441:DDP786441 CTR786441:CTT786441 CJV786441:CJX786441 BZZ786441:CAB786441 BQD786441:BQF786441 BGH786441:BGJ786441 AWL786441:AWN786441 AMP786441:AMR786441 ACT786441:ACV786441 SX786441:SZ786441 JB786441:JD786441 F786441:H786441 WVN720905:WVP720905 WLR720905:WLT720905 WBV720905:WBX720905 VRZ720905:VSB720905 VID720905:VIF720905 UYH720905:UYJ720905 UOL720905:UON720905 UEP720905:UER720905 TUT720905:TUV720905 TKX720905:TKZ720905 TBB720905:TBD720905 SRF720905:SRH720905 SHJ720905:SHL720905 RXN720905:RXP720905 RNR720905:RNT720905 RDV720905:RDX720905 QTZ720905:QUB720905 QKD720905:QKF720905 QAH720905:QAJ720905 PQL720905:PQN720905 PGP720905:PGR720905 OWT720905:OWV720905 OMX720905:OMZ720905 ODB720905:ODD720905 NTF720905:NTH720905 NJJ720905:NJL720905 MZN720905:MZP720905 MPR720905:MPT720905 MFV720905:MFX720905 LVZ720905:LWB720905 LMD720905:LMF720905 LCH720905:LCJ720905 KSL720905:KSN720905 KIP720905:KIR720905 JYT720905:JYV720905 JOX720905:JOZ720905 JFB720905:JFD720905 IVF720905:IVH720905 ILJ720905:ILL720905 IBN720905:IBP720905 HRR720905:HRT720905 HHV720905:HHX720905 GXZ720905:GYB720905 GOD720905:GOF720905 GEH720905:GEJ720905 FUL720905:FUN720905 FKP720905:FKR720905 FAT720905:FAV720905 EQX720905:EQZ720905 EHB720905:EHD720905 DXF720905:DXH720905 DNJ720905:DNL720905 DDN720905:DDP720905 CTR720905:CTT720905 CJV720905:CJX720905 BZZ720905:CAB720905 BQD720905:BQF720905 BGH720905:BGJ720905 AWL720905:AWN720905 AMP720905:AMR720905 ACT720905:ACV720905 SX720905:SZ720905 JB720905:JD720905 F720905:H720905 WVN655369:WVP655369 WLR655369:WLT655369 WBV655369:WBX655369 VRZ655369:VSB655369 VID655369:VIF655369 UYH655369:UYJ655369 UOL655369:UON655369 UEP655369:UER655369 TUT655369:TUV655369 TKX655369:TKZ655369 TBB655369:TBD655369 SRF655369:SRH655369 SHJ655369:SHL655369 RXN655369:RXP655369 RNR655369:RNT655369 RDV655369:RDX655369 QTZ655369:QUB655369 QKD655369:QKF655369 QAH655369:QAJ655369 PQL655369:PQN655369 PGP655369:PGR655369 OWT655369:OWV655369 OMX655369:OMZ655369 ODB655369:ODD655369 NTF655369:NTH655369 NJJ655369:NJL655369 MZN655369:MZP655369 MPR655369:MPT655369 MFV655369:MFX655369 LVZ655369:LWB655369 LMD655369:LMF655369 LCH655369:LCJ655369 KSL655369:KSN655369 KIP655369:KIR655369 JYT655369:JYV655369 JOX655369:JOZ655369 JFB655369:JFD655369 IVF655369:IVH655369 ILJ655369:ILL655369 IBN655369:IBP655369 HRR655369:HRT655369 HHV655369:HHX655369 GXZ655369:GYB655369 GOD655369:GOF655369 GEH655369:GEJ655369 FUL655369:FUN655369 FKP655369:FKR655369 FAT655369:FAV655369 EQX655369:EQZ655369 EHB655369:EHD655369 DXF655369:DXH655369 DNJ655369:DNL655369 DDN655369:DDP655369 CTR655369:CTT655369 CJV655369:CJX655369 BZZ655369:CAB655369 BQD655369:BQF655369 BGH655369:BGJ655369 AWL655369:AWN655369 AMP655369:AMR655369 ACT655369:ACV655369 SX655369:SZ655369 JB655369:JD655369 F655369:H655369 WVN589833:WVP589833 WLR589833:WLT589833 WBV589833:WBX589833 VRZ589833:VSB589833 VID589833:VIF589833 UYH589833:UYJ589833 UOL589833:UON589833 UEP589833:UER589833 TUT589833:TUV589833 TKX589833:TKZ589833 TBB589833:TBD589833 SRF589833:SRH589833 SHJ589833:SHL589833 RXN589833:RXP589833 RNR589833:RNT589833 RDV589833:RDX589833 QTZ589833:QUB589833 QKD589833:QKF589833 QAH589833:QAJ589833 PQL589833:PQN589833 PGP589833:PGR589833 OWT589833:OWV589833 OMX589833:OMZ589833 ODB589833:ODD589833 NTF589833:NTH589833 NJJ589833:NJL589833 MZN589833:MZP589833 MPR589833:MPT589833 MFV589833:MFX589833 LVZ589833:LWB589833 LMD589833:LMF589833 LCH589833:LCJ589833 KSL589833:KSN589833 KIP589833:KIR589833 JYT589833:JYV589833 JOX589833:JOZ589833 JFB589833:JFD589833 IVF589833:IVH589833 ILJ589833:ILL589833 IBN589833:IBP589833 HRR589833:HRT589833 HHV589833:HHX589833 GXZ589833:GYB589833 GOD589833:GOF589833 GEH589833:GEJ589833 FUL589833:FUN589833 FKP589833:FKR589833 FAT589833:FAV589833 EQX589833:EQZ589833 EHB589833:EHD589833 DXF589833:DXH589833 DNJ589833:DNL589833 DDN589833:DDP589833 CTR589833:CTT589833 CJV589833:CJX589833 BZZ589833:CAB589833 BQD589833:BQF589833 BGH589833:BGJ589833 AWL589833:AWN589833 AMP589833:AMR589833 ACT589833:ACV589833 SX589833:SZ589833 JB589833:JD589833 F589833:H589833 WVN524297:WVP524297 WLR524297:WLT524297 WBV524297:WBX524297 VRZ524297:VSB524297 VID524297:VIF524297 UYH524297:UYJ524297 UOL524297:UON524297 UEP524297:UER524297 TUT524297:TUV524297 TKX524297:TKZ524297 TBB524297:TBD524297 SRF524297:SRH524297 SHJ524297:SHL524297 RXN524297:RXP524297 RNR524297:RNT524297 RDV524297:RDX524297 QTZ524297:QUB524297 QKD524297:QKF524297 QAH524297:QAJ524297 PQL524297:PQN524297 PGP524297:PGR524297 OWT524297:OWV524297 OMX524297:OMZ524297 ODB524297:ODD524297 NTF524297:NTH524297 NJJ524297:NJL524297 MZN524297:MZP524297 MPR524297:MPT524297 MFV524297:MFX524297 LVZ524297:LWB524297 LMD524297:LMF524297 LCH524297:LCJ524297 KSL524297:KSN524297 KIP524297:KIR524297 JYT524297:JYV524297 JOX524297:JOZ524297 JFB524297:JFD524297 IVF524297:IVH524297 ILJ524297:ILL524297 IBN524297:IBP524297 HRR524297:HRT524297 HHV524297:HHX524297 GXZ524297:GYB524297 GOD524297:GOF524297 GEH524297:GEJ524297 FUL524297:FUN524297 FKP524297:FKR524297 FAT524297:FAV524297 EQX524297:EQZ524297 EHB524297:EHD524297 DXF524297:DXH524297 DNJ524297:DNL524297 DDN524297:DDP524297 CTR524297:CTT524297 CJV524297:CJX524297 BZZ524297:CAB524297 BQD524297:BQF524297 BGH524297:BGJ524297 AWL524297:AWN524297 AMP524297:AMR524297 ACT524297:ACV524297 SX524297:SZ524297 JB524297:JD524297 F524297:H524297 WVN458761:WVP458761 WLR458761:WLT458761 WBV458761:WBX458761 VRZ458761:VSB458761 VID458761:VIF458761 UYH458761:UYJ458761 UOL458761:UON458761 UEP458761:UER458761 TUT458761:TUV458761 TKX458761:TKZ458761 TBB458761:TBD458761 SRF458761:SRH458761 SHJ458761:SHL458761 RXN458761:RXP458761 RNR458761:RNT458761 RDV458761:RDX458761 QTZ458761:QUB458761 QKD458761:QKF458761 QAH458761:QAJ458761 PQL458761:PQN458761 PGP458761:PGR458761 OWT458761:OWV458761 OMX458761:OMZ458761 ODB458761:ODD458761 NTF458761:NTH458761 NJJ458761:NJL458761 MZN458761:MZP458761 MPR458761:MPT458761 MFV458761:MFX458761 LVZ458761:LWB458761 LMD458761:LMF458761 LCH458761:LCJ458761 KSL458761:KSN458761 KIP458761:KIR458761 JYT458761:JYV458761 JOX458761:JOZ458761 JFB458761:JFD458761 IVF458761:IVH458761 ILJ458761:ILL458761 IBN458761:IBP458761 HRR458761:HRT458761 HHV458761:HHX458761 GXZ458761:GYB458761 GOD458761:GOF458761 GEH458761:GEJ458761 FUL458761:FUN458761 FKP458761:FKR458761 FAT458761:FAV458761 EQX458761:EQZ458761 EHB458761:EHD458761 DXF458761:DXH458761 DNJ458761:DNL458761 DDN458761:DDP458761 CTR458761:CTT458761 CJV458761:CJX458761 BZZ458761:CAB458761 BQD458761:BQF458761 BGH458761:BGJ458761 AWL458761:AWN458761 AMP458761:AMR458761 ACT458761:ACV458761 SX458761:SZ458761 JB458761:JD458761 F458761:H458761 WVN393225:WVP393225 WLR393225:WLT393225 WBV393225:WBX393225 VRZ393225:VSB393225 VID393225:VIF393225 UYH393225:UYJ393225 UOL393225:UON393225 UEP393225:UER393225 TUT393225:TUV393225 TKX393225:TKZ393225 TBB393225:TBD393225 SRF393225:SRH393225 SHJ393225:SHL393225 RXN393225:RXP393225 RNR393225:RNT393225 RDV393225:RDX393225 QTZ393225:QUB393225 QKD393225:QKF393225 QAH393225:QAJ393225 PQL393225:PQN393225 PGP393225:PGR393225 OWT393225:OWV393225 OMX393225:OMZ393225 ODB393225:ODD393225 NTF393225:NTH393225 NJJ393225:NJL393225 MZN393225:MZP393225 MPR393225:MPT393225 MFV393225:MFX393225 LVZ393225:LWB393225 LMD393225:LMF393225 LCH393225:LCJ393225 KSL393225:KSN393225 KIP393225:KIR393225 JYT393225:JYV393225 JOX393225:JOZ393225 JFB393225:JFD393225 IVF393225:IVH393225 ILJ393225:ILL393225 IBN393225:IBP393225 HRR393225:HRT393225 HHV393225:HHX393225 GXZ393225:GYB393225 GOD393225:GOF393225 GEH393225:GEJ393225 FUL393225:FUN393225 FKP393225:FKR393225 FAT393225:FAV393225 EQX393225:EQZ393225 EHB393225:EHD393225 DXF393225:DXH393225 DNJ393225:DNL393225 DDN393225:DDP393225 CTR393225:CTT393225 CJV393225:CJX393225 BZZ393225:CAB393225 BQD393225:BQF393225 BGH393225:BGJ393225 AWL393225:AWN393225 AMP393225:AMR393225 ACT393225:ACV393225 SX393225:SZ393225 JB393225:JD393225 F393225:H393225 WVN327689:WVP327689 WLR327689:WLT327689 WBV327689:WBX327689 VRZ327689:VSB327689 VID327689:VIF327689 UYH327689:UYJ327689 UOL327689:UON327689 UEP327689:UER327689 TUT327689:TUV327689 TKX327689:TKZ327689 TBB327689:TBD327689 SRF327689:SRH327689 SHJ327689:SHL327689 RXN327689:RXP327689 RNR327689:RNT327689 RDV327689:RDX327689 QTZ327689:QUB327689 QKD327689:QKF327689 QAH327689:QAJ327689 PQL327689:PQN327689 PGP327689:PGR327689 OWT327689:OWV327689 OMX327689:OMZ327689 ODB327689:ODD327689 NTF327689:NTH327689 NJJ327689:NJL327689 MZN327689:MZP327689 MPR327689:MPT327689 MFV327689:MFX327689 LVZ327689:LWB327689 LMD327689:LMF327689 LCH327689:LCJ327689 KSL327689:KSN327689 KIP327689:KIR327689 JYT327689:JYV327689 JOX327689:JOZ327689 JFB327689:JFD327689 IVF327689:IVH327689 ILJ327689:ILL327689 IBN327689:IBP327689 HRR327689:HRT327689 HHV327689:HHX327689 GXZ327689:GYB327689 GOD327689:GOF327689 GEH327689:GEJ327689 FUL327689:FUN327689 FKP327689:FKR327689 FAT327689:FAV327689 EQX327689:EQZ327689 EHB327689:EHD327689 DXF327689:DXH327689 DNJ327689:DNL327689 DDN327689:DDP327689 CTR327689:CTT327689 CJV327689:CJX327689 BZZ327689:CAB327689 BQD327689:BQF327689 BGH327689:BGJ327689 AWL327689:AWN327689 AMP327689:AMR327689 ACT327689:ACV327689 SX327689:SZ327689 JB327689:JD327689 F327689:H327689 WVN262153:WVP262153 WLR262153:WLT262153 WBV262153:WBX262153 VRZ262153:VSB262153 VID262153:VIF262153 UYH262153:UYJ262153 UOL262153:UON262153 UEP262153:UER262153 TUT262153:TUV262153 TKX262153:TKZ262153 TBB262153:TBD262153 SRF262153:SRH262153 SHJ262153:SHL262153 RXN262153:RXP262153 RNR262153:RNT262153 RDV262153:RDX262153 QTZ262153:QUB262153 QKD262153:QKF262153 QAH262153:QAJ262153 PQL262153:PQN262153 PGP262153:PGR262153 OWT262153:OWV262153 OMX262153:OMZ262153 ODB262153:ODD262153 NTF262153:NTH262153 NJJ262153:NJL262153 MZN262153:MZP262153 MPR262153:MPT262153 MFV262153:MFX262153 LVZ262153:LWB262153 LMD262153:LMF262153 LCH262153:LCJ262153 KSL262153:KSN262153 KIP262153:KIR262153 JYT262153:JYV262153 JOX262153:JOZ262153 JFB262153:JFD262153 IVF262153:IVH262153 ILJ262153:ILL262153 IBN262153:IBP262153 HRR262153:HRT262153 HHV262153:HHX262153 GXZ262153:GYB262153 GOD262153:GOF262153 GEH262153:GEJ262153 FUL262153:FUN262153 FKP262153:FKR262153 FAT262153:FAV262153 EQX262153:EQZ262153 EHB262153:EHD262153 DXF262153:DXH262153 DNJ262153:DNL262153 DDN262153:DDP262153 CTR262153:CTT262153 CJV262153:CJX262153 BZZ262153:CAB262153 BQD262153:BQF262153 BGH262153:BGJ262153 AWL262153:AWN262153 AMP262153:AMR262153 ACT262153:ACV262153 SX262153:SZ262153 JB262153:JD262153 F262153:H262153 WVN196617:WVP196617 WLR196617:WLT196617 WBV196617:WBX196617 VRZ196617:VSB196617 VID196617:VIF196617 UYH196617:UYJ196617 UOL196617:UON196617 UEP196617:UER196617 TUT196617:TUV196617 TKX196617:TKZ196617 TBB196617:TBD196617 SRF196617:SRH196617 SHJ196617:SHL196617 RXN196617:RXP196617 RNR196617:RNT196617 RDV196617:RDX196617 QTZ196617:QUB196617 QKD196617:QKF196617 QAH196617:QAJ196617 PQL196617:PQN196617 PGP196617:PGR196617 OWT196617:OWV196617 OMX196617:OMZ196617 ODB196617:ODD196617 NTF196617:NTH196617 NJJ196617:NJL196617 MZN196617:MZP196617 MPR196617:MPT196617 MFV196617:MFX196617 LVZ196617:LWB196617 LMD196617:LMF196617 LCH196617:LCJ196617 KSL196617:KSN196617 KIP196617:KIR196617 JYT196617:JYV196617 JOX196617:JOZ196617 JFB196617:JFD196617 IVF196617:IVH196617 ILJ196617:ILL196617 IBN196617:IBP196617 HRR196617:HRT196617 HHV196617:HHX196617 GXZ196617:GYB196617 GOD196617:GOF196617 GEH196617:GEJ196617 FUL196617:FUN196617 FKP196617:FKR196617 FAT196617:FAV196617 EQX196617:EQZ196617 EHB196617:EHD196617 DXF196617:DXH196617 DNJ196617:DNL196617 DDN196617:DDP196617 CTR196617:CTT196617 CJV196617:CJX196617 BZZ196617:CAB196617 BQD196617:BQF196617 BGH196617:BGJ196617 AWL196617:AWN196617 AMP196617:AMR196617 ACT196617:ACV196617 SX196617:SZ196617 JB196617:JD196617 F196617:H196617 WVN131081:WVP131081 WLR131081:WLT131081 WBV131081:WBX131081 VRZ131081:VSB131081 VID131081:VIF131081 UYH131081:UYJ131081 UOL131081:UON131081 UEP131081:UER131081 TUT131081:TUV131081 TKX131081:TKZ131081 TBB131081:TBD131081 SRF131081:SRH131081 SHJ131081:SHL131081 RXN131081:RXP131081 RNR131081:RNT131081 RDV131081:RDX131081 QTZ131081:QUB131081 QKD131081:QKF131081 QAH131081:QAJ131081 PQL131081:PQN131081 PGP131081:PGR131081 OWT131081:OWV131081 OMX131081:OMZ131081 ODB131081:ODD131081 NTF131081:NTH131081 NJJ131081:NJL131081 MZN131081:MZP131081 MPR131081:MPT131081 MFV131081:MFX131081 LVZ131081:LWB131081 LMD131081:LMF131081 LCH131081:LCJ131081 KSL131081:KSN131081 KIP131081:KIR131081 JYT131081:JYV131081 JOX131081:JOZ131081 JFB131081:JFD131081 IVF131081:IVH131081 ILJ131081:ILL131081 IBN131081:IBP131081 HRR131081:HRT131081 HHV131081:HHX131081 GXZ131081:GYB131081 GOD131081:GOF131081 GEH131081:GEJ131081 FUL131081:FUN131081 FKP131081:FKR131081 FAT131081:FAV131081 EQX131081:EQZ131081 EHB131081:EHD131081 DXF131081:DXH131081 DNJ131081:DNL131081 DDN131081:DDP131081 CTR131081:CTT131081 CJV131081:CJX131081 BZZ131081:CAB131081 BQD131081:BQF131081 BGH131081:BGJ131081 AWL131081:AWN131081 AMP131081:AMR131081 ACT131081:ACV131081 SX131081:SZ131081 JB131081:JD131081 F131081:H131081 WVN65545:WVP65545 WLR65545:WLT65545 WBV65545:WBX65545 VRZ65545:VSB65545 VID65545:VIF65545 UYH65545:UYJ65545 UOL65545:UON65545 UEP65545:UER65545 TUT65545:TUV65545 TKX65545:TKZ65545 TBB65545:TBD65545 SRF65545:SRH65545 SHJ65545:SHL65545 RXN65545:RXP65545 RNR65545:RNT65545 RDV65545:RDX65545 QTZ65545:QUB65545 QKD65545:QKF65545 QAH65545:QAJ65545 PQL65545:PQN65545 PGP65545:PGR65545 OWT65545:OWV65545 OMX65545:OMZ65545 ODB65545:ODD65545 NTF65545:NTH65545 NJJ65545:NJL65545 MZN65545:MZP65545 MPR65545:MPT65545 MFV65545:MFX65545 LVZ65545:LWB65545 LMD65545:LMF65545 LCH65545:LCJ65545 KSL65545:KSN65545 KIP65545:KIR65545 JYT65545:JYV65545 JOX65545:JOZ65545 JFB65545:JFD65545 IVF65545:IVH65545 ILJ65545:ILL65545 IBN65545:IBP65545 HRR65545:HRT65545 HHV65545:HHX65545 GXZ65545:GYB65545 GOD65545:GOF65545 GEH65545:GEJ65545 FUL65545:FUN65545 FKP65545:FKR65545 FAT65545:FAV65545 EQX65545:EQZ65545 EHB65545:EHD65545 DXF65545:DXH65545 DNJ65545:DNL65545 DDN65545:DDP65545 CTR65545:CTT65545 CJV65545:CJX65545 BZZ65545:CAB65545 BQD65545:BQF65545 BGH65545:BGJ65545 AWL65545:AWN65545 AMP65545:AMR65545 ACT65545:ACV65545 SX65545:SZ65545 JB65545:JD65545 F65545:H65545 WVN983058:WVQ983069 WLR983058:WLU983069 WBV983058:WBY983069 VRZ983058:VSC983069 VID983058:VIG983069 UYH983058:UYK983069 UOL983058:UOO983069 UEP983058:UES983069 TUT983058:TUW983069 TKX983058:TLA983069 TBB983058:TBE983069 SRF983058:SRI983069 SHJ983058:SHM983069 RXN983058:RXQ983069 RNR983058:RNU983069 RDV983058:RDY983069 QTZ983058:QUC983069 QKD983058:QKG983069 QAH983058:QAK983069 PQL983058:PQO983069 PGP983058:PGS983069 OWT983058:OWW983069 OMX983058:ONA983069 ODB983058:ODE983069 NTF983058:NTI983069 NJJ983058:NJM983069 MZN983058:MZQ983069 MPR983058:MPU983069 MFV983058:MFY983069 LVZ983058:LWC983069 LMD983058:LMG983069 LCH983058:LCK983069 KSL983058:KSO983069 KIP983058:KIS983069 JYT983058:JYW983069 JOX983058:JPA983069 JFB983058:JFE983069 IVF983058:IVI983069 ILJ983058:ILM983069 IBN983058:IBQ983069 HRR983058:HRU983069 HHV983058:HHY983069 GXZ983058:GYC983069 GOD983058:GOG983069 GEH983058:GEK983069 FUL983058:FUO983069 FKP983058:FKS983069 FAT983058:FAW983069 EQX983058:ERA983069 EHB983058:EHE983069 DXF983058:DXI983069 DNJ983058:DNM983069 DDN983058:DDQ983069 CTR983058:CTU983069 CJV983058:CJY983069 BZZ983058:CAC983069 BQD983058:BQG983069 BGH983058:BGK983069 AWL983058:AWO983069 AMP983058:AMS983069 ACT983058:ACW983069 SX983058:TA983069 JB983058:JE983069 F983058:I983069 WVN917522:WVQ917533 WLR917522:WLU917533 WBV917522:WBY917533 VRZ917522:VSC917533 VID917522:VIG917533 UYH917522:UYK917533 UOL917522:UOO917533 UEP917522:UES917533 TUT917522:TUW917533 TKX917522:TLA917533 TBB917522:TBE917533 SRF917522:SRI917533 SHJ917522:SHM917533 RXN917522:RXQ917533 RNR917522:RNU917533 RDV917522:RDY917533 QTZ917522:QUC917533 QKD917522:QKG917533 QAH917522:QAK917533 PQL917522:PQO917533 PGP917522:PGS917533 OWT917522:OWW917533 OMX917522:ONA917533 ODB917522:ODE917533 NTF917522:NTI917533 NJJ917522:NJM917533 MZN917522:MZQ917533 MPR917522:MPU917533 MFV917522:MFY917533 LVZ917522:LWC917533 LMD917522:LMG917533 LCH917522:LCK917533 KSL917522:KSO917533 KIP917522:KIS917533 JYT917522:JYW917533 JOX917522:JPA917533 JFB917522:JFE917533 IVF917522:IVI917533 ILJ917522:ILM917533 IBN917522:IBQ917533 HRR917522:HRU917533 HHV917522:HHY917533 GXZ917522:GYC917533 GOD917522:GOG917533 GEH917522:GEK917533 FUL917522:FUO917533 FKP917522:FKS917533 FAT917522:FAW917533 EQX917522:ERA917533 EHB917522:EHE917533 DXF917522:DXI917533 DNJ917522:DNM917533 DDN917522:DDQ917533 CTR917522:CTU917533 CJV917522:CJY917533 BZZ917522:CAC917533 BQD917522:BQG917533 BGH917522:BGK917533 AWL917522:AWO917533 AMP917522:AMS917533 ACT917522:ACW917533 SX917522:TA917533 JB917522:JE917533 F917522:I917533 WVN851986:WVQ851997 WLR851986:WLU851997 WBV851986:WBY851997 VRZ851986:VSC851997 VID851986:VIG851997 UYH851986:UYK851997 UOL851986:UOO851997 UEP851986:UES851997 TUT851986:TUW851997 TKX851986:TLA851997 TBB851986:TBE851997 SRF851986:SRI851997 SHJ851986:SHM851997 RXN851986:RXQ851997 RNR851986:RNU851997 RDV851986:RDY851997 QTZ851986:QUC851997 QKD851986:QKG851997 QAH851986:QAK851997 PQL851986:PQO851997 PGP851986:PGS851997 OWT851986:OWW851997 OMX851986:ONA851997 ODB851986:ODE851997 NTF851986:NTI851997 NJJ851986:NJM851997 MZN851986:MZQ851997 MPR851986:MPU851997 MFV851986:MFY851997 LVZ851986:LWC851997 LMD851986:LMG851997 LCH851986:LCK851997 KSL851986:KSO851997 KIP851986:KIS851997 JYT851986:JYW851997 JOX851986:JPA851997 JFB851986:JFE851997 IVF851986:IVI851997 ILJ851986:ILM851997 IBN851986:IBQ851997 HRR851986:HRU851997 HHV851986:HHY851997 GXZ851986:GYC851997 GOD851986:GOG851997 GEH851986:GEK851997 FUL851986:FUO851997 FKP851986:FKS851997 FAT851986:FAW851997 EQX851986:ERA851997 EHB851986:EHE851997 DXF851986:DXI851997 DNJ851986:DNM851997 DDN851986:DDQ851997 CTR851986:CTU851997 CJV851986:CJY851997 BZZ851986:CAC851997 BQD851986:BQG851997 BGH851986:BGK851997 AWL851986:AWO851997 AMP851986:AMS851997 ACT851986:ACW851997 SX851986:TA851997 JB851986:JE851997 F851986:I851997 WVN786450:WVQ786461 WLR786450:WLU786461 WBV786450:WBY786461 VRZ786450:VSC786461 VID786450:VIG786461 UYH786450:UYK786461 UOL786450:UOO786461 UEP786450:UES786461 TUT786450:TUW786461 TKX786450:TLA786461 TBB786450:TBE786461 SRF786450:SRI786461 SHJ786450:SHM786461 RXN786450:RXQ786461 RNR786450:RNU786461 RDV786450:RDY786461 QTZ786450:QUC786461 QKD786450:QKG786461 QAH786450:QAK786461 PQL786450:PQO786461 PGP786450:PGS786461 OWT786450:OWW786461 OMX786450:ONA786461 ODB786450:ODE786461 NTF786450:NTI786461 NJJ786450:NJM786461 MZN786450:MZQ786461 MPR786450:MPU786461 MFV786450:MFY786461 LVZ786450:LWC786461 LMD786450:LMG786461 LCH786450:LCK786461 KSL786450:KSO786461 KIP786450:KIS786461 JYT786450:JYW786461 JOX786450:JPA786461 JFB786450:JFE786461 IVF786450:IVI786461 ILJ786450:ILM786461 IBN786450:IBQ786461 HRR786450:HRU786461 HHV786450:HHY786461 GXZ786450:GYC786461 GOD786450:GOG786461 GEH786450:GEK786461 FUL786450:FUO786461 FKP786450:FKS786461 FAT786450:FAW786461 EQX786450:ERA786461 EHB786450:EHE786461 DXF786450:DXI786461 DNJ786450:DNM786461 DDN786450:DDQ786461 CTR786450:CTU786461 CJV786450:CJY786461 BZZ786450:CAC786461 BQD786450:BQG786461 BGH786450:BGK786461 AWL786450:AWO786461 AMP786450:AMS786461 ACT786450:ACW786461 SX786450:TA786461 JB786450:JE786461 F786450:I786461 WVN720914:WVQ720925 WLR720914:WLU720925 WBV720914:WBY720925 VRZ720914:VSC720925 VID720914:VIG720925 UYH720914:UYK720925 UOL720914:UOO720925 UEP720914:UES720925 TUT720914:TUW720925 TKX720914:TLA720925 TBB720914:TBE720925 SRF720914:SRI720925 SHJ720914:SHM720925 RXN720914:RXQ720925 RNR720914:RNU720925 RDV720914:RDY720925 QTZ720914:QUC720925 QKD720914:QKG720925 QAH720914:QAK720925 PQL720914:PQO720925 PGP720914:PGS720925 OWT720914:OWW720925 OMX720914:ONA720925 ODB720914:ODE720925 NTF720914:NTI720925 NJJ720914:NJM720925 MZN720914:MZQ720925 MPR720914:MPU720925 MFV720914:MFY720925 LVZ720914:LWC720925 LMD720914:LMG720925 LCH720914:LCK720925 KSL720914:KSO720925 KIP720914:KIS720925 JYT720914:JYW720925 JOX720914:JPA720925 JFB720914:JFE720925 IVF720914:IVI720925 ILJ720914:ILM720925 IBN720914:IBQ720925 HRR720914:HRU720925 HHV720914:HHY720925 GXZ720914:GYC720925 GOD720914:GOG720925 GEH720914:GEK720925 FUL720914:FUO720925 FKP720914:FKS720925 FAT720914:FAW720925 EQX720914:ERA720925 EHB720914:EHE720925 DXF720914:DXI720925 DNJ720914:DNM720925 DDN720914:DDQ720925 CTR720914:CTU720925 CJV720914:CJY720925 BZZ720914:CAC720925 BQD720914:BQG720925 BGH720914:BGK720925 AWL720914:AWO720925 AMP720914:AMS720925 ACT720914:ACW720925 SX720914:TA720925 JB720914:JE720925 F720914:I720925 WVN655378:WVQ655389 WLR655378:WLU655389 WBV655378:WBY655389 VRZ655378:VSC655389 VID655378:VIG655389 UYH655378:UYK655389 UOL655378:UOO655389 UEP655378:UES655389 TUT655378:TUW655389 TKX655378:TLA655389 TBB655378:TBE655389 SRF655378:SRI655389 SHJ655378:SHM655389 RXN655378:RXQ655389 RNR655378:RNU655389 RDV655378:RDY655389 QTZ655378:QUC655389 QKD655378:QKG655389 QAH655378:QAK655389 PQL655378:PQO655389 PGP655378:PGS655389 OWT655378:OWW655389 OMX655378:ONA655389 ODB655378:ODE655389 NTF655378:NTI655389 NJJ655378:NJM655389 MZN655378:MZQ655389 MPR655378:MPU655389 MFV655378:MFY655389 LVZ655378:LWC655389 LMD655378:LMG655389 LCH655378:LCK655389 KSL655378:KSO655389 KIP655378:KIS655389 JYT655378:JYW655389 JOX655378:JPA655389 JFB655378:JFE655389 IVF655378:IVI655389 ILJ655378:ILM655389 IBN655378:IBQ655389 HRR655378:HRU655389 HHV655378:HHY655389 GXZ655378:GYC655389 GOD655378:GOG655389 GEH655378:GEK655389 FUL655378:FUO655389 FKP655378:FKS655389 FAT655378:FAW655389 EQX655378:ERA655389 EHB655378:EHE655389 DXF655378:DXI655389 DNJ655378:DNM655389 DDN655378:DDQ655389 CTR655378:CTU655389 CJV655378:CJY655389 BZZ655378:CAC655389 BQD655378:BQG655389 BGH655378:BGK655389 AWL655378:AWO655389 AMP655378:AMS655389 ACT655378:ACW655389 SX655378:TA655389 JB655378:JE655389 F655378:I655389 WVN589842:WVQ589853 WLR589842:WLU589853 WBV589842:WBY589853 VRZ589842:VSC589853 VID589842:VIG589853 UYH589842:UYK589853 UOL589842:UOO589853 UEP589842:UES589853 TUT589842:TUW589853 TKX589842:TLA589853 TBB589842:TBE589853 SRF589842:SRI589853 SHJ589842:SHM589853 RXN589842:RXQ589853 RNR589842:RNU589853 RDV589842:RDY589853 QTZ589842:QUC589853 QKD589842:QKG589853 QAH589842:QAK589853 PQL589842:PQO589853 PGP589842:PGS589853 OWT589842:OWW589853 OMX589842:ONA589853 ODB589842:ODE589853 NTF589842:NTI589853 NJJ589842:NJM589853 MZN589842:MZQ589853 MPR589842:MPU589853 MFV589842:MFY589853 LVZ589842:LWC589853 LMD589842:LMG589853 LCH589842:LCK589853 KSL589842:KSO589853 KIP589842:KIS589853 JYT589842:JYW589853 JOX589842:JPA589853 JFB589842:JFE589853 IVF589842:IVI589853 ILJ589842:ILM589853 IBN589842:IBQ589853 HRR589842:HRU589853 HHV589842:HHY589853 GXZ589842:GYC589853 GOD589842:GOG589853 GEH589842:GEK589853 FUL589842:FUO589853 FKP589842:FKS589853 FAT589842:FAW589853 EQX589842:ERA589853 EHB589842:EHE589853 DXF589842:DXI589853 DNJ589842:DNM589853 DDN589842:DDQ589853 CTR589842:CTU589853 CJV589842:CJY589853 BZZ589842:CAC589853 BQD589842:BQG589853 BGH589842:BGK589853 AWL589842:AWO589853 AMP589842:AMS589853 ACT589842:ACW589853 SX589842:TA589853 JB589842:JE589853 F589842:I589853 WVN524306:WVQ524317 WLR524306:WLU524317 WBV524306:WBY524317 VRZ524306:VSC524317 VID524306:VIG524317 UYH524306:UYK524317 UOL524306:UOO524317 UEP524306:UES524317 TUT524306:TUW524317 TKX524306:TLA524317 TBB524306:TBE524317 SRF524306:SRI524317 SHJ524306:SHM524317 RXN524306:RXQ524317 RNR524306:RNU524317 RDV524306:RDY524317 QTZ524306:QUC524317 QKD524306:QKG524317 QAH524306:QAK524317 PQL524306:PQO524317 PGP524306:PGS524317 OWT524306:OWW524317 OMX524306:ONA524317 ODB524306:ODE524317 NTF524306:NTI524317 NJJ524306:NJM524317 MZN524306:MZQ524317 MPR524306:MPU524317 MFV524306:MFY524317 LVZ524306:LWC524317 LMD524306:LMG524317 LCH524306:LCK524317 KSL524306:KSO524317 KIP524306:KIS524317 JYT524306:JYW524317 JOX524306:JPA524317 JFB524306:JFE524317 IVF524306:IVI524317 ILJ524306:ILM524317 IBN524306:IBQ524317 HRR524306:HRU524317 HHV524306:HHY524317 GXZ524306:GYC524317 GOD524306:GOG524317 GEH524306:GEK524317 FUL524306:FUO524317 FKP524306:FKS524317 FAT524306:FAW524317 EQX524306:ERA524317 EHB524306:EHE524317 DXF524306:DXI524317 DNJ524306:DNM524317 DDN524306:DDQ524317 CTR524306:CTU524317 CJV524306:CJY524317 BZZ524306:CAC524317 BQD524306:BQG524317 BGH524306:BGK524317 AWL524306:AWO524317 AMP524306:AMS524317 ACT524306:ACW524317 SX524306:TA524317 JB524306:JE524317 F524306:I524317 WVN458770:WVQ458781 WLR458770:WLU458781 WBV458770:WBY458781 VRZ458770:VSC458781 VID458770:VIG458781 UYH458770:UYK458781 UOL458770:UOO458781 UEP458770:UES458781 TUT458770:TUW458781 TKX458770:TLA458781 TBB458770:TBE458781 SRF458770:SRI458781 SHJ458770:SHM458781 RXN458770:RXQ458781 RNR458770:RNU458781 RDV458770:RDY458781 QTZ458770:QUC458781 QKD458770:QKG458781 QAH458770:QAK458781 PQL458770:PQO458781 PGP458770:PGS458781 OWT458770:OWW458781 OMX458770:ONA458781 ODB458770:ODE458781 NTF458770:NTI458781 NJJ458770:NJM458781 MZN458770:MZQ458781 MPR458770:MPU458781 MFV458770:MFY458781 LVZ458770:LWC458781 LMD458770:LMG458781 LCH458770:LCK458781 KSL458770:KSO458781 KIP458770:KIS458781 JYT458770:JYW458781 JOX458770:JPA458781 JFB458770:JFE458781 IVF458770:IVI458781 ILJ458770:ILM458781 IBN458770:IBQ458781 HRR458770:HRU458781 HHV458770:HHY458781 GXZ458770:GYC458781 GOD458770:GOG458781 GEH458770:GEK458781 FUL458770:FUO458781 FKP458770:FKS458781 FAT458770:FAW458781 EQX458770:ERA458781 EHB458770:EHE458781 DXF458770:DXI458781 DNJ458770:DNM458781 DDN458770:DDQ458781 CTR458770:CTU458781 CJV458770:CJY458781 BZZ458770:CAC458781 BQD458770:BQG458781 BGH458770:BGK458781 AWL458770:AWO458781 AMP458770:AMS458781 ACT458770:ACW458781 SX458770:TA458781 JB458770:JE458781 F458770:I458781 WVN393234:WVQ393245 WLR393234:WLU393245 WBV393234:WBY393245 VRZ393234:VSC393245 VID393234:VIG393245 UYH393234:UYK393245 UOL393234:UOO393245 UEP393234:UES393245 TUT393234:TUW393245 TKX393234:TLA393245 TBB393234:TBE393245 SRF393234:SRI393245 SHJ393234:SHM393245 RXN393234:RXQ393245 RNR393234:RNU393245 RDV393234:RDY393245 QTZ393234:QUC393245 QKD393234:QKG393245 QAH393234:QAK393245 PQL393234:PQO393245 PGP393234:PGS393245 OWT393234:OWW393245 OMX393234:ONA393245 ODB393234:ODE393245 NTF393234:NTI393245 NJJ393234:NJM393245 MZN393234:MZQ393245 MPR393234:MPU393245 MFV393234:MFY393245 LVZ393234:LWC393245 LMD393234:LMG393245 LCH393234:LCK393245 KSL393234:KSO393245 KIP393234:KIS393245 JYT393234:JYW393245 JOX393234:JPA393245 JFB393234:JFE393245 IVF393234:IVI393245 ILJ393234:ILM393245 IBN393234:IBQ393245 HRR393234:HRU393245 HHV393234:HHY393245 GXZ393234:GYC393245 GOD393234:GOG393245 GEH393234:GEK393245 FUL393234:FUO393245 FKP393234:FKS393245 FAT393234:FAW393245 EQX393234:ERA393245 EHB393234:EHE393245 DXF393234:DXI393245 DNJ393234:DNM393245 DDN393234:DDQ393245 CTR393234:CTU393245 CJV393234:CJY393245 BZZ393234:CAC393245 BQD393234:BQG393245 BGH393234:BGK393245 AWL393234:AWO393245 AMP393234:AMS393245 ACT393234:ACW393245 SX393234:TA393245 JB393234:JE393245 F393234:I393245 WVN327698:WVQ327709 WLR327698:WLU327709 WBV327698:WBY327709 VRZ327698:VSC327709 VID327698:VIG327709 UYH327698:UYK327709 UOL327698:UOO327709 UEP327698:UES327709 TUT327698:TUW327709 TKX327698:TLA327709 TBB327698:TBE327709 SRF327698:SRI327709 SHJ327698:SHM327709 RXN327698:RXQ327709 RNR327698:RNU327709 RDV327698:RDY327709 QTZ327698:QUC327709 QKD327698:QKG327709 QAH327698:QAK327709 PQL327698:PQO327709 PGP327698:PGS327709 OWT327698:OWW327709 OMX327698:ONA327709 ODB327698:ODE327709 NTF327698:NTI327709 NJJ327698:NJM327709 MZN327698:MZQ327709 MPR327698:MPU327709 MFV327698:MFY327709 LVZ327698:LWC327709 LMD327698:LMG327709 LCH327698:LCK327709 KSL327698:KSO327709 KIP327698:KIS327709 JYT327698:JYW327709 JOX327698:JPA327709 JFB327698:JFE327709 IVF327698:IVI327709 ILJ327698:ILM327709 IBN327698:IBQ327709 HRR327698:HRU327709 HHV327698:HHY327709 GXZ327698:GYC327709 GOD327698:GOG327709 GEH327698:GEK327709 FUL327698:FUO327709 FKP327698:FKS327709 FAT327698:FAW327709 EQX327698:ERA327709 EHB327698:EHE327709 DXF327698:DXI327709 DNJ327698:DNM327709 DDN327698:DDQ327709 CTR327698:CTU327709 CJV327698:CJY327709 BZZ327698:CAC327709 BQD327698:BQG327709 BGH327698:BGK327709 AWL327698:AWO327709 AMP327698:AMS327709 ACT327698:ACW327709 SX327698:TA327709 JB327698:JE327709 F327698:I327709 WVN262162:WVQ262173 WLR262162:WLU262173 WBV262162:WBY262173 VRZ262162:VSC262173 VID262162:VIG262173 UYH262162:UYK262173 UOL262162:UOO262173 UEP262162:UES262173 TUT262162:TUW262173 TKX262162:TLA262173 TBB262162:TBE262173 SRF262162:SRI262173 SHJ262162:SHM262173 RXN262162:RXQ262173 RNR262162:RNU262173 RDV262162:RDY262173 QTZ262162:QUC262173 QKD262162:QKG262173 QAH262162:QAK262173 PQL262162:PQO262173 PGP262162:PGS262173 OWT262162:OWW262173 OMX262162:ONA262173 ODB262162:ODE262173 NTF262162:NTI262173 NJJ262162:NJM262173 MZN262162:MZQ262173 MPR262162:MPU262173 MFV262162:MFY262173 LVZ262162:LWC262173 LMD262162:LMG262173 LCH262162:LCK262173 KSL262162:KSO262173 KIP262162:KIS262173 JYT262162:JYW262173 JOX262162:JPA262173 JFB262162:JFE262173 IVF262162:IVI262173 ILJ262162:ILM262173 IBN262162:IBQ262173 HRR262162:HRU262173 HHV262162:HHY262173 GXZ262162:GYC262173 GOD262162:GOG262173 GEH262162:GEK262173 FUL262162:FUO262173 FKP262162:FKS262173 FAT262162:FAW262173 EQX262162:ERA262173 EHB262162:EHE262173 DXF262162:DXI262173 DNJ262162:DNM262173 DDN262162:DDQ262173 CTR262162:CTU262173 CJV262162:CJY262173 BZZ262162:CAC262173 BQD262162:BQG262173 BGH262162:BGK262173 AWL262162:AWO262173 AMP262162:AMS262173 ACT262162:ACW262173 SX262162:TA262173 JB262162:JE262173 F262162:I262173 WVN196626:WVQ196637 WLR196626:WLU196637 WBV196626:WBY196637 VRZ196626:VSC196637 VID196626:VIG196637 UYH196626:UYK196637 UOL196626:UOO196637 UEP196626:UES196637 TUT196626:TUW196637 TKX196626:TLA196637 TBB196626:TBE196637 SRF196626:SRI196637 SHJ196626:SHM196637 RXN196626:RXQ196637 RNR196626:RNU196637 RDV196626:RDY196637 QTZ196626:QUC196637 QKD196626:QKG196637 QAH196626:QAK196637 PQL196626:PQO196637 PGP196626:PGS196637 OWT196626:OWW196637 OMX196626:ONA196637 ODB196626:ODE196637 NTF196626:NTI196637 NJJ196626:NJM196637 MZN196626:MZQ196637 MPR196626:MPU196637 MFV196626:MFY196637 LVZ196626:LWC196637 LMD196626:LMG196637 LCH196626:LCK196637 KSL196626:KSO196637 KIP196626:KIS196637 JYT196626:JYW196637 JOX196626:JPA196637 JFB196626:JFE196637 IVF196626:IVI196637 ILJ196626:ILM196637 IBN196626:IBQ196637 HRR196626:HRU196637 HHV196626:HHY196637 GXZ196626:GYC196637 GOD196626:GOG196637 GEH196626:GEK196637 FUL196626:FUO196637 FKP196626:FKS196637 FAT196626:FAW196637 EQX196626:ERA196637 EHB196626:EHE196637 DXF196626:DXI196637 DNJ196626:DNM196637 DDN196626:DDQ196637 CTR196626:CTU196637 CJV196626:CJY196637 BZZ196626:CAC196637 BQD196626:BQG196637 BGH196626:BGK196637 AWL196626:AWO196637 AMP196626:AMS196637 ACT196626:ACW196637 SX196626:TA196637 JB196626:JE196637 F196626:I196637 WVN131090:WVQ131101 WLR131090:WLU131101 WBV131090:WBY131101 VRZ131090:VSC131101 VID131090:VIG131101 UYH131090:UYK131101 UOL131090:UOO131101 UEP131090:UES131101 TUT131090:TUW131101 TKX131090:TLA131101 TBB131090:TBE131101 SRF131090:SRI131101 SHJ131090:SHM131101 RXN131090:RXQ131101 RNR131090:RNU131101 RDV131090:RDY131101 QTZ131090:QUC131101 QKD131090:QKG131101 QAH131090:QAK131101 PQL131090:PQO131101 PGP131090:PGS131101 OWT131090:OWW131101 OMX131090:ONA131101 ODB131090:ODE131101 NTF131090:NTI131101 NJJ131090:NJM131101 MZN131090:MZQ131101 MPR131090:MPU131101 MFV131090:MFY131101 LVZ131090:LWC131101 LMD131090:LMG131101 LCH131090:LCK131101 KSL131090:KSO131101 KIP131090:KIS131101 JYT131090:JYW131101 JOX131090:JPA131101 JFB131090:JFE131101 IVF131090:IVI131101 ILJ131090:ILM131101 IBN131090:IBQ131101 HRR131090:HRU131101 HHV131090:HHY131101 GXZ131090:GYC131101 GOD131090:GOG131101 GEH131090:GEK131101 FUL131090:FUO131101 FKP131090:FKS131101 FAT131090:FAW131101 EQX131090:ERA131101 EHB131090:EHE131101 DXF131090:DXI131101 DNJ131090:DNM131101 DDN131090:DDQ131101 CTR131090:CTU131101 CJV131090:CJY131101 BZZ131090:CAC131101 BQD131090:BQG131101 BGH131090:BGK131101 AWL131090:AWO131101 AMP131090:AMS131101 ACT131090:ACW131101 SX131090:TA131101 JB131090:JE131101 F131090:I131101 WVN65554:WVQ65565 WLR65554:WLU65565 WBV65554:WBY65565 VRZ65554:VSC65565 VID65554:VIG65565 UYH65554:UYK65565 UOL65554:UOO65565 UEP65554:UES65565 TUT65554:TUW65565 TKX65554:TLA65565 TBB65554:TBE65565 SRF65554:SRI65565 SHJ65554:SHM65565 RXN65554:RXQ65565 RNR65554:RNU65565 RDV65554:RDY65565 QTZ65554:QUC65565 QKD65554:QKG65565 QAH65554:QAK65565 PQL65554:PQO65565 PGP65554:PGS65565 OWT65554:OWW65565 OMX65554:ONA65565 ODB65554:ODE65565 NTF65554:NTI65565 NJJ65554:NJM65565 MZN65554:MZQ65565 MPR65554:MPU65565 MFV65554:MFY65565 LVZ65554:LWC65565 LMD65554:LMG65565 LCH65554:LCK65565 KSL65554:KSO65565 KIP65554:KIS65565 JYT65554:JYW65565 JOX65554:JPA65565 JFB65554:JFE65565 IVF65554:IVI65565 ILJ65554:ILM65565 IBN65554:IBQ65565 HRR65554:HRU65565 HHV65554:HHY65565 GXZ65554:GYC65565 GOD65554:GOG65565 GEH65554:GEK65565 FUL65554:FUO65565 FKP65554:FKS65565 FAT65554:FAW65565 EQX65554:ERA65565 EHB65554:EHE65565 DXF65554:DXI65565 DNJ65554:DNM65565 DDN65554:DDQ65565 CTR65554:CTU65565 CJV65554:CJY65565 BZZ65554:CAC65565 BQD65554:BQG65565 BGH65554:BGK65565 AWL65554:AWO65565 AMP65554:AMS65565 ACT65554:ACW65565 SX65554:TA65565 JB65554:JE65565 F65554:I65565 WVN983056:WVP983056 WLR983056:WLT983056 WBV983056:WBX983056 VRZ983056:VSB983056 VID983056:VIF983056 UYH983056:UYJ983056 UOL983056:UON983056 UEP983056:UER983056 TUT983056:TUV983056 TKX983056:TKZ983056 TBB983056:TBD983056 SRF983056:SRH983056 SHJ983056:SHL983056 RXN983056:RXP983056 RNR983056:RNT983056 RDV983056:RDX983056 QTZ983056:QUB983056 QKD983056:QKF983056 QAH983056:QAJ983056 PQL983056:PQN983056 PGP983056:PGR983056 OWT983056:OWV983056 OMX983056:OMZ983056 ODB983056:ODD983056 NTF983056:NTH983056 NJJ983056:NJL983056 MZN983056:MZP983056 MPR983056:MPT983056 MFV983056:MFX983056 LVZ983056:LWB983056 LMD983056:LMF983056 LCH983056:LCJ983056 KSL983056:KSN983056 KIP983056:KIR983056 JYT983056:JYV983056 JOX983056:JOZ983056 JFB983056:JFD983056 IVF983056:IVH983056 ILJ983056:ILL983056 IBN983056:IBP983056 HRR983056:HRT983056 HHV983056:HHX983056 GXZ983056:GYB983056 GOD983056:GOF983056 GEH983056:GEJ983056 FUL983056:FUN983056 FKP983056:FKR983056 FAT983056:FAV983056 EQX983056:EQZ983056 EHB983056:EHD983056 DXF983056:DXH983056 DNJ983056:DNL983056 DDN983056:DDP983056 CTR983056:CTT983056 CJV983056:CJX983056 BZZ983056:CAB983056 BQD983056:BQF983056 BGH983056:BGJ983056 AWL983056:AWN983056 AMP983056:AMR983056 ACT983056:ACV983056 SX983056:SZ983056 JB983056:JD983056 F983056:H983056 WVN917520:WVP917520 WLR917520:WLT917520 WBV917520:WBX917520 VRZ917520:VSB917520 VID917520:VIF917520 UYH917520:UYJ917520 UOL917520:UON917520 UEP917520:UER917520 TUT917520:TUV917520 TKX917520:TKZ917520 TBB917520:TBD917520 SRF917520:SRH917520 SHJ917520:SHL917520 RXN917520:RXP917520 RNR917520:RNT917520 RDV917520:RDX917520 QTZ917520:QUB917520 QKD917520:QKF917520 QAH917520:QAJ917520 PQL917520:PQN917520 PGP917520:PGR917520 OWT917520:OWV917520 OMX917520:OMZ917520 ODB917520:ODD917520 NTF917520:NTH917520 NJJ917520:NJL917520 MZN917520:MZP917520 MPR917520:MPT917520 MFV917520:MFX917520 LVZ917520:LWB917520 LMD917520:LMF917520 LCH917520:LCJ917520 KSL917520:KSN917520 KIP917520:KIR917520 JYT917520:JYV917520 JOX917520:JOZ917520 JFB917520:JFD917520 IVF917520:IVH917520 ILJ917520:ILL917520 IBN917520:IBP917520 HRR917520:HRT917520 HHV917520:HHX917520 GXZ917520:GYB917520 GOD917520:GOF917520 GEH917520:GEJ917520 FUL917520:FUN917520 FKP917520:FKR917520 FAT917520:FAV917520 EQX917520:EQZ917520 EHB917520:EHD917520 DXF917520:DXH917520 DNJ917520:DNL917520 DDN917520:DDP917520 CTR917520:CTT917520 CJV917520:CJX917520 BZZ917520:CAB917520 BQD917520:BQF917520 BGH917520:BGJ917520 AWL917520:AWN917520 AMP917520:AMR917520 ACT917520:ACV917520 SX917520:SZ917520 JB917520:JD917520 F917520:H917520 WVN851984:WVP851984 WLR851984:WLT851984 WBV851984:WBX851984 VRZ851984:VSB851984 VID851984:VIF851984 UYH851984:UYJ851984 UOL851984:UON851984 UEP851984:UER851984 TUT851984:TUV851984 TKX851984:TKZ851984 TBB851984:TBD851984 SRF851984:SRH851984 SHJ851984:SHL851984 RXN851984:RXP851984 RNR851984:RNT851984 RDV851984:RDX851984 QTZ851984:QUB851984 QKD851984:QKF851984 QAH851984:QAJ851984 PQL851984:PQN851984 PGP851984:PGR851984 OWT851984:OWV851984 OMX851984:OMZ851984 ODB851984:ODD851984 NTF851984:NTH851984 NJJ851984:NJL851984 MZN851984:MZP851984 MPR851984:MPT851984 MFV851984:MFX851984 LVZ851984:LWB851984 LMD851984:LMF851984 LCH851984:LCJ851984 KSL851984:KSN851984 KIP851984:KIR851984 JYT851984:JYV851984 JOX851984:JOZ851984 JFB851984:JFD851984 IVF851984:IVH851984 ILJ851984:ILL851984 IBN851984:IBP851984 HRR851984:HRT851984 HHV851984:HHX851984 GXZ851984:GYB851984 GOD851984:GOF851984 GEH851984:GEJ851984 FUL851984:FUN851984 FKP851984:FKR851984 FAT851984:FAV851984 EQX851984:EQZ851984 EHB851984:EHD851984 DXF851984:DXH851984 DNJ851984:DNL851984 DDN851984:DDP851984 CTR851984:CTT851984 CJV851984:CJX851984 BZZ851984:CAB851984 BQD851984:BQF851984 BGH851984:BGJ851984 AWL851984:AWN851984 AMP851984:AMR851984 ACT851984:ACV851984 SX851984:SZ851984 JB851984:JD851984 F851984:H851984 WVN786448:WVP786448 WLR786448:WLT786448 WBV786448:WBX786448 VRZ786448:VSB786448 VID786448:VIF786448 UYH786448:UYJ786448 UOL786448:UON786448 UEP786448:UER786448 TUT786448:TUV786448 TKX786448:TKZ786448 TBB786448:TBD786448 SRF786448:SRH786448 SHJ786448:SHL786448 RXN786448:RXP786448 RNR786448:RNT786448 RDV786448:RDX786448 QTZ786448:QUB786448 QKD786448:QKF786448 QAH786448:QAJ786448 PQL786448:PQN786448 PGP786448:PGR786448 OWT786448:OWV786448 OMX786448:OMZ786448 ODB786448:ODD786448 NTF786448:NTH786448 NJJ786448:NJL786448 MZN786448:MZP786448 MPR786448:MPT786448 MFV786448:MFX786448 LVZ786448:LWB786448 LMD786448:LMF786448 LCH786448:LCJ786448 KSL786448:KSN786448 KIP786448:KIR786448 JYT786448:JYV786448 JOX786448:JOZ786448 JFB786448:JFD786448 IVF786448:IVH786448 ILJ786448:ILL786448 IBN786448:IBP786448 HRR786448:HRT786448 HHV786448:HHX786448 GXZ786448:GYB786448 GOD786448:GOF786448 GEH786448:GEJ786448 FUL786448:FUN786448 FKP786448:FKR786448 FAT786448:FAV786448 EQX786448:EQZ786448 EHB786448:EHD786448 DXF786448:DXH786448 DNJ786448:DNL786448 DDN786448:DDP786448 CTR786448:CTT786448 CJV786448:CJX786448 BZZ786448:CAB786448 BQD786448:BQF786448 BGH786448:BGJ786448 AWL786448:AWN786448 AMP786448:AMR786448 ACT786448:ACV786448 SX786448:SZ786448 JB786448:JD786448 F786448:H786448 WVN720912:WVP720912 WLR720912:WLT720912 WBV720912:WBX720912 VRZ720912:VSB720912 VID720912:VIF720912 UYH720912:UYJ720912 UOL720912:UON720912 UEP720912:UER720912 TUT720912:TUV720912 TKX720912:TKZ720912 TBB720912:TBD720912 SRF720912:SRH720912 SHJ720912:SHL720912 RXN720912:RXP720912 RNR720912:RNT720912 RDV720912:RDX720912 QTZ720912:QUB720912 QKD720912:QKF720912 QAH720912:QAJ720912 PQL720912:PQN720912 PGP720912:PGR720912 OWT720912:OWV720912 OMX720912:OMZ720912 ODB720912:ODD720912 NTF720912:NTH720912 NJJ720912:NJL720912 MZN720912:MZP720912 MPR720912:MPT720912 MFV720912:MFX720912 LVZ720912:LWB720912 LMD720912:LMF720912 LCH720912:LCJ720912 KSL720912:KSN720912 KIP720912:KIR720912 JYT720912:JYV720912 JOX720912:JOZ720912 JFB720912:JFD720912 IVF720912:IVH720912 ILJ720912:ILL720912 IBN720912:IBP720912 HRR720912:HRT720912 HHV720912:HHX720912 GXZ720912:GYB720912 GOD720912:GOF720912 GEH720912:GEJ720912 FUL720912:FUN720912 FKP720912:FKR720912 FAT720912:FAV720912 EQX720912:EQZ720912 EHB720912:EHD720912 DXF720912:DXH720912 DNJ720912:DNL720912 DDN720912:DDP720912 CTR720912:CTT720912 CJV720912:CJX720912 BZZ720912:CAB720912 BQD720912:BQF720912 BGH720912:BGJ720912 AWL720912:AWN720912 AMP720912:AMR720912 ACT720912:ACV720912 SX720912:SZ720912 JB720912:JD720912 F720912:H720912 WVN655376:WVP655376 WLR655376:WLT655376 WBV655376:WBX655376 VRZ655376:VSB655376 VID655376:VIF655376 UYH655376:UYJ655376 UOL655376:UON655376 UEP655376:UER655376 TUT655376:TUV655376 TKX655376:TKZ655376 TBB655376:TBD655376 SRF655376:SRH655376 SHJ655376:SHL655376 RXN655376:RXP655376 RNR655376:RNT655376 RDV655376:RDX655376 QTZ655376:QUB655376 QKD655376:QKF655376 QAH655376:QAJ655376 PQL655376:PQN655376 PGP655376:PGR655376 OWT655376:OWV655376 OMX655376:OMZ655376 ODB655376:ODD655376 NTF655376:NTH655376 NJJ655376:NJL655376 MZN655376:MZP655376 MPR655376:MPT655376 MFV655376:MFX655376 LVZ655376:LWB655376 LMD655376:LMF655376 LCH655376:LCJ655376 KSL655376:KSN655376 KIP655376:KIR655376 JYT655376:JYV655376 JOX655376:JOZ655376 JFB655376:JFD655376 IVF655376:IVH655376 ILJ655376:ILL655376 IBN655376:IBP655376 HRR655376:HRT655376 HHV655376:HHX655376 GXZ655376:GYB655376 GOD655376:GOF655376 GEH655376:GEJ655376 FUL655376:FUN655376 FKP655376:FKR655376 FAT655376:FAV655376 EQX655376:EQZ655376 EHB655376:EHD655376 DXF655376:DXH655376 DNJ655376:DNL655376 DDN655376:DDP655376 CTR655376:CTT655376 CJV655376:CJX655376 BZZ655376:CAB655376 BQD655376:BQF655376 BGH655376:BGJ655376 AWL655376:AWN655376 AMP655376:AMR655376 ACT655376:ACV655376 SX655376:SZ655376 JB655376:JD655376 F655376:H655376 WVN589840:WVP589840 WLR589840:WLT589840 WBV589840:WBX589840 VRZ589840:VSB589840 VID589840:VIF589840 UYH589840:UYJ589840 UOL589840:UON589840 UEP589840:UER589840 TUT589840:TUV589840 TKX589840:TKZ589840 TBB589840:TBD589840 SRF589840:SRH589840 SHJ589840:SHL589840 RXN589840:RXP589840 RNR589840:RNT589840 RDV589840:RDX589840 QTZ589840:QUB589840 QKD589840:QKF589840 QAH589840:QAJ589840 PQL589840:PQN589840 PGP589840:PGR589840 OWT589840:OWV589840 OMX589840:OMZ589840 ODB589840:ODD589840 NTF589840:NTH589840 NJJ589840:NJL589840 MZN589840:MZP589840 MPR589840:MPT589840 MFV589840:MFX589840 LVZ589840:LWB589840 LMD589840:LMF589840 LCH589840:LCJ589840 KSL589840:KSN589840 KIP589840:KIR589840 JYT589840:JYV589840 JOX589840:JOZ589840 JFB589840:JFD589840 IVF589840:IVH589840 ILJ589840:ILL589840 IBN589840:IBP589840 HRR589840:HRT589840 HHV589840:HHX589840 GXZ589840:GYB589840 GOD589840:GOF589840 GEH589840:GEJ589840 FUL589840:FUN589840 FKP589840:FKR589840 FAT589840:FAV589840 EQX589840:EQZ589840 EHB589840:EHD589840 DXF589840:DXH589840 DNJ589840:DNL589840 DDN589840:DDP589840 CTR589840:CTT589840 CJV589840:CJX589840 BZZ589840:CAB589840 BQD589840:BQF589840 BGH589840:BGJ589840 AWL589840:AWN589840 AMP589840:AMR589840 ACT589840:ACV589840 SX589840:SZ589840 JB589840:JD589840 F589840:H589840 WVN524304:WVP524304 WLR524304:WLT524304 WBV524304:WBX524304 VRZ524304:VSB524304 VID524304:VIF524304 UYH524304:UYJ524304 UOL524304:UON524304 UEP524304:UER524304 TUT524304:TUV524304 TKX524304:TKZ524304 TBB524304:TBD524304 SRF524304:SRH524304 SHJ524304:SHL524304 RXN524304:RXP524304 RNR524304:RNT524304 RDV524304:RDX524304 QTZ524304:QUB524304 QKD524304:QKF524304 QAH524304:QAJ524304 PQL524304:PQN524304 PGP524304:PGR524304 OWT524304:OWV524304 OMX524304:OMZ524304 ODB524304:ODD524304 NTF524304:NTH524304 NJJ524304:NJL524304 MZN524304:MZP524304 MPR524304:MPT524304 MFV524304:MFX524304 LVZ524304:LWB524304 LMD524304:LMF524304 LCH524304:LCJ524304 KSL524304:KSN524304 KIP524304:KIR524304 JYT524304:JYV524304 JOX524304:JOZ524304 JFB524304:JFD524304 IVF524304:IVH524304 ILJ524304:ILL524304 IBN524304:IBP524304 HRR524304:HRT524304 HHV524304:HHX524304 GXZ524304:GYB524304 GOD524304:GOF524304 GEH524304:GEJ524304 FUL524304:FUN524304 FKP524304:FKR524304 FAT524304:FAV524304 EQX524304:EQZ524304 EHB524304:EHD524304 DXF524304:DXH524304 DNJ524304:DNL524304 DDN524304:DDP524304 CTR524304:CTT524304 CJV524304:CJX524304 BZZ524304:CAB524304 BQD524304:BQF524304 BGH524304:BGJ524304 AWL524304:AWN524304 AMP524304:AMR524304 ACT524304:ACV524304 SX524304:SZ524304 JB524304:JD524304 F524304:H524304 WVN458768:WVP458768 WLR458768:WLT458768 WBV458768:WBX458768 VRZ458768:VSB458768 VID458768:VIF458768 UYH458768:UYJ458768 UOL458768:UON458768 UEP458768:UER458768 TUT458768:TUV458768 TKX458768:TKZ458768 TBB458768:TBD458768 SRF458768:SRH458768 SHJ458768:SHL458768 RXN458768:RXP458768 RNR458768:RNT458768 RDV458768:RDX458768 QTZ458768:QUB458768 QKD458768:QKF458768 QAH458768:QAJ458768 PQL458768:PQN458768 PGP458768:PGR458768 OWT458768:OWV458768 OMX458768:OMZ458768 ODB458768:ODD458768 NTF458768:NTH458768 NJJ458768:NJL458768 MZN458768:MZP458768 MPR458768:MPT458768 MFV458768:MFX458768 LVZ458768:LWB458768 LMD458768:LMF458768 LCH458768:LCJ458768 KSL458768:KSN458768 KIP458768:KIR458768 JYT458768:JYV458768 JOX458768:JOZ458768 JFB458768:JFD458768 IVF458768:IVH458768 ILJ458768:ILL458768 IBN458768:IBP458768 HRR458768:HRT458768 HHV458768:HHX458768 GXZ458768:GYB458768 GOD458768:GOF458768 GEH458768:GEJ458768 FUL458768:FUN458768 FKP458768:FKR458768 FAT458768:FAV458768 EQX458768:EQZ458768 EHB458768:EHD458768 DXF458768:DXH458768 DNJ458768:DNL458768 DDN458768:DDP458768 CTR458768:CTT458768 CJV458768:CJX458768 BZZ458768:CAB458768 BQD458768:BQF458768 BGH458768:BGJ458768 AWL458768:AWN458768 AMP458768:AMR458768 ACT458768:ACV458768 SX458768:SZ458768 JB458768:JD458768 F458768:H458768 WVN393232:WVP393232 WLR393232:WLT393232 WBV393232:WBX393232 VRZ393232:VSB393232 VID393232:VIF393232 UYH393232:UYJ393232 UOL393232:UON393232 UEP393232:UER393232 TUT393232:TUV393232 TKX393232:TKZ393232 TBB393232:TBD393232 SRF393232:SRH393232 SHJ393232:SHL393232 RXN393232:RXP393232 RNR393232:RNT393232 RDV393232:RDX393232 QTZ393232:QUB393232 QKD393232:QKF393232 QAH393232:QAJ393232 PQL393232:PQN393232 PGP393232:PGR393232 OWT393232:OWV393232 OMX393232:OMZ393232 ODB393232:ODD393232 NTF393232:NTH393232 NJJ393232:NJL393232 MZN393232:MZP393232 MPR393232:MPT393232 MFV393232:MFX393232 LVZ393232:LWB393232 LMD393232:LMF393232 LCH393232:LCJ393232 KSL393232:KSN393232 KIP393232:KIR393232 JYT393232:JYV393232 JOX393232:JOZ393232 JFB393232:JFD393232 IVF393232:IVH393232 ILJ393232:ILL393232 IBN393232:IBP393232 HRR393232:HRT393232 HHV393232:HHX393232 GXZ393232:GYB393232 GOD393232:GOF393232 GEH393232:GEJ393232 FUL393232:FUN393232 FKP393232:FKR393232 FAT393232:FAV393232 EQX393232:EQZ393232 EHB393232:EHD393232 DXF393232:DXH393232 DNJ393232:DNL393232 DDN393232:DDP393232 CTR393232:CTT393232 CJV393232:CJX393232 BZZ393232:CAB393232 BQD393232:BQF393232 BGH393232:BGJ393232 AWL393232:AWN393232 AMP393232:AMR393232 ACT393232:ACV393232 SX393232:SZ393232 JB393232:JD393232 F393232:H393232 WVN327696:WVP327696 WLR327696:WLT327696 WBV327696:WBX327696 VRZ327696:VSB327696 VID327696:VIF327696 UYH327696:UYJ327696 UOL327696:UON327696 UEP327696:UER327696 TUT327696:TUV327696 TKX327696:TKZ327696 TBB327696:TBD327696 SRF327696:SRH327696 SHJ327696:SHL327696 RXN327696:RXP327696 RNR327696:RNT327696 RDV327696:RDX327696 QTZ327696:QUB327696 QKD327696:QKF327696 QAH327696:QAJ327696 PQL327696:PQN327696 PGP327696:PGR327696 OWT327696:OWV327696 OMX327696:OMZ327696 ODB327696:ODD327696 NTF327696:NTH327696 NJJ327696:NJL327696 MZN327696:MZP327696 MPR327696:MPT327696 MFV327696:MFX327696 LVZ327696:LWB327696 LMD327696:LMF327696 LCH327696:LCJ327696 KSL327696:KSN327696 KIP327696:KIR327696 JYT327696:JYV327696 JOX327696:JOZ327696 JFB327696:JFD327696 IVF327696:IVH327696 ILJ327696:ILL327696 IBN327696:IBP327696 HRR327696:HRT327696 HHV327696:HHX327696 GXZ327696:GYB327696 GOD327696:GOF327696 GEH327696:GEJ327696 FUL327696:FUN327696 FKP327696:FKR327696 FAT327696:FAV327696 EQX327696:EQZ327696 EHB327696:EHD327696 DXF327696:DXH327696 DNJ327696:DNL327696 DDN327696:DDP327696 CTR327696:CTT327696 CJV327696:CJX327696 BZZ327696:CAB327696 BQD327696:BQF327696 BGH327696:BGJ327696 AWL327696:AWN327696 AMP327696:AMR327696 ACT327696:ACV327696 SX327696:SZ327696 JB327696:JD327696 F327696:H327696 WVN262160:WVP262160 WLR262160:WLT262160 WBV262160:WBX262160 VRZ262160:VSB262160 VID262160:VIF262160 UYH262160:UYJ262160 UOL262160:UON262160 UEP262160:UER262160 TUT262160:TUV262160 TKX262160:TKZ262160 TBB262160:TBD262160 SRF262160:SRH262160 SHJ262160:SHL262160 RXN262160:RXP262160 RNR262160:RNT262160 RDV262160:RDX262160 QTZ262160:QUB262160 QKD262160:QKF262160 QAH262160:QAJ262160 PQL262160:PQN262160 PGP262160:PGR262160 OWT262160:OWV262160 OMX262160:OMZ262160 ODB262160:ODD262160 NTF262160:NTH262160 NJJ262160:NJL262160 MZN262160:MZP262160 MPR262160:MPT262160 MFV262160:MFX262160 LVZ262160:LWB262160 LMD262160:LMF262160 LCH262160:LCJ262160 KSL262160:KSN262160 KIP262160:KIR262160 JYT262160:JYV262160 JOX262160:JOZ262160 JFB262160:JFD262160 IVF262160:IVH262160 ILJ262160:ILL262160 IBN262160:IBP262160 HRR262160:HRT262160 HHV262160:HHX262160 GXZ262160:GYB262160 GOD262160:GOF262160 GEH262160:GEJ262160 FUL262160:FUN262160 FKP262160:FKR262160 FAT262160:FAV262160 EQX262160:EQZ262160 EHB262160:EHD262160 DXF262160:DXH262160 DNJ262160:DNL262160 DDN262160:DDP262160 CTR262160:CTT262160 CJV262160:CJX262160 BZZ262160:CAB262160 BQD262160:BQF262160 BGH262160:BGJ262160 AWL262160:AWN262160 AMP262160:AMR262160 ACT262160:ACV262160 SX262160:SZ262160 JB262160:JD262160 F262160:H262160 WVN196624:WVP196624 WLR196624:WLT196624 WBV196624:WBX196624 VRZ196624:VSB196624 VID196624:VIF196624 UYH196624:UYJ196624 UOL196624:UON196624 UEP196624:UER196624 TUT196624:TUV196624 TKX196624:TKZ196624 TBB196624:TBD196624 SRF196624:SRH196624 SHJ196624:SHL196624 RXN196624:RXP196624 RNR196624:RNT196624 RDV196624:RDX196624 QTZ196624:QUB196624 QKD196624:QKF196624 QAH196624:QAJ196624 PQL196624:PQN196624 PGP196624:PGR196624 OWT196624:OWV196624 OMX196624:OMZ196624 ODB196624:ODD196624 NTF196624:NTH196624 NJJ196624:NJL196624 MZN196624:MZP196624 MPR196624:MPT196624 MFV196624:MFX196624 LVZ196624:LWB196624 LMD196624:LMF196624 LCH196624:LCJ196624 KSL196624:KSN196624 KIP196624:KIR196624 JYT196624:JYV196624 JOX196624:JOZ196624 JFB196624:JFD196624 IVF196624:IVH196624 ILJ196624:ILL196624 IBN196624:IBP196624 HRR196624:HRT196624 HHV196624:HHX196624 GXZ196624:GYB196624 GOD196624:GOF196624 GEH196624:GEJ196624 FUL196624:FUN196624 FKP196624:FKR196624 FAT196624:FAV196624 EQX196624:EQZ196624 EHB196624:EHD196624 DXF196624:DXH196624 DNJ196624:DNL196624 DDN196624:DDP196624 CTR196624:CTT196624 CJV196624:CJX196624 BZZ196624:CAB196624 BQD196624:BQF196624 BGH196624:BGJ196624 AWL196624:AWN196624 AMP196624:AMR196624 ACT196624:ACV196624 SX196624:SZ196624 JB196624:JD196624 F196624:H196624 WVN131088:WVP131088 WLR131088:WLT131088 WBV131088:WBX131088 VRZ131088:VSB131088 VID131088:VIF131088 UYH131088:UYJ131088 UOL131088:UON131088 UEP131088:UER131088 TUT131088:TUV131088 TKX131088:TKZ131088 TBB131088:TBD131088 SRF131088:SRH131088 SHJ131088:SHL131088 RXN131088:RXP131088 RNR131088:RNT131088 RDV131088:RDX131088 QTZ131088:QUB131088 QKD131088:QKF131088 QAH131088:QAJ131088 PQL131088:PQN131088 PGP131088:PGR131088 OWT131088:OWV131088 OMX131088:OMZ131088 ODB131088:ODD131088 NTF131088:NTH131088 NJJ131088:NJL131088 MZN131088:MZP131088 MPR131088:MPT131088 MFV131088:MFX131088 LVZ131088:LWB131088 LMD131088:LMF131088 LCH131088:LCJ131088 KSL131088:KSN131088 KIP131088:KIR131088 JYT131088:JYV131088 JOX131088:JOZ131088 JFB131088:JFD131088 IVF131088:IVH131088 ILJ131088:ILL131088 IBN131088:IBP131088 HRR131088:HRT131088 HHV131088:HHX131088 GXZ131088:GYB131088 GOD131088:GOF131088 GEH131088:GEJ131088 FUL131088:FUN131088 FKP131088:FKR131088 FAT131088:FAV131088 EQX131088:EQZ131088 EHB131088:EHD131088 DXF131088:DXH131088 DNJ131088:DNL131088 DDN131088:DDP131088 CTR131088:CTT131088 CJV131088:CJX131088 BZZ131088:CAB131088 BQD131088:BQF131088 BGH131088:BGJ131088 AWL131088:AWN131088 AMP131088:AMR131088 ACT131088:ACV131088 SX131088:SZ131088 JB131088:JD131088 F131088:H131088 WVN65552:WVP65552 WLR65552:WLT65552 WBV65552:WBX65552 VRZ65552:VSB65552 VID65552:VIF65552 UYH65552:UYJ65552 UOL65552:UON65552 UEP65552:UER65552 TUT65552:TUV65552 TKX65552:TKZ65552 TBB65552:TBD65552 SRF65552:SRH65552 SHJ65552:SHL65552 RXN65552:RXP65552 RNR65552:RNT65552 RDV65552:RDX65552 QTZ65552:QUB65552 QKD65552:QKF65552 QAH65552:QAJ65552 PQL65552:PQN65552 PGP65552:PGR65552 OWT65552:OWV65552 OMX65552:OMZ65552 ODB65552:ODD65552 NTF65552:NTH65552 NJJ65552:NJL65552 MZN65552:MZP65552 MPR65552:MPT65552 MFV65552:MFX65552 LVZ65552:LWB65552 LMD65552:LMF65552 LCH65552:LCJ65552 KSL65552:KSN65552 KIP65552:KIR65552 JYT65552:JYV65552 JOX65552:JOZ65552 JFB65552:JFD65552 IVF65552:IVH65552 ILJ65552:ILL65552 IBN65552:IBP65552 HRR65552:HRT65552 HHV65552:HHX65552 GXZ65552:GYB65552 GOD65552:GOF65552 GEH65552:GEJ65552 FUL65552:FUN65552 FKP65552:FKR65552 FAT65552:FAV65552 EQX65552:EQZ65552 EHB65552:EHD65552 DXF65552:DXH65552 DNJ65552:DNL65552 DDN65552:DDP65552 CTR65552:CTT65552 CJV65552:CJX65552 BZZ65552:CAB65552 BQD65552:BQF65552 BGH65552:BGJ65552 AWL65552:AWN65552 AMP65552:AMR65552 ACT65552:ACV65552 SX65552:SZ65552 JB65552:JD65552 F65552:H65552 WVN983051:WVP983054 WLR983051:WLT983054 WBV983051:WBX983054 VRZ983051:VSB983054 VID983051:VIF983054 UYH983051:UYJ983054 UOL983051:UON983054 UEP983051:UER983054 TUT983051:TUV983054 TKX983051:TKZ983054 TBB983051:TBD983054 SRF983051:SRH983054 SHJ983051:SHL983054 RXN983051:RXP983054 RNR983051:RNT983054 RDV983051:RDX983054 QTZ983051:QUB983054 QKD983051:QKF983054 QAH983051:QAJ983054 PQL983051:PQN983054 PGP983051:PGR983054 OWT983051:OWV983054 OMX983051:OMZ983054 ODB983051:ODD983054 NTF983051:NTH983054 NJJ983051:NJL983054 MZN983051:MZP983054 MPR983051:MPT983054 MFV983051:MFX983054 LVZ983051:LWB983054 LMD983051:LMF983054 LCH983051:LCJ983054 KSL983051:KSN983054 KIP983051:KIR983054 JYT983051:JYV983054 JOX983051:JOZ983054 JFB983051:JFD983054 IVF983051:IVH983054 ILJ983051:ILL983054 IBN983051:IBP983054 HRR983051:HRT983054 HHV983051:HHX983054 GXZ983051:GYB983054 GOD983051:GOF983054 GEH983051:GEJ983054 FUL983051:FUN983054 FKP983051:FKR983054 FAT983051:FAV983054 EQX983051:EQZ983054 EHB983051:EHD983054 DXF983051:DXH983054 DNJ983051:DNL983054 DDN983051:DDP983054 CTR983051:CTT983054 CJV983051:CJX983054 BZZ983051:CAB983054 BQD983051:BQF983054 BGH983051:BGJ983054 AWL983051:AWN983054 AMP983051:AMR983054 ACT983051:ACV983054 SX983051:SZ983054 JB983051:JD983054 F983051:H983054 WVN917515:WVP917518 WLR917515:WLT917518 WBV917515:WBX917518 VRZ917515:VSB917518 VID917515:VIF917518 UYH917515:UYJ917518 UOL917515:UON917518 UEP917515:UER917518 TUT917515:TUV917518 TKX917515:TKZ917518 TBB917515:TBD917518 SRF917515:SRH917518 SHJ917515:SHL917518 RXN917515:RXP917518 RNR917515:RNT917518 RDV917515:RDX917518 QTZ917515:QUB917518 QKD917515:QKF917518 QAH917515:QAJ917518 PQL917515:PQN917518 PGP917515:PGR917518 OWT917515:OWV917518 OMX917515:OMZ917518 ODB917515:ODD917518 NTF917515:NTH917518 NJJ917515:NJL917518 MZN917515:MZP917518 MPR917515:MPT917518 MFV917515:MFX917518 LVZ917515:LWB917518 LMD917515:LMF917518 LCH917515:LCJ917518 KSL917515:KSN917518 KIP917515:KIR917518 JYT917515:JYV917518 JOX917515:JOZ917518 JFB917515:JFD917518 IVF917515:IVH917518 ILJ917515:ILL917518 IBN917515:IBP917518 HRR917515:HRT917518 HHV917515:HHX917518 GXZ917515:GYB917518 GOD917515:GOF917518 GEH917515:GEJ917518 FUL917515:FUN917518 FKP917515:FKR917518 FAT917515:FAV917518 EQX917515:EQZ917518 EHB917515:EHD917518 DXF917515:DXH917518 DNJ917515:DNL917518 DDN917515:DDP917518 CTR917515:CTT917518 CJV917515:CJX917518 BZZ917515:CAB917518 BQD917515:BQF917518 BGH917515:BGJ917518 AWL917515:AWN917518 AMP917515:AMR917518 ACT917515:ACV917518 SX917515:SZ917518 JB917515:JD917518 F917515:H917518 WVN851979:WVP851982 WLR851979:WLT851982 WBV851979:WBX851982 VRZ851979:VSB851982 VID851979:VIF851982 UYH851979:UYJ851982 UOL851979:UON851982 UEP851979:UER851982 TUT851979:TUV851982 TKX851979:TKZ851982 TBB851979:TBD851982 SRF851979:SRH851982 SHJ851979:SHL851982 RXN851979:RXP851982 RNR851979:RNT851982 RDV851979:RDX851982 QTZ851979:QUB851982 QKD851979:QKF851982 QAH851979:QAJ851982 PQL851979:PQN851982 PGP851979:PGR851982 OWT851979:OWV851982 OMX851979:OMZ851982 ODB851979:ODD851982 NTF851979:NTH851982 NJJ851979:NJL851982 MZN851979:MZP851982 MPR851979:MPT851982 MFV851979:MFX851982 LVZ851979:LWB851982 LMD851979:LMF851982 LCH851979:LCJ851982 KSL851979:KSN851982 KIP851979:KIR851982 JYT851979:JYV851982 JOX851979:JOZ851982 JFB851979:JFD851982 IVF851979:IVH851982 ILJ851979:ILL851982 IBN851979:IBP851982 HRR851979:HRT851982 HHV851979:HHX851982 GXZ851979:GYB851982 GOD851979:GOF851982 GEH851979:GEJ851982 FUL851979:FUN851982 FKP851979:FKR851982 FAT851979:FAV851982 EQX851979:EQZ851982 EHB851979:EHD851982 DXF851979:DXH851982 DNJ851979:DNL851982 DDN851979:DDP851982 CTR851979:CTT851982 CJV851979:CJX851982 BZZ851979:CAB851982 BQD851979:BQF851982 BGH851979:BGJ851982 AWL851979:AWN851982 AMP851979:AMR851982 ACT851979:ACV851982 SX851979:SZ851982 JB851979:JD851982 F851979:H851982 WVN786443:WVP786446 WLR786443:WLT786446 WBV786443:WBX786446 VRZ786443:VSB786446 VID786443:VIF786446 UYH786443:UYJ786446 UOL786443:UON786446 UEP786443:UER786446 TUT786443:TUV786446 TKX786443:TKZ786446 TBB786443:TBD786446 SRF786443:SRH786446 SHJ786443:SHL786446 RXN786443:RXP786446 RNR786443:RNT786446 RDV786443:RDX786446 QTZ786443:QUB786446 QKD786443:QKF786446 QAH786443:QAJ786446 PQL786443:PQN786446 PGP786443:PGR786446 OWT786443:OWV786446 OMX786443:OMZ786446 ODB786443:ODD786446 NTF786443:NTH786446 NJJ786443:NJL786446 MZN786443:MZP786446 MPR786443:MPT786446 MFV786443:MFX786446 LVZ786443:LWB786446 LMD786443:LMF786446 LCH786443:LCJ786446 KSL786443:KSN786446 KIP786443:KIR786446 JYT786443:JYV786446 JOX786443:JOZ786446 JFB786443:JFD786446 IVF786443:IVH786446 ILJ786443:ILL786446 IBN786443:IBP786446 HRR786443:HRT786446 HHV786443:HHX786446 GXZ786443:GYB786446 GOD786443:GOF786446 GEH786443:GEJ786446 FUL786443:FUN786446 FKP786443:FKR786446 FAT786443:FAV786446 EQX786443:EQZ786446 EHB786443:EHD786446 DXF786443:DXH786446 DNJ786443:DNL786446 DDN786443:DDP786446 CTR786443:CTT786446 CJV786443:CJX786446 BZZ786443:CAB786446 BQD786443:BQF786446 BGH786443:BGJ786446 AWL786443:AWN786446 AMP786443:AMR786446 ACT786443:ACV786446 SX786443:SZ786446 JB786443:JD786446 F786443:H786446 WVN720907:WVP720910 WLR720907:WLT720910 WBV720907:WBX720910 VRZ720907:VSB720910 VID720907:VIF720910 UYH720907:UYJ720910 UOL720907:UON720910 UEP720907:UER720910 TUT720907:TUV720910 TKX720907:TKZ720910 TBB720907:TBD720910 SRF720907:SRH720910 SHJ720907:SHL720910 RXN720907:RXP720910 RNR720907:RNT720910 RDV720907:RDX720910 QTZ720907:QUB720910 QKD720907:QKF720910 QAH720907:QAJ720910 PQL720907:PQN720910 PGP720907:PGR720910 OWT720907:OWV720910 OMX720907:OMZ720910 ODB720907:ODD720910 NTF720907:NTH720910 NJJ720907:NJL720910 MZN720907:MZP720910 MPR720907:MPT720910 MFV720907:MFX720910 LVZ720907:LWB720910 LMD720907:LMF720910 LCH720907:LCJ720910 KSL720907:KSN720910 KIP720907:KIR720910 JYT720907:JYV720910 JOX720907:JOZ720910 JFB720907:JFD720910 IVF720907:IVH720910 ILJ720907:ILL720910 IBN720907:IBP720910 HRR720907:HRT720910 HHV720907:HHX720910 GXZ720907:GYB720910 GOD720907:GOF720910 GEH720907:GEJ720910 FUL720907:FUN720910 FKP720907:FKR720910 FAT720907:FAV720910 EQX720907:EQZ720910 EHB720907:EHD720910 DXF720907:DXH720910 DNJ720907:DNL720910 DDN720907:DDP720910 CTR720907:CTT720910 CJV720907:CJX720910 BZZ720907:CAB720910 BQD720907:BQF720910 BGH720907:BGJ720910 AWL720907:AWN720910 AMP720907:AMR720910 ACT720907:ACV720910 SX720907:SZ720910 JB720907:JD720910 F720907:H720910 WVN655371:WVP655374 WLR655371:WLT655374 WBV655371:WBX655374 VRZ655371:VSB655374 VID655371:VIF655374 UYH655371:UYJ655374 UOL655371:UON655374 UEP655371:UER655374 TUT655371:TUV655374 TKX655371:TKZ655374 TBB655371:TBD655374 SRF655371:SRH655374 SHJ655371:SHL655374 RXN655371:RXP655374 RNR655371:RNT655374 RDV655371:RDX655374 QTZ655371:QUB655374 QKD655371:QKF655374 QAH655371:QAJ655374 PQL655371:PQN655374 PGP655371:PGR655374 OWT655371:OWV655374 OMX655371:OMZ655374 ODB655371:ODD655374 NTF655371:NTH655374 NJJ655371:NJL655374 MZN655371:MZP655374 MPR655371:MPT655374 MFV655371:MFX655374 LVZ655371:LWB655374 LMD655371:LMF655374 LCH655371:LCJ655374 KSL655371:KSN655374 KIP655371:KIR655374 JYT655371:JYV655374 JOX655371:JOZ655374 JFB655371:JFD655374 IVF655371:IVH655374 ILJ655371:ILL655374 IBN655371:IBP655374 HRR655371:HRT655374 HHV655371:HHX655374 GXZ655371:GYB655374 GOD655371:GOF655374 GEH655371:GEJ655374 FUL655371:FUN655374 FKP655371:FKR655374 FAT655371:FAV655374 EQX655371:EQZ655374 EHB655371:EHD655374 DXF655371:DXH655374 DNJ655371:DNL655374 DDN655371:DDP655374 CTR655371:CTT655374 CJV655371:CJX655374 BZZ655371:CAB655374 BQD655371:BQF655374 BGH655371:BGJ655374 AWL655371:AWN655374 AMP655371:AMR655374 ACT655371:ACV655374 SX655371:SZ655374 JB655371:JD655374 F655371:H655374 WVN589835:WVP589838 WLR589835:WLT589838 WBV589835:WBX589838 VRZ589835:VSB589838 VID589835:VIF589838 UYH589835:UYJ589838 UOL589835:UON589838 UEP589835:UER589838 TUT589835:TUV589838 TKX589835:TKZ589838 TBB589835:TBD589838 SRF589835:SRH589838 SHJ589835:SHL589838 RXN589835:RXP589838 RNR589835:RNT589838 RDV589835:RDX589838 QTZ589835:QUB589838 QKD589835:QKF589838 QAH589835:QAJ589838 PQL589835:PQN589838 PGP589835:PGR589838 OWT589835:OWV589838 OMX589835:OMZ589838 ODB589835:ODD589838 NTF589835:NTH589838 NJJ589835:NJL589838 MZN589835:MZP589838 MPR589835:MPT589838 MFV589835:MFX589838 LVZ589835:LWB589838 LMD589835:LMF589838 LCH589835:LCJ589838 KSL589835:KSN589838 KIP589835:KIR589838 JYT589835:JYV589838 JOX589835:JOZ589838 JFB589835:JFD589838 IVF589835:IVH589838 ILJ589835:ILL589838 IBN589835:IBP589838 HRR589835:HRT589838 HHV589835:HHX589838 GXZ589835:GYB589838 GOD589835:GOF589838 GEH589835:GEJ589838 FUL589835:FUN589838 FKP589835:FKR589838 FAT589835:FAV589838 EQX589835:EQZ589838 EHB589835:EHD589838 DXF589835:DXH589838 DNJ589835:DNL589838 DDN589835:DDP589838 CTR589835:CTT589838 CJV589835:CJX589838 BZZ589835:CAB589838 BQD589835:BQF589838 BGH589835:BGJ589838 AWL589835:AWN589838 AMP589835:AMR589838 ACT589835:ACV589838 SX589835:SZ589838 JB589835:JD589838 F589835:H589838 WVN524299:WVP524302 WLR524299:WLT524302 WBV524299:WBX524302 VRZ524299:VSB524302 VID524299:VIF524302 UYH524299:UYJ524302 UOL524299:UON524302 UEP524299:UER524302 TUT524299:TUV524302 TKX524299:TKZ524302 TBB524299:TBD524302 SRF524299:SRH524302 SHJ524299:SHL524302 RXN524299:RXP524302 RNR524299:RNT524302 RDV524299:RDX524302 QTZ524299:QUB524302 QKD524299:QKF524302 QAH524299:QAJ524302 PQL524299:PQN524302 PGP524299:PGR524302 OWT524299:OWV524302 OMX524299:OMZ524302 ODB524299:ODD524302 NTF524299:NTH524302 NJJ524299:NJL524302 MZN524299:MZP524302 MPR524299:MPT524302 MFV524299:MFX524302 LVZ524299:LWB524302 LMD524299:LMF524302 LCH524299:LCJ524302 KSL524299:KSN524302 KIP524299:KIR524302 JYT524299:JYV524302 JOX524299:JOZ524302 JFB524299:JFD524302 IVF524299:IVH524302 ILJ524299:ILL524302 IBN524299:IBP524302 HRR524299:HRT524302 HHV524299:HHX524302 GXZ524299:GYB524302 GOD524299:GOF524302 GEH524299:GEJ524302 FUL524299:FUN524302 FKP524299:FKR524302 FAT524299:FAV524302 EQX524299:EQZ524302 EHB524299:EHD524302 DXF524299:DXH524302 DNJ524299:DNL524302 DDN524299:DDP524302 CTR524299:CTT524302 CJV524299:CJX524302 BZZ524299:CAB524302 BQD524299:BQF524302 BGH524299:BGJ524302 AWL524299:AWN524302 AMP524299:AMR524302 ACT524299:ACV524302 SX524299:SZ524302 JB524299:JD524302 F524299:H524302 WVN458763:WVP458766 WLR458763:WLT458766 WBV458763:WBX458766 VRZ458763:VSB458766 VID458763:VIF458766 UYH458763:UYJ458766 UOL458763:UON458766 UEP458763:UER458766 TUT458763:TUV458766 TKX458763:TKZ458766 TBB458763:TBD458766 SRF458763:SRH458766 SHJ458763:SHL458766 RXN458763:RXP458766 RNR458763:RNT458766 RDV458763:RDX458766 QTZ458763:QUB458766 QKD458763:QKF458766 QAH458763:QAJ458766 PQL458763:PQN458766 PGP458763:PGR458766 OWT458763:OWV458766 OMX458763:OMZ458766 ODB458763:ODD458766 NTF458763:NTH458766 NJJ458763:NJL458766 MZN458763:MZP458766 MPR458763:MPT458766 MFV458763:MFX458766 LVZ458763:LWB458766 LMD458763:LMF458766 LCH458763:LCJ458766 KSL458763:KSN458766 KIP458763:KIR458766 JYT458763:JYV458766 JOX458763:JOZ458766 JFB458763:JFD458766 IVF458763:IVH458766 ILJ458763:ILL458766 IBN458763:IBP458766 HRR458763:HRT458766 HHV458763:HHX458766 GXZ458763:GYB458766 GOD458763:GOF458766 GEH458763:GEJ458766 FUL458763:FUN458766 FKP458763:FKR458766 FAT458763:FAV458766 EQX458763:EQZ458766 EHB458763:EHD458766 DXF458763:DXH458766 DNJ458763:DNL458766 DDN458763:DDP458766 CTR458763:CTT458766 CJV458763:CJX458766 BZZ458763:CAB458766 BQD458763:BQF458766 BGH458763:BGJ458766 AWL458763:AWN458766 AMP458763:AMR458766 ACT458763:ACV458766 SX458763:SZ458766 JB458763:JD458766 F458763:H458766 WVN393227:WVP393230 WLR393227:WLT393230 WBV393227:WBX393230 VRZ393227:VSB393230 VID393227:VIF393230 UYH393227:UYJ393230 UOL393227:UON393230 UEP393227:UER393230 TUT393227:TUV393230 TKX393227:TKZ393230 TBB393227:TBD393230 SRF393227:SRH393230 SHJ393227:SHL393230 RXN393227:RXP393230 RNR393227:RNT393230 RDV393227:RDX393230 QTZ393227:QUB393230 QKD393227:QKF393230 QAH393227:QAJ393230 PQL393227:PQN393230 PGP393227:PGR393230 OWT393227:OWV393230 OMX393227:OMZ393230 ODB393227:ODD393230 NTF393227:NTH393230 NJJ393227:NJL393230 MZN393227:MZP393230 MPR393227:MPT393230 MFV393227:MFX393230 LVZ393227:LWB393230 LMD393227:LMF393230 LCH393227:LCJ393230 KSL393227:KSN393230 KIP393227:KIR393230 JYT393227:JYV393230 JOX393227:JOZ393230 JFB393227:JFD393230 IVF393227:IVH393230 ILJ393227:ILL393230 IBN393227:IBP393230 HRR393227:HRT393230 HHV393227:HHX393230 GXZ393227:GYB393230 GOD393227:GOF393230 GEH393227:GEJ393230 FUL393227:FUN393230 FKP393227:FKR393230 FAT393227:FAV393230 EQX393227:EQZ393230 EHB393227:EHD393230 DXF393227:DXH393230 DNJ393227:DNL393230 DDN393227:DDP393230 CTR393227:CTT393230 CJV393227:CJX393230 BZZ393227:CAB393230 BQD393227:BQF393230 BGH393227:BGJ393230 AWL393227:AWN393230 AMP393227:AMR393230 ACT393227:ACV393230 SX393227:SZ393230 JB393227:JD393230 F393227:H393230 WVN327691:WVP327694 WLR327691:WLT327694 WBV327691:WBX327694 VRZ327691:VSB327694 VID327691:VIF327694 UYH327691:UYJ327694 UOL327691:UON327694 UEP327691:UER327694 TUT327691:TUV327694 TKX327691:TKZ327694 TBB327691:TBD327694 SRF327691:SRH327694 SHJ327691:SHL327694 RXN327691:RXP327694 RNR327691:RNT327694 RDV327691:RDX327694 QTZ327691:QUB327694 QKD327691:QKF327694 QAH327691:QAJ327694 PQL327691:PQN327694 PGP327691:PGR327694 OWT327691:OWV327694 OMX327691:OMZ327694 ODB327691:ODD327694 NTF327691:NTH327694 NJJ327691:NJL327694 MZN327691:MZP327694 MPR327691:MPT327694 MFV327691:MFX327694 LVZ327691:LWB327694 LMD327691:LMF327694 LCH327691:LCJ327694 KSL327691:KSN327694 KIP327691:KIR327694 JYT327691:JYV327694 JOX327691:JOZ327694 JFB327691:JFD327694 IVF327691:IVH327694 ILJ327691:ILL327694 IBN327691:IBP327694 HRR327691:HRT327694 HHV327691:HHX327694 GXZ327691:GYB327694 GOD327691:GOF327694 GEH327691:GEJ327694 FUL327691:FUN327694 FKP327691:FKR327694 FAT327691:FAV327694 EQX327691:EQZ327694 EHB327691:EHD327694 DXF327691:DXH327694 DNJ327691:DNL327694 DDN327691:DDP327694 CTR327691:CTT327694 CJV327691:CJX327694 BZZ327691:CAB327694 BQD327691:BQF327694 BGH327691:BGJ327694 AWL327691:AWN327694 AMP327691:AMR327694 ACT327691:ACV327694 SX327691:SZ327694 JB327691:JD327694 F327691:H327694 WVN262155:WVP262158 WLR262155:WLT262158 WBV262155:WBX262158 VRZ262155:VSB262158 VID262155:VIF262158 UYH262155:UYJ262158 UOL262155:UON262158 UEP262155:UER262158 TUT262155:TUV262158 TKX262155:TKZ262158 TBB262155:TBD262158 SRF262155:SRH262158 SHJ262155:SHL262158 RXN262155:RXP262158 RNR262155:RNT262158 RDV262155:RDX262158 QTZ262155:QUB262158 QKD262155:QKF262158 QAH262155:QAJ262158 PQL262155:PQN262158 PGP262155:PGR262158 OWT262155:OWV262158 OMX262155:OMZ262158 ODB262155:ODD262158 NTF262155:NTH262158 NJJ262155:NJL262158 MZN262155:MZP262158 MPR262155:MPT262158 MFV262155:MFX262158 LVZ262155:LWB262158 LMD262155:LMF262158 LCH262155:LCJ262158 KSL262155:KSN262158 KIP262155:KIR262158 JYT262155:JYV262158 JOX262155:JOZ262158 JFB262155:JFD262158 IVF262155:IVH262158 ILJ262155:ILL262158 IBN262155:IBP262158 HRR262155:HRT262158 HHV262155:HHX262158 GXZ262155:GYB262158 GOD262155:GOF262158 GEH262155:GEJ262158 FUL262155:FUN262158 FKP262155:FKR262158 FAT262155:FAV262158 EQX262155:EQZ262158 EHB262155:EHD262158 DXF262155:DXH262158 DNJ262155:DNL262158 DDN262155:DDP262158 CTR262155:CTT262158 CJV262155:CJX262158 BZZ262155:CAB262158 BQD262155:BQF262158 BGH262155:BGJ262158 AWL262155:AWN262158 AMP262155:AMR262158 ACT262155:ACV262158 SX262155:SZ262158 JB262155:JD262158 F262155:H262158 WVN196619:WVP196622 WLR196619:WLT196622 WBV196619:WBX196622 VRZ196619:VSB196622 VID196619:VIF196622 UYH196619:UYJ196622 UOL196619:UON196622 UEP196619:UER196622 TUT196619:TUV196622 TKX196619:TKZ196622 TBB196619:TBD196622 SRF196619:SRH196622 SHJ196619:SHL196622 RXN196619:RXP196622 RNR196619:RNT196622 RDV196619:RDX196622 QTZ196619:QUB196622 QKD196619:QKF196622 QAH196619:QAJ196622 PQL196619:PQN196622 PGP196619:PGR196622 OWT196619:OWV196622 OMX196619:OMZ196622 ODB196619:ODD196622 NTF196619:NTH196622 NJJ196619:NJL196622 MZN196619:MZP196622 MPR196619:MPT196622 MFV196619:MFX196622 LVZ196619:LWB196622 LMD196619:LMF196622 LCH196619:LCJ196622 KSL196619:KSN196622 KIP196619:KIR196622 JYT196619:JYV196622 JOX196619:JOZ196622 JFB196619:JFD196622 IVF196619:IVH196622 ILJ196619:ILL196622 IBN196619:IBP196622 HRR196619:HRT196622 HHV196619:HHX196622 GXZ196619:GYB196622 GOD196619:GOF196622 GEH196619:GEJ196622 FUL196619:FUN196622 FKP196619:FKR196622 FAT196619:FAV196622 EQX196619:EQZ196622 EHB196619:EHD196622 DXF196619:DXH196622 DNJ196619:DNL196622 DDN196619:DDP196622 CTR196619:CTT196622 CJV196619:CJX196622 BZZ196619:CAB196622 BQD196619:BQF196622 BGH196619:BGJ196622 AWL196619:AWN196622 AMP196619:AMR196622 ACT196619:ACV196622 SX196619:SZ196622 JB196619:JD196622 F196619:H196622 WVN131083:WVP131086 WLR131083:WLT131086 WBV131083:WBX131086 VRZ131083:VSB131086 VID131083:VIF131086 UYH131083:UYJ131086 UOL131083:UON131086 UEP131083:UER131086 TUT131083:TUV131086 TKX131083:TKZ131086 TBB131083:TBD131086 SRF131083:SRH131086 SHJ131083:SHL131086 RXN131083:RXP131086 RNR131083:RNT131086 RDV131083:RDX131086 QTZ131083:QUB131086 QKD131083:QKF131086 QAH131083:QAJ131086 PQL131083:PQN131086 PGP131083:PGR131086 OWT131083:OWV131086 OMX131083:OMZ131086 ODB131083:ODD131086 NTF131083:NTH131086 NJJ131083:NJL131086 MZN131083:MZP131086 MPR131083:MPT131086 MFV131083:MFX131086 LVZ131083:LWB131086 LMD131083:LMF131086 LCH131083:LCJ131086 KSL131083:KSN131086 KIP131083:KIR131086 JYT131083:JYV131086 JOX131083:JOZ131086 JFB131083:JFD131086 IVF131083:IVH131086 ILJ131083:ILL131086 IBN131083:IBP131086 HRR131083:HRT131086 HHV131083:HHX131086 GXZ131083:GYB131086 GOD131083:GOF131086 GEH131083:GEJ131086 FUL131083:FUN131086 FKP131083:FKR131086 FAT131083:FAV131086 EQX131083:EQZ131086 EHB131083:EHD131086 DXF131083:DXH131086 DNJ131083:DNL131086 DDN131083:DDP131086 CTR131083:CTT131086 CJV131083:CJX131086 BZZ131083:CAB131086 BQD131083:BQF131086 BGH131083:BGJ131086 AWL131083:AWN131086 AMP131083:AMR131086 ACT131083:ACV131086 SX131083:SZ131086 JB131083:JD131086 F131083:H131086 WVN65547:WVP65550 WLR65547:WLT65550 WBV65547:WBX65550 VRZ65547:VSB65550 VID65547:VIF65550 UYH65547:UYJ65550 UOL65547:UON65550 UEP65547:UER65550 TUT65547:TUV65550 TKX65547:TKZ65550 TBB65547:TBD65550 SRF65547:SRH65550 SHJ65547:SHL65550 RXN65547:RXP65550 RNR65547:RNT65550 RDV65547:RDX65550 QTZ65547:QUB65550 QKD65547:QKF65550 QAH65547:QAJ65550 PQL65547:PQN65550 PGP65547:PGR65550 OWT65547:OWV65550 OMX65547:OMZ65550 ODB65547:ODD65550 NTF65547:NTH65550 NJJ65547:NJL65550 MZN65547:MZP65550 MPR65547:MPT65550 MFV65547:MFX65550 LVZ65547:LWB65550 LMD65547:LMF65550 LCH65547:LCJ65550 KSL65547:KSN65550 KIP65547:KIR65550 JYT65547:JYV65550 JOX65547:JOZ65550 JFB65547:JFD65550 IVF65547:IVH65550 ILJ65547:ILL65550 IBN65547:IBP65550 HRR65547:HRT65550 HHV65547:HHX65550 GXZ65547:GYB65550 GOD65547:GOF65550 GEH65547:GEJ65550 FUL65547:FUN65550 FKP65547:FKR65550 FAT65547:FAV65550 EQX65547:EQZ65550 EHB65547:EHD65550 DXF65547:DXH65550 DNJ65547:DNL65550 DDN65547:DDP65550 CTR65547:CTT65550 CJV65547:CJX65550 BZZ65547:CAB65550 BQD65547:BQF65550 BGH65547:BGJ65550 AWL65547:AWN65550 AMP65547:AMR65550 ACT65547:ACV65550 SX65547:SZ65550 JB65547:JD65550 F65547:H65550 F16:H19 WVN14:WVP14 WLR14:WLT14 WBV14:WBX14 VRZ14:VSB14 VID14:VIF14 UYH14:UYJ14 UOL14:UON14 UEP14:UER14 TUT14:TUV14 TKX14:TKZ14 TBB14:TBD14 SRF14:SRH14 SHJ14:SHL14 RXN14:RXP14 RNR14:RNT14 RDV14:RDX14 QTZ14:QUB14 QKD14:QKF14 QAH14:QAJ14 PQL14:PQN14 PGP14:PGR14 OWT14:OWV14 OMX14:OMZ14 ODB14:ODD14 NTF14:NTH14 NJJ14:NJL14 MZN14:MZP14 MPR14:MPT14 MFV14:MFX14 LVZ14:LWB14 LMD14:LMF14 LCH14:LCJ14 KSL14:KSN14 KIP14:KIR14 JYT14:JYV14 JOX14:JOZ14 JFB14:JFD14 IVF14:IVH14 ILJ14:ILL14 IBN14:IBP14 HRR14:HRT14 HHV14:HHX14 GXZ14:GYB14 GOD14:GOF14 GEH14:GEJ14 FUL14:FUN14 FKP14:FKR14 FAT14:FAV14 EQX14:EQZ14 EHB14:EHD14 DXF14:DXH14 DNJ14:DNL14 DDN14:DDP14 CTR14:CTT14 CJV14:CJX14 BZZ14:CAB14 BQD14:BQF14 BGH14:BGJ14 AWL14:AWN14 AMP14:AMR14 ACT14:ACV14 SX14:SZ14 JB14:JD14 F14:H14 WVN23:WVQ34 WLR23:WLU34 WBV23:WBY34 VRZ23:VSC34 VID23:VIG34 UYH23:UYK34 UOL23:UOO34 UEP23:UES34 TUT23:TUW34 TKX23:TLA34 TBB23:TBE34 SRF23:SRI34 SHJ23:SHM34 RXN23:RXQ34 RNR23:RNU34 RDV23:RDY34 QTZ23:QUC34 QKD23:QKG34 QAH23:QAK34 PQL23:PQO34 PGP23:PGS34 OWT23:OWW34 OMX23:ONA34 ODB23:ODE34 NTF23:NTI34 NJJ23:NJM34 MZN23:MZQ34 MPR23:MPU34 MFV23:MFY34 LVZ23:LWC34 LMD23:LMG34 LCH23:LCK34 KSL23:KSO34 KIP23:KIS34 JYT23:JYW34 JOX23:JPA34 JFB23:JFE34 IVF23:IVI34 ILJ23:ILM34 IBN23:IBQ34 HRR23:HRU34 HHV23:HHY34 GXZ23:GYC34 GOD23:GOG34 GEH23:GEK34 FUL23:FUO34 FKP23:FKS34 FAT23:FAW34 EQX23:ERA34 EHB23:EHE34 DXF23:DXI34 DNJ23:DNM34 DDN23:DDQ34 CTR23:CTU34 CJV23:CJY34 BZZ23:CAC34 BQD23:BQG34 BGH23:BGK34 AWL23:AWO34 AMP23:AMS34 ACT23:ACW34 SX23:TA34 JB23:JE34 F23:I34 WVN21:WVP21 WLR21:WLT21 WBV21:WBX21 VRZ21:VSB21 VID21:VIF21 UYH21:UYJ21 UOL21:UON21 UEP21:UER21 TUT21:TUV21 TKX21:TKZ21 TBB21:TBD21 SRF21:SRH21 SHJ21:SHL21 RXN21:RXP21 RNR21:RNT21 RDV21:RDX21 QTZ21:QUB21 QKD21:QKF21 QAH21:QAJ21 PQL21:PQN21 PGP21:PGR21 OWT21:OWV21 OMX21:OMZ21 ODB21:ODD21 NTF21:NTH21 NJJ21:NJL21 MZN21:MZP21 MPR21:MPT21 MFV21:MFX21 LVZ21:LWB21 LMD21:LMF21 LCH21:LCJ21 KSL21:KSN21 KIP21:KIR21 JYT21:JYV21 JOX21:JOZ21 JFB21:JFD21 IVF21:IVH21 ILJ21:ILL21 IBN21:IBP21 HRR21:HRT21 HHV21:HHX21 GXZ21:GYB21 GOD21:GOF21 GEH21:GEJ21 FUL21:FUN21 FKP21:FKR21 FAT21:FAV21 EQX21:EQZ21 EHB21:EHD21 DXF21:DXH21 DNJ21:DNL21 DDN21:DDP21 CTR21:CTT21 CJV21:CJX21 BZZ21:CAB21 BQD21:BQF21 BGH21:BGJ21 AWL21:AWN21 AMP21:AMR21 ACT21:ACV21 SX21:SZ21 JB21:JD21 F21:H21 WVN16:WVP19 WLR16:WLT19 WBV16:WBX19 VRZ16:VSB19 VID16:VIF19 UYH16:UYJ19 UOL16:UON19 UEP16:UER19 TUT16:TUV19 TKX16:TKZ19 TBB16:TBD19 SRF16:SRH19 SHJ16:SHL19 RXN16:RXP19 RNR16:RNT19 RDV16:RDX19 QTZ16:QUB19 QKD16:QKF19 QAH16:QAJ19 PQL16:PQN19 PGP16:PGR19 OWT16:OWV19 OMX16:OMZ19 ODB16:ODD19 NTF16:NTH19 NJJ16:NJL19 MZN16:MZP19 MPR16:MPT19 MFV16:MFX19 LVZ16:LWB19 LMD16:LMF19 LCH16:LCJ19 KSL16:KSN19 KIP16:KIR19 JYT16:JYV19 JOX16:JOZ19 JFB16:JFD19 IVF16:IVH19 ILJ16:ILL19 IBN16:IBP19 HRR16:HRT19 HHV16:HHX19 GXZ16:GYB19 GOD16:GOF19 GEH16:GEJ19 FUL16:FUN19 FKP16:FKR19 FAT16:FAV19 EQX16:EQZ19 EHB16:EHD19 DXF16:DXH19 DNJ16:DNL19 DDN16:DDP19 CTR16:CTT19 CJV16:CJX19 BZZ16:CAB19 BQD16:BQF19 BGH16:BGJ19 AWL16:AWN19 AMP16:AMR19 ACT16:ACV19 SX16:SZ19 JB16:JD19">
      <formula1>"X"</formula1>
    </dataValidation>
  </dataValidations>
  <pageMargins left="0.51181102362204722" right="0.16" top="0.78740157480314965" bottom="0.78740157480314965" header="0.31496062992125984" footer="0.31496062992125984"/>
  <pageSetup paperSize="9" scale="80" orientation="portrait" r:id="rId1"/>
  <rowBreaks count="1" manualBreakCount="1">
    <brk id="49"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opLeftCell="A13" workbookViewId="0">
      <selection activeCell="B1" sqref="A1:I34"/>
    </sheetView>
  </sheetViews>
  <sheetFormatPr defaultColWidth="8" defaultRowHeight="13.8"/>
  <cols>
    <col min="1" max="1" width="10.90625" style="1" customWidth="1"/>
    <col min="2" max="2" width="9.7265625" style="1" bestFit="1" customWidth="1"/>
    <col min="3" max="3" width="9.7265625" style="1" customWidth="1"/>
    <col min="4" max="4" width="14.6328125" style="1" customWidth="1"/>
    <col min="5" max="5" width="5.36328125" style="1" customWidth="1"/>
    <col min="6" max="6" width="12.7265625" style="576" customWidth="1"/>
    <col min="7" max="7" width="16" style="1" bestFit="1" customWidth="1"/>
    <col min="8" max="8" width="16.08984375" style="576" customWidth="1"/>
    <col min="9" max="9" width="16.08984375" style="1" customWidth="1"/>
    <col min="10" max="16384" width="8" style="1"/>
  </cols>
  <sheetData>
    <row r="1" spans="1:9" s="467" customFormat="1" ht="18" customHeight="1">
      <c r="A1" s="1028"/>
      <c r="B1" s="1030" t="s">
        <v>549</v>
      </c>
      <c r="C1" s="1030"/>
      <c r="D1" s="1030"/>
      <c r="E1" s="1030"/>
      <c r="F1" s="1030"/>
      <c r="G1" s="1030"/>
      <c r="H1" s="1030"/>
      <c r="I1" s="1031"/>
    </row>
    <row r="2" spans="1:9" s="467" customFormat="1" ht="15" customHeight="1">
      <c r="A2" s="1029"/>
      <c r="B2" s="1032" t="s">
        <v>550</v>
      </c>
      <c r="C2" s="1032"/>
      <c r="D2" s="1032"/>
      <c r="E2" s="1032"/>
      <c r="F2" s="1032"/>
      <c r="G2" s="1032"/>
      <c r="H2" s="1032"/>
      <c r="I2" s="1033"/>
    </row>
    <row r="3" spans="1:9" s="467" customFormat="1" ht="3" customHeight="1">
      <c r="A3" s="468"/>
      <c r="B3" s="468"/>
      <c r="C3" s="468"/>
      <c r="D3" s="468"/>
      <c r="E3" s="468"/>
      <c r="F3" s="559"/>
      <c r="G3" s="468"/>
      <c r="H3" s="559"/>
      <c r="I3" s="468"/>
    </row>
    <row r="4" spans="1:9" s="467" customFormat="1" ht="24.75" customHeight="1">
      <c r="A4" s="1034" t="s">
        <v>678</v>
      </c>
      <c r="B4" s="1034"/>
      <c r="C4" s="1034"/>
      <c r="D4" s="1034"/>
      <c r="E4" s="1034"/>
      <c r="F4" s="1034"/>
      <c r="G4" s="1034"/>
      <c r="H4" s="1034"/>
      <c r="I4" s="1034"/>
    </row>
    <row r="5" spans="1:9" s="467" customFormat="1" ht="5.0999999999999996" customHeight="1">
      <c r="A5" s="468"/>
      <c r="B5" s="468"/>
      <c r="C5" s="468"/>
      <c r="D5" s="468"/>
      <c r="E5" s="468"/>
      <c r="F5" s="559"/>
      <c r="G5" s="468"/>
      <c r="H5" s="559"/>
      <c r="I5" s="468"/>
    </row>
    <row r="6" spans="1:9" s="467" customFormat="1" ht="20.100000000000001" customHeight="1">
      <c r="A6" s="1035" t="s">
        <v>552</v>
      </c>
      <c r="B6" s="1035"/>
      <c r="C6" s="1037" t="s">
        <v>335</v>
      </c>
      <c r="D6" s="1038"/>
      <c r="E6" s="1038"/>
      <c r="F6" s="1038"/>
      <c r="G6" s="1038"/>
      <c r="H6" s="1038"/>
      <c r="I6" s="1039"/>
    </row>
    <row r="7" spans="1:9" s="467" customFormat="1" ht="3.75" customHeight="1">
      <c r="A7" s="470"/>
      <c r="B7" s="471"/>
      <c r="C7" s="471"/>
      <c r="D7" s="471"/>
      <c r="E7" s="471"/>
      <c r="F7" s="560"/>
      <c r="G7" s="471"/>
      <c r="H7" s="560"/>
      <c r="I7" s="471"/>
    </row>
    <row r="8" spans="1:9" s="467" customFormat="1" ht="20.100000000000001" customHeight="1">
      <c r="A8" s="1035" t="s">
        <v>553</v>
      </c>
      <c r="B8" s="1035"/>
      <c r="C8" s="1040"/>
      <c r="D8" s="1041"/>
      <c r="E8" s="1041"/>
      <c r="F8" s="1041"/>
      <c r="G8" s="1041"/>
      <c r="H8" s="1041"/>
      <c r="I8" s="1042"/>
    </row>
    <row r="9" spans="1:9" s="467" customFormat="1" ht="5.25" customHeight="1">
      <c r="A9" s="471"/>
      <c r="B9" s="471"/>
      <c r="C9" s="471"/>
      <c r="D9" s="471"/>
      <c r="E9" s="471"/>
      <c r="F9" s="560"/>
      <c r="G9" s="471"/>
      <c r="H9" s="560"/>
      <c r="I9" s="471"/>
    </row>
    <row r="10" spans="1:9" s="467" customFormat="1" ht="20.100000000000001" customHeight="1">
      <c r="A10" s="1035" t="s">
        <v>554</v>
      </c>
      <c r="B10" s="1036"/>
      <c r="C10" s="1012"/>
      <c r="D10" s="1013"/>
      <c r="E10" s="580"/>
      <c r="F10" s="561"/>
      <c r="G10" s="470"/>
      <c r="H10" s="562" t="s">
        <v>679</v>
      </c>
      <c r="I10" s="563"/>
    </row>
    <row r="12" spans="1:9" s="564" customFormat="1" ht="12">
      <c r="F12" s="565"/>
      <c r="H12" s="565"/>
    </row>
    <row r="13" spans="1:9" s="567" customFormat="1" ht="27.6">
      <c r="A13" s="1025" t="s">
        <v>680</v>
      </c>
      <c r="B13" s="1025"/>
      <c r="C13" s="1025"/>
      <c r="D13" s="1025"/>
      <c r="E13" s="1025"/>
      <c r="F13" s="1025"/>
      <c r="G13" s="1025"/>
      <c r="H13" s="566" t="s">
        <v>681</v>
      </c>
      <c r="I13" s="1020" t="s">
        <v>682</v>
      </c>
    </row>
    <row r="14" spans="1:9" s="569" customFormat="1" ht="15.6">
      <c r="A14" s="1027" t="s">
        <v>683</v>
      </c>
      <c r="B14" s="1027"/>
      <c r="C14" s="582"/>
      <c r="D14" s="568" t="s">
        <v>694</v>
      </c>
      <c r="E14" s="582" t="s">
        <v>698</v>
      </c>
      <c r="F14" s="566" t="s">
        <v>684</v>
      </c>
      <c r="G14" s="568" t="s">
        <v>685</v>
      </c>
      <c r="H14" s="566" t="s">
        <v>684</v>
      </c>
      <c r="I14" s="1026"/>
    </row>
    <row r="15" spans="1:9" s="574" customFormat="1" ht="24.9" customHeight="1">
      <c r="A15" s="1020" t="s">
        <v>284</v>
      </c>
      <c r="B15" s="1022" t="s">
        <v>76</v>
      </c>
      <c r="C15" s="1014" t="s">
        <v>315</v>
      </c>
      <c r="D15" s="598" t="s">
        <v>695</v>
      </c>
      <c r="E15" s="603">
        <v>0.4</v>
      </c>
      <c r="F15" s="570">
        <f>+'Custo Limpeza'!K8</f>
        <v>25149</v>
      </c>
      <c r="G15" s="571">
        <f>+'Custo Limpeza'!K7</f>
        <v>0</v>
      </c>
      <c r="H15" s="572">
        <f>+F15</f>
        <v>25149</v>
      </c>
      <c r="I15" s="573">
        <f>+H15*G15</f>
        <v>0</v>
      </c>
    </row>
    <row r="16" spans="1:9" s="574" customFormat="1" ht="24.9" customHeight="1">
      <c r="A16" s="1021"/>
      <c r="B16" s="1023"/>
      <c r="C16" s="1015"/>
      <c r="D16" s="598" t="s">
        <v>696</v>
      </c>
      <c r="E16" s="603">
        <v>0.4</v>
      </c>
      <c r="F16" s="570">
        <f>+'Custo Limpeza'!K16</f>
        <v>22104</v>
      </c>
      <c r="G16" s="571">
        <f>+'Custo Limpeza'!K15</f>
        <v>0</v>
      </c>
      <c r="H16" s="572">
        <f t="shared" ref="H16:H26" si="0">+F16</f>
        <v>22104</v>
      </c>
      <c r="I16" s="573">
        <f>+H16*G16</f>
        <v>0</v>
      </c>
    </row>
    <row r="17" spans="1:15" s="574" customFormat="1" ht="24.9" customHeight="1">
      <c r="A17" s="1021"/>
      <c r="B17" s="1024"/>
      <c r="C17" s="1016"/>
      <c r="D17" s="598" t="s">
        <v>697</v>
      </c>
      <c r="E17" s="603">
        <v>0.4</v>
      </c>
      <c r="F17" s="570">
        <f>+'Custo Limpeza'!K24</f>
        <v>288</v>
      </c>
      <c r="G17" s="571">
        <f>+'Custo Limpeza'!K23</f>
        <v>0</v>
      </c>
      <c r="H17" s="572">
        <f t="shared" si="0"/>
        <v>288</v>
      </c>
      <c r="I17" s="573">
        <f t="shared" ref="I17:I26" si="1">+H17*G17</f>
        <v>0</v>
      </c>
    </row>
    <row r="18" spans="1:15" s="574" customFormat="1" ht="24.9" customHeight="1">
      <c r="A18" s="1021"/>
      <c r="B18" s="1022" t="str">
        <f>+'Custo Limpeza'!B3</f>
        <v>A.2</v>
      </c>
      <c r="C18" s="1014" t="str">
        <f>+'Custo Limpeza'!C3</f>
        <v>Área Hospitalar Semi-Crítica</v>
      </c>
      <c r="D18" s="598" t="s">
        <v>695</v>
      </c>
      <c r="E18" s="603">
        <v>0.2</v>
      </c>
      <c r="F18" s="570">
        <f>+'Custo Limpeza'!M8</f>
        <v>5871</v>
      </c>
      <c r="G18" s="571">
        <f>+'Custo Limpeza'!M7</f>
        <v>0</v>
      </c>
      <c r="H18" s="572">
        <f t="shared" si="0"/>
        <v>5871</v>
      </c>
      <c r="I18" s="573">
        <f t="shared" si="1"/>
        <v>0</v>
      </c>
    </row>
    <row r="19" spans="1:15" s="574" customFormat="1" ht="24.9" customHeight="1">
      <c r="A19" s="1021"/>
      <c r="B19" s="1024"/>
      <c r="C19" s="1016"/>
      <c r="D19" s="598" t="s">
        <v>695</v>
      </c>
      <c r="E19" s="603">
        <v>0.4</v>
      </c>
      <c r="F19" s="570">
        <f>+'Custo Limpeza'!N8</f>
        <v>128</v>
      </c>
      <c r="G19" s="571">
        <f>+'Custo Limpeza'!N7</f>
        <v>0</v>
      </c>
      <c r="H19" s="572">
        <f t="shared" si="0"/>
        <v>128</v>
      </c>
      <c r="I19" s="573">
        <f t="shared" si="1"/>
        <v>0</v>
      </c>
    </row>
    <row r="20" spans="1:15" s="574" customFormat="1" ht="24.9" customHeight="1">
      <c r="A20" s="1021"/>
      <c r="B20" s="599" t="str">
        <f>+'Custo Limpeza'!B5</f>
        <v xml:space="preserve">   A.3.1</v>
      </c>
      <c r="C20" s="601" t="str">
        <f>+'Custo Limpeza'!C5</f>
        <v>Cozinhas e Copas</v>
      </c>
      <c r="D20" s="598" t="s">
        <v>686</v>
      </c>
      <c r="E20" s="603"/>
      <c r="F20" s="570">
        <f>+'Custo Limpeza'!O24</f>
        <v>3041</v>
      </c>
      <c r="G20" s="571">
        <f>+'Custo Limpeza'!O23</f>
        <v>0</v>
      </c>
      <c r="H20" s="572">
        <f t="shared" si="0"/>
        <v>3041</v>
      </c>
      <c r="I20" s="573">
        <f t="shared" si="1"/>
        <v>0</v>
      </c>
    </row>
    <row r="21" spans="1:15" s="574" customFormat="1" ht="38.25" customHeight="1">
      <c r="A21" s="1021"/>
      <c r="B21" s="599" t="str">
        <f>+'Custo Limpeza'!B6</f>
        <v xml:space="preserve">   A.3.2</v>
      </c>
      <c r="C21" s="601" t="str">
        <f>+'Custo Limpeza'!C6</f>
        <v>Escadas e Acesso ao Telhado</v>
      </c>
      <c r="D21" s="598" t="s">
        <v>686</v>
      </c>
      <c r="E21" s="603"/>
      <c r="F21" s="570">
        <f>+'Custo Limpeza'!P24</f>
        <v>4649</v>
      </c>
      <c r="G21" s="571">
        <f>+'Custo Limpeza'!P23</f>
        <v>0</v>
      </c>
      <c r="H21" s="572">
        <f t="shared" si="0"/>
        <v>4649</v>
      </c>
      <c r="I21" s="573">
        <f t="shared" si="1"/>
        <v>0</v>
      </c>
    </row>
    <row r="22" spans="1:15" s="574" customFormat="1" ht="38.25" customHeight="1">
      <c r="A22" s="1021"/>
      <c r="B22" s="599" t="str">
        <f>+'Custo Limpeza'!B7</f>
        <v xml:space="preserve">   A.3.3</v>
      </c>
      <c r="C22" s="601" t="str">
        <f>+'Custo Limpeza'!C7</f>
        <v>Áreas Ordinárias</v>
      </c>
      <c r="D22" s="598" t="s">
        <v>686</v>
      </c>
      <c r="E22" s="603"/>
      <c r="F22" s="570">
        <f>+'Custo Limpeza'!Q24</f>
        <v>20998</v>
      </c>
      <c r="G22" s="571">
        <f>+'Custo Limpeza'!Q23</f>
        <v>0</v>
      </c>
      <c r="H22" s="572">
        <f t="shared" si="0"/>
        <v>20998</v>
      </c>
      <c r="I22" s="573">
        <f t="shared" si="1"/>
        <v>0</v>
      </c>
    </row>
    <row r="23" spans="1:15" s="574" customFormat="1" ht="42" customHeight="1">
      <c r="A23" s="1021"/>
      <c r="B23" s="599" t="str">
        <f>+'Custo Limpeza'!B8</f>
        <v xml:space="preserve">   A.3.4</v>
      </c>
      <c r="C23" s="601" t="str">
        <f>+'Custo Limpeza'!C8</f>
        <v>Salões, Auditórios, Hall e Corredor</v>
      </c>
      <c r="D23" s="598" t="s">
        <v>686</v>
      </c>
      <c r="E23" s="603"/>
      <c r="F23" s="570">
        <f>+'Custo Limpeza'!R24</f>
        <v>5944</v>
      </c>
      <c r="G23" s="571">
        <f>+'Custo Limpeza'!R23</f>
        <v>0</v>
      </c>
      <c r="H23" s="572">
        <f t="shared" si="0"/>
        <v>5944</v>
      </c>
      <c r="I23" s="573">
        <f t="shared" si="1"/>
        <v>0</v>
      </c>
    </row>
    <row r="24" spans="1:15" s="574" customFormat="1" ht="24.9" customHeight="1">
      <c r="A24" s="581" t="s">
        <v>288</v>
      </c>
      <c r="B24" s="599" t="str">
        <f>+'Custo Limpeza'!B10</f>
        <v>B.1</v>
      </c>
      <c r="C24" s="601" t="str">
        <f>+'Custo Limpeza'!C10</f>
        <v xml:space="preserve">Externa </v>
      </c>
      <c r="D24" s="598" t="s">
        <v>686</v>
      </c>
      <c r="E24" s="603"/>
      <c r="F24" s="570">
        <f>+'Custo Limpeza'!T24</f>
        <v>7895</v>
      </c>
      <c r="G24" s="571">
        <f>+'Custo Limpeza'!T23</f>
        <v>0</v>
      </c>
      <c r="H24" s="572">
        <f t="shared" si="0"/>
        <v>7895</v>
      </c>
      <c r="I24" s="573">
        <f t="shared" si="1"/>
        <v>0</v>
      </c>
    </row>
    <row r="25" spans="1:15" s="574" customFormat="1" ht="24.9" customHeight="1">
      <c r="A25" s="1019" t="s">
        <v>687</v>
      </c>
      <c r="B25" s="600" t="str">
        <f>+'Custo Limpeza'!B11</f>
        <v>C.1</v>
      </c>
      <c r="C25" s="602" t="str">
        <f>+'Custo Limpeza'!C11</f>
        <v>Esquadrias Face Interna</v>
      </c>
      <c r="D25" s="598" t="s">
        <v>686</v>
      </c>
      <c r="E25" s="603"/>
      <c r="F25" s="570">
        <f>+'Custo Limpeza'!U24</f>
        <v>29208</v>
      </c>
      <c r="G25" s="571">
        <f>+'Custo Limpeza'!U23</f>
        <v>0</v>
      </c>
      <c r="H25" s="572">
        <f t="shared" si="0"/>
        <v>29208</v>
      </c>
      <c r="I25" s="573">
        <f t="shared" si="1"/>
        <v>0</v>
      </c>
    </row>
    <row r="26" spans="1:15" s="574" customFormat="1" ht="31.5" customHeight="1">
      <c r="A26" s="1019"/>
      <c r="B26" s="600" t="str">
        <f>+'Custo Limpeza'!B12</f>
        <v>C.2</v>
      </c>
      <c r="C26" s="602" t="str">
        <f>+'Custo Limpeza'!C12</f>
        <v>Esquadrias Face Externa</v>
      </c>
      <c r="D26" s="598" t="s">
        <v>686</v>
      </c>
      <c r="E26" s="603"/>
      <c r="F26" s="570">
        <f>+'Custo Limpeza'!V24</f>
        <v>7571</v>
      </c>
      <c r="G26" s="571">
        <f>+'Custo Limpeza'!V23</f>
        <v>0</v>
      </c>
      <c r="H26" s="572">
        <f t="shared" si="0"/>
        <v>7571</v>
      </c>
      <c r="I26" s="573">
        <f t="shared" si="1"/>
        <v>0</v>
      </c>
    </row>
    <row r="27" spans="1:15" s="574" customFormat="1" ht="24.9" customHeight="1">
      <c r="F27" s="570"/>
      <c r="G27" s="575">
        <f>+F15*G15+F16*G16+F17*G17+F18*G18+F19*G19+F20*G20+F21*G21+F22*G22+F23*G23+F24*G24+F25*G25+F26*G26</f>
        <v>0</v>
      </c>
      <c r="H27" s="572"/>
      <c r="I27" s="575">
        <f>SUM(I15:I26)</f>
        <v>0</v>
      </c>
    </row>
    <row r="28" spans="1:15" ht="5.25" customHeight="1"/>
    <row r="29" spans="1:15">
      <c r="A29" s="577" t="s">
        <v>688</v>
      </c>
    </row>
    <row r="31" spans="1:15">
      <c r="A31" s="1017" t="s">
        <v>689</v>
      </c>
      <c r="B31" s="1017"/>
      <c r="C31" s="1017"/>
      <c r="D31" s="1017"/>
      <c r="E31" s="1017"/>
      <c r="F31" s="1017"/>
      <c r="G31" s="1017" t="s">
        <v>690</v>
      </c>
      <c r="H31" s="1017"/>
      <c r="I31" s="1017"/>
      <c r="J31" s="578"/>
      <c r="K31" s="578"/>
      <c r="L31" s="578"/>
      <c r="M31" s="578"/>
      <c r="N31" s="578"/>
      <c r="O31" s="578"/>
    </row>
    <row r="32" spans="1:15" ht="40.5" customHeight="1">
      <c r="A32" s="1018" t="s">
        <v>562</v>
      </c>
      <c r="B32" s="1018"/>
      <c r="C32" s="1018"/>
      <c r="D32" s="1018"/>
      <c r="E32" s="1018"/>
      <c r="F32" s="1018"/>
      <c r="G32" s="1018" t="s">
        <v>562</v>
      </c>
      <c r="H32" s="1018"/>
      <c r="I32" s="1018"/>
      <c r="J32" s="579"/>
      <c r="N32" s="579"/>
      <c r="O32" s="579"/>
    </row>
    <row r="33" spans="1:15" ht="40.5" customHeight="1">
      <c r="A33" s="1018"/>
      <c r="B33" s="1018"/>
      <c r="C33" s="1018"/>
      <c r="D33" s="1018"/>
      <c r="E33" s="1018"/>
      <c r="F33" s="1018"/>
      <c r="G33" s="1018"/>
      <c r="H33" s="1018"/>
      <c r="I33" s="1018"/>
      <c r="J33" s="579"/>
      <c r="N33" s="579"/>
      <c r="O33" s="579"/>
    </row>
    <row r="34" spans="1:15" ht="40.5" customHeight="1">
      <c r="A34" s="1018"/>
      <c r="B34" s="1018"/>
      <c r="C34" s="1018"/>
      <c r="D34" s="1018"/>
      <c r="E34" s="1018"/>
      <c r="F34" s="1018"/>
      <c r="G34" s="1018"/>
      <c r="H34" s="1018"/>
      <c r="I34" s="1018"/>
      <c r="J34" s="579"/>
      <c r="N34" s="579"/>
      <c r="O34" s="579"/>
    </row>
    <row r="35" spans="1:15">
      <c r="G35" s="579"/>
      <c r="H35" s="579"/>
      <c r="I35" s="579"/>
      <c r="J35" s="579"/>
      <c r="K35" s="579"/>
    </row>
    <row r="36" spans="1:15">
      <c r="G36" s="579"/>
      <c r="H36" s="579"/>
      <c r="I36" s="579"/>
      <c r="J36" s="579"/>
      <c r="K36" s="579"/>
    </row>
    <row r="37" spans="1:15">
      <c r="G37" s="579"/>
      <c r="H37" s="579"/>
      <c r="I37" s="579"/>
      <c r="J37" s="579"/>
      <c r="K37" s="579"/>
    </row>
  </sheetData>
  <mergeCells count="23">
    <mergeCell ref="A8:B8"/>
    <mergeCell ref="A10:B10"/>
    <mergeCell ref="C6:I6"/>
    <mergeCell ref="C8:I8"/>
    <mergeCell ref="A1:A2"/>
    <mergeCell ref="B1:I1"/>
    <mergeCell ref="B2:I2"/>
    <mergeCell ref="A4:I4"/>
    <mergeCell ref="A6:B6"/>
    <mergeCell ref="A32:F34"/>
    <mergeCell ref="G32:I34"/>
    <mergeCell ref="A25:A26"/>
    <mergeCell ref="A15:A23"/>
    <mergeCell ref="B15:B17"/>
    <mergeCell ref="B18:B19"/>
    <mergeCell ref="C10:D10"/>
    <mergeCell ref="C15:C17"/>
    <mergeCell ref="C18:C19"/>
    <mergeCell ref="A31:F31"/>
    <mergeCell ref="G31:I31"/>
    <mergeCell ref="A13:G13"/>
    <mergeCell ref="I13:I14"/>
    <mergeCell ref="A14:B14"/>
  </mergeCells>
  <pageMargins left="0.51181102362204722" right="0.1" top="0.33" bottom="0.78740157480314965" header="0.31496062992125984" footer="0.31496062992125984"/>
  <pageSetup paperSize="9" scale="78"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
  <sheetViews>
    <sheetView workbookViewId="0">
      <selection activeCell="K30" sqref="K30"/>
    </sheetView>
  </sheetViews>
  <sheetFormatPr defaultRowHeight="13.2"/>
  <cols>
    <col min="1" max="1" width="12.453125" customWidth="1"/>
    <col min="2" max="2" width="8.36328125" customWidth="1"/>
    <col min="3" max="3" width="7.08984375" customWidth="1"/>
    <col min="4" max="4" width="6.26953125" customWidth="1"/>
    <col min="10" max="10" width="8.7265625" customWidth="1"/>
    <col min="257" max="257" width="12.453125" customWidth="1"/>
    <col min="258" max="258" width="8.36328125" customWidth="1"/>
    <col min="259" max="259" width="7.08984375" customWidth="1"/>
    <col min="260" max="260" width="6.26953125" customWidth="1"/>
    <col min="266" max="266" width="8.7265625" customWidth="1"/>
    <col min="513" max="513" width="12.453125" customWidth="1"/>
    <col min="514" max="514" width="8.36328125" customWidth="1"/>
    <col min="515" max="515" width="7.08984375" customWidth="1"/>
    <col min="516" max="516" width="6.26953125" customWidth="1"/>
    <col min="522" max="522" width="8.7265625" customWidth="1"/>
    <col min="769" max="769" width="12.453125" customWidth="1"/>
    <col min="770" max="770" width="8.36328125" customWidth="1"/>
    <col min="771" max="771" width="7.08984375" customWidth="1"/>
    <col min="772" max="772" width="6.26953125" customWidth="1"/>
    <col min="778" max="778" width="8.7265625" customWidth="1"/>
    <col min="1025" max="1025" width="12.453125" customWidth="1"/>
    <col min="1026" max="1026" width="8.36328125" customWidth="1"/>
    <col min="1027" max="1027" width="7.08984375" customWidth="1"/>
    <col min="1028" max="1028" width="6.26953125" customWidth="1"/>
    <col min="1034" max="1034" width="8.7265625" customWidth="1"/>
    <col min="1281" max="1281" width="12.453125" customWidth="1"/>
    <col min="1282" max="1282" width="8.36328125" customWidth="1"/>
    <col min="1283" max="1283" width="7.08984375" customWidth="1"/>
    <col min="1284" max="1284" width="6.26953125" customWidth="1"/>
    <col min="1290" max="1290" width="8.7265625" customWidth="1"/>
    <col min="1537" max="1537" width="12.453125" customWidth="1"/>
    <col min="1538" max="1538" width="8.36328125" customWidth="1"/>
    <col min="1539" max="1539" width="7.08984375" customWidth="1"/>
    <col min="1540" max="1540" width="6.26953125" customWidth="1"/>
    <col min="1546" max="1546" width="8.7265625" customWidth="1"/>
    <col min="1793" max="1793" width="12.453125" customWidth="1"/>
    <col min="1794" max="1794" width="8.36328125" customWidth="1"/>
    <col min="1795" max="1795" width="7.08984375" customWidth="1"/>
    <col min="1796" max="1796" width="6.26953125" customWidth="1"/>
    <col min="1802" max="1802" width="8.7265625" customWidth="1"/>
    <col min="2049" max="2049" width="12.453125" customWidth="1"/>
    <col min="2050" max="2050" width="8.36328125" customWidth="1"/>
    <col min="2051" max="2051" width="7.08984375" customWidth="1"/>
    <col min="2052" max="2052" width="6.26953125" customWidth="1"/>
    <col min="2058" max="2058" width="8.7265625" customWidth="1"/>
    <col min="2305" max="2305" width="12.453125" customWidth="1"/>
    <col min="2306" max="2306" width="8.36328125" customWidth="1"/>
    <col min="2307" max="2307" width="7.08984375" customWidth="1"/>
    <col min="2308" max="2308" width="6.26953125" customWidth="1"/>
    <col min="2314" max="2314" width="8.7265625" customWidth="1"/>
    <col min="2561" max="2561" width="12.453125" customWidth="1"/>
    <col min="2562" max="2562" width="8.36328125" customWidth="1"/>
    <col min="2563" max="2563" width="7.08984375" customWidth="1"/>
    <col min="2564" max="2564" width="6.26953125" customWidth="1"/>
    <col min="2570" max="2570" width="8.7265625" customWidth="1"/>
    <col min="2817" max="2817" width="12.453125" customWidth="1"/>
    <col min="2818" max="2818" width="8.36328125" customWidth="1"/>
    <col min="2819" max="2819" width="7.08984375" customWidth="1"/>
    <col min="2820" max="2820" width="6.26953125" customWidth="1"/>
    <col min="2826" max="2826" width="8.7265625" customWidth="1"/>
    <col min="3073" max="3073" width="12.453125" customWidth="1"/>
    <col min="3074" max="3074" width="8.36328125" customWidth="1"/>
    <col min="3075" max="3075" width="7.08984375" customWidth="1"/>
    <col min="3076" max="3076" width="6.26953125" customWidth="1"/>
    <col min="3082" max="3082" width="8.7265625" customWidth="1"/>
    <col min="3329" max="3329" width="12.453125" customWidth="1"/>
    <col min="3330" max="3330" width="8.36328125" customWidth="1"/>
    <col min="3331" max="3331" width="7.08984375" customWidth="1"/>
    <col min="3332" max="3332" width="6.26953125" customWidth="1"/>
    <col min="3338" max="3338" width="8.7265625" customWidth="1"/>
    <col min="3585" max="3585" width="12.453125" customWidth="1"/>
    <col min="3586" max="3586" width="8.36328125" customWidth="1"/>
    <col min="3587" max="3587" width="7.08984375" customWidth="1"/>
    <col min="3588" max="3588" width="6.26953125" customWidth="1"/>
    <col min="3594" max="3594" width="8.7265625" customWidth="1"/>
    <col min="3841" max="3841" width="12.453125" customWidth="1"/>
    <col min="3842" max="3842" width="8.36328125" customWidth="1"/>
    <col min="3843" max="3843" width="7.08984375" customWidth="1"/>
    <col min="3844" max="3844" width="6.26953125" customWidth="1"/>
    <col min="3850" max="3850" width="8.7265625" customWidth="1"/>
    <col min="4097" max="4097" width="12.453125" customWidth="1"/>
    <col min="4098" max="4098" width="8.36328125" customWidth="1"/>
    <col min="4099" max="4099" width="7.08984375" customWidth="1"/>
    <col min="4100" max="4100" width="6.26953125" customWidth="1"/>
    <col min="4106" max="4106" width="8.7265625" customWidth="1"/>
    <col min="4353" max="4353" width="12.453125" customWidth="1"/>
    <col min="4354" max="4354" width="8.36328125" customWidth="1"/>
    <col min="4355" max="4355" width="7.08984375" customWidth="1"/>
    <col min="4356" max="4356" width="6.26953125" customWidth="1"/>
    <col min="4362" max="4362" width="8.7265625" customWidth="1"/>
    <col min="4609" max="4609" width="12.453125" customWidth="1"/>
    <col min="4610" max="4610" width="8.36328125" customWidth="1"/>
    <col min="4611" max="4611" width="7.08984375" customWidth="1"/>
    <col min="4612" max="4612" width="6.26953125" customWidth="1"/>
    <col min="4618" max="4618" width="8.7265625" customWidth="1"/>
    <col min="4865" max="4865" width="12.453125" customWidth="1"/>
    <col min="4866" max="4866" width="8.36328125" customWidth="1"/>
    <col min="4867" max="4867" width="7.08984375" customWidth="1"/>
    <col min="4868" max="4868" width="6.26953125" customWidth="1"/>
    <col min="4874" max="4874" width="8.7265625" customWidth="1"/>
    <col min="5121" max="5121" width="12.453125" customWidth="1"/>
    <col min="5122" max="5122" width="8.36328125" customWidth="1"/>
    <col min="5123" max="5123" width="7.08984375" customWidth="1"/>
    <col min="5124" max="5124" width="6.26953125" customWidth="1"/>
    <col min="5130" max="5130" width="8.7265625" customWidth="1"/>
    <col min="5377" max="5377" width="12.453125" customWidth="1"/>
    <col min="5378" max="5378" width="8.36328125" customWidth="1"/>
    <col min="5379" max="5379" width="7.08984375" customWidth="1"/>
    <col min="5380" max="5380" width="6.26953125" customWidth="1"/>
    <col min="5386" max="5386" width="8.7265625" customWidth="1"/>
    <col min="5633" max="5633" width="12.453125" customWidth="1"/>
    <col min="5634" max="5634" width="8.36328125" customWidth="1"/>
    <col min="5635" max="5635" width="7.08984375" customWidth="1"/>
    <col min="5636" max="5636" width="6.26953125" customWidth="1"/>
    <col min="5642" max="5642" width="8.7265625" customWidth="1"/>
    <col min="5889" max="5889" width="12.453125" customWidth="1"/>
    <col min="5890" max="5890" width="8.36328125" customWidth="1"/>
    <col min="5891" max="5891" width="7.08984375" customWidth="1"/>
    <col min="5892" max="5892" width="6.26953125" customWidth="1"/>
    <col min="5898" max="5898" width="8.7265625" customWidth="1"/>
    <col min="6145" max="6145" width="12.453125" customWidth="1"/>
    <col min="6146" max="6146" width="8.36328125" customWidth="1"/>
    <col min="6147" max="6147" width="7.08984375" customWidth="1"/>
    <col min="6148" max="6148" width="6.26953125" customWidth="1"/>
    <col min="6154" max="6154" width="8.7265625" customWidth="1"/>
    <col min="6401" max="6401" width="12.453125" customWidth="1"/>
    <col min="6402" max="6402" width="8.36328125" customWidth="1"/>
    <col min="6403" max="6403" width="7.08984375" customWidth="1"/>
    <col min="6404" max="6404" width="6.26953125" customWidth="1"/>
    <col min="6410" max="6410" width="8.7265625" customWidth="1"/>
    <col min="6657" max="6657" width="12.453125" customWidth="1"/>
    <col min="6658" max="6658" width="8.36328125" customWidth="1"/>
    <col min="6659" max="6659" width="7.08984375" customWidth="1"/>
    <col min="6660" max="6660" width="6.26953125" customWidth="1"/>
    <col min="6666" max="6666" width="8.7265625" customWidth="1"/>
    <col min="6913" max="6913" width="12.453125" customWidth="1"/>
    <col min="6914" max="6914" width="8.36328125" customWidth="1"/>
    <col min="6915" max="6915" width="7.08984375" customWidth="1"/>
    <col min="6916" max="6916" width="6.26953125" customWidth="1"/>
    <col min="6922" max="6922" width="8.7265625" customWidth="1"/>
    <col min="7169" max="7169" width="12.453125" customWidth="1"/>
    <col min="7170" max="7170" width="8.36328125" customWidth="1"/>
    <col min="7171" max="7171" width="7.08984375" customWidth="1"/>
    <col min="7172" max="7172" width="6.26953125" customWidth="1"/>
    <col min="7178" max="7178" width="8.7265625" customWidth="1"/>
    <col min="7425" max="7425" width="12.453125" customWidth="1"/>
    <col min="7426" max="7426" width="8.36328125" customWidth="1"/>
    <col min="7427" max="7427" width="7.08984375" customWidth="1"/>
    <col min="7428" max="7428" width="6.26953125" customWidth="1"/>
    <col min="7434" max="7434" width="8.7265625" customWidth="1"/>
    <col min="7681" max="7681" width="12.453125" customWidth="1"/>
    <col min="7682" max="7682" width="8.36328125" customWidth="1"/>
    <col min="7683" max="7683" width="7.08984375" customWidth="1"/>
    <col min="7684" max="7684" width="6.26953125" customWidth="1"/>
    <col min="7690" max="7690" width="8.7265625" customWidth="1"/>
    <col min="7937" max="7937" width="12.453125" customWidth="1"/>
    <col min="7938" max="7938" width="8.36328125" customWidth="1"/>
    <col min="7939" max="7939" width="7.08984375" customWidth="1"/>
    <col min="7940" max="7940" width="6.26953125" customWidth="1"/>
    <col min="7946" max="7946" width="8.7265625" customWidth="1"/>
    <col min="8193" max="8193" width="12.453125" customWidth="1"/>
    <col min="8194" max="8194" width="8.36328125" customWidth="1"/>
    <col min="8195" max="8195" width="7.08984375" customWidth="1"/>
    <col min="8196" max="8196" width="6.26953125" customWidth="1"/>
    <col min="8202" max="8202" width="8.7265625" customWidth="1"/>
    <col min="8449" max="8449" width="12.453125" customWidth="1"/>
    <col min="8450" max="8450" width="8.36328125" customWidth="1"/>
    <col min="8451" max="8451" width="7.08984375" customWidth="1"/>
    <col min="8452" max="8452" width="6.26953125" customWidth="1"/>
    <col min="8458" max="8458" width="8.7265625" customWidth="1"/>
    <col min="8705" max="8705" width="12.453125" customWidth="1"/>
    <col min="8706" max="8706" width="8.36328125" customWidth="1"/>
    <col min="8707" max="8707" width="7.08984375" customWidth="1"/>
    <col min="8708" max="8708" width="6.26953125" customWidth="1"/>
    <col min="8714" max="8714" width="8.7265625" customWidth="1"/>
    <col min="8961" max="8961" width="12.453125" customWidth="1"/>
    <col min="8962" max="8962" width="8.36328125" customWidth="1"/>
    <col min="8963" max="8963" width="7.08984375" customWidth="1"/>
    <col min="8964" max="8964" width="6.26953125" customWidth="1"/>
    <col min="8970" max="8970" width="8.7265625" customWidth="1"/>
    <col min="9217" max="9217" width="12.453125" customWidth="1"/>
    <col min="9218" max="9218" width="8.36328125" customWidth="1"/>
    <col min="9219" max="9219" width="7.08984375" customWidth="1"/>
    <col min="9220" max="9220" width="6.26953125" customWidth="1"/>
    <col min="9226" max="9226" width="8.7265625" customWidth="1"/>
    <col min="9473" max="9473" width="12.453125" customWidth="1"/>
    <col min="9474" max="9474" width="8.36328125" customWidth="1"/>
    <col min="9475" max="9475" width="7.08984375" customWidth="1"/>
    <col min="9476" max="9476" width="6.26953125" customWidth="1"/>
    <col min="9482" max="9482" width="8.7265625" customWidth="1"/>
    <col min="9729" max="9729" width="12.453125" customWidth="1"/>
    <col min="9730" max="9730" width="8.36328125" customWidth="1"/>
    <col min="9731" max="9731" width="7.08984375" customWidth="1"/>
    <col min="9732" max="9732" width="6.26953125" customWidth="1"/>
    <col min="9738" max="9738" width="8.7265625" customWidth="1"/>
    <col min="9985" max="9985" width="12.453125" customWidth="1"/>
    <col min="9986" max="9986" width="8.36328125" customWidth="1"/>
    <col min="9987" max="9987" width="7.08984375" customWidth="1"/>
    <col min="9988" max="9988" width="6.26953125" customWidth="1"/>
    <col min="9994" max="9994" width="8.7265625" customWidth="1"/>
    <col min="10241" max="10241" width="12.453125" customWidth="1"/>
    <col min="10242" max="10242" width="8.36328125" customWidth="1"/>
    <col min="10243" max="10243" width="7.08984375" customWidth="1"/>
    <col min="10244" max="10244" width="6.26953125" customWidth="1"/>
    <col min="10250" max="10250" width="8.7265625" customWidth="1"/>
    <col min="10497" max="10497" width="12.453125" customWidth="1"/>
    <col min="10498" max="10498" width="8.36328125" customWidth="1"/>
    <col min="10499" max="10499" width="7.08984375" customWidth="1"/>
    <col min="10500" max="10500" width="6.26953125" customWidth="1"/>
    <col min="10506" max="10506" width="8.7265625" customWidth="1"/>
    <col min="10753" max="10753" width="12.453125" customWidth="1"/>
    <col min="10754" max="10754" width="8.36328125" customWidth="1"/>
    <col min="10755" max="10755" width="7.08984375" customWidth="1"/>
    <col min="10756" max="10756" width="6.26953125" customWidth="1"/>
    <col min="10762" max="10762" width="8.7265625" customWidth="1"/>
    <col min="11009" max="11009" width="12.453125" customWidth="1"/>
    <col min="11010" max="11010" width="8.36328125" customWidth="1"/>
    <col min="11011" max="11011" width="7.08984375" customWidth="1"/>
    <col min="11012" max="11012" width="6.26953125" customWidth="1"/>
    <col min="11018" max="11018" width="8.7265625" customWidth="1"/>
    <col min="11265" max="11265" width="12.453125" customWidth="1"/>
    <col min="11266" max="11266" width="8.36328125" customWidth="1"/>
    <col min="11267" max="11267" width="7.08984375" customWidth="1"/>
    <col min="11268" max="11268" width="6.26953125" customWidth="1"/>
    <col min="11274" max="11274" width="8.7265625" customWidth="1"/>
    <col min="11521" max="11521" width="12.453125" customWidth="1"/>
    <col min="11522" max="11522" width="8.36328125" customWidth="1"/>
    <col min="11523" max="11523" width="7.08984375" customWidth="1"/>
    <col min="11524" max="11524" width="6.26953125" customWidth="1"/>
    <col min="11530" max="11530" width="8.7265625" customWidth="1"/>
    <col min="11777" max="11777" width="12.453125" customWidth="1"/>
    <col min="11778" max="11778" width="8.36328125" customWidth="1"/>
    <col min="11779" max="11779" width="7.08984375" customWidth="1"/>
    <col min="11780" max="11780" width="6.26953125" customWidth="1"/>
    <col min="11786" max="11786" width="8.7265625" customWidth="1"/>
    <col min="12033" max="12033" width="12.453125" customWidth="1"/>
    <col min="12034" max="12034" width="8.36328125" customWidth="1"/>
    <col min="12035" max="12035" width="7.08984375" customWidth="1"/>
    <col min="12036" max="12036" width="6.26953125" customWidth="1"/>
    <col min="12042" max="12042" width="8.7265625" customWidth="1"/>
    <col min="12289" max="12289" width="12.453125" customWidth="1"/>
    <col min="12290" max="12290" width="8.36328125" customWidth="1"/>
    <col min="12291" max="12291" width="7.08984375" customWidth="1"/>
    <col min="12292" max="12292" width="6.26953125" customWidth="1"/>
    <col min="12298" max="12298" width="8.7265625" customWidth="1"/>
    <col min="12545" max="12545" width="12.453125" customWidth="1"/>
    <col min="12546" max="12546" width="8.36328125" customWidth="1"/>
    <col min="12547" max="12547" width="7.08984375" customWidth="1"/>
    <col min="12548" max="12548" width="6.26953125" customWidth="1"/>
    <col min="12554" max="12554" width="8.7265625" customWidth="1"/>
    <col min="12801" max="12801" width="12.453125" customWidth="1"/>
    <col min="12802" max="12802" width="8.36328125" customWidth="1"/>
    <col min="12803" max="12803" width="7.08984375" customWidth="1"/>
    <col min="12804" max="12804" width="6.26953125" customWidth="1"/>
    <col min="12810" max="12810" width="8.7265625" customWidth="1"/>
    <col min="13057" max="13057" width="12.453125" customWidth="1"/>
    <col min="13058" max="13058" width="8.36328125" customWidth="1"/>
    <col min="13059" max="13059" width="7.08984375" customWidth="1"/>
    <col min="13060" max="13060" width="6.26953125" customWidth="1"/>
    <col min="13066" max="13066" width="8.7265625" customWidth="1"/>
    <col min="13313" max="13313" width="12.453125" customWidth="1"/>
    <col min="13314" max="13314" width="8.36328125" customWidth="1"/>
    <col min="13315" max="13315" width="7.08984375" customWidth="1"/>
    <col min="13316" max="13316" width="6.26953125" customWidth="1"/>
    <col min="13322" max="13322" width="8.7265625" customWidth="1"/>
    <col min="13569" max="13569" width="12.453125" customWidth="1"/>
    <col min="13570" max="13570" width="8.36328125" customWidth="1"/>
    <col min="13571" max="13571" width="7.08984375" customWidth="1"/>
    <col min="13572" max="13572" width="6.26953125" customWidth="1"/>
    <col min="13578" max="13578" width="8.7265625" customWidth="1"/>
    <col min="13825" max="13825" width="12.453125" customWidth="1"/>
    <col min="13826" max="13826" width="8.36328125" customWidth="1"/>
    <col min="13827" max="13827" width="7.08984375" customWidth="1"/>
    <col min="13828" max="13828" width="6.26953125" customWidth="1"/>
    <col min="13834" max="13834" width="8.7265625" customWidth="1"/>
    <col min="14081" max="14081" width="12.453125" customWidth="1"/>
    <col min="14082" max="14082" width="8.36328125" customWidth="1"/>
    <col min="14083" max="14083" width="7.08984375" customWidth="1"/>
    <col min="14084" max="14084" width="6.26953125" customWidth="1"/>
    <col min="14090" max="14090" width="8.7265625" customWidth="1"/>
    <col min="14337" max="14337" width="12.453125" customWidth="1"/>
    <col min="14338" max="14338" width="8.36328125" customWidth="1"/>
    <col min="14339" max="14339" width="7.08984375" customWidth="1"/>
    <col min="14340" max="14340" width="6.26953125" customWidth="1"/>
    <col min="14346" max="14346" width="8.7265625" customWidth="1"/>
    <col min="14593" max="14593" width="12.453125" customWidth="1"/>
    <col min="14594" max="14594" width="8.36328125" customWidth="1"/>
    <col min="14595" max="14595" width="7.08984375" customWidth="1"/>
    <col min="14596" max="14596" width="6.26953125" customWidth="1"/>
    <col min="14602" max="14602" width="8.7265625" customWidth="1"/>
    <col min="14849" max="14849" width="12.453125" customWidth="1"/>
    <col min="14850" max="14850" width="8.36328125" customWidth="1"/>
    <col min="14851" max="14851" width="7.08984375" customWidth="1"/>
    <col min="14852" max="14852" width="6.26953125" customWidth="1"/>
    <col min="14858" max="14858" width="8.7265625" customWidth="1"/>
    <col min="15105" max="15105" width="12.453125" customWidth="1"/>
    <col min="15106" max="15106" width="8.36328125" customWidth="1"/>
    <col min="15107" max="15107" width="7.08984375" customWidth="1"/>
    <col min="15108" max="15108" width="6.26953125" customWidth="1"/>
    <col min="15114" max="15114" width="8.7265625" customWidth="1"/>
    <col min="15361" max="15361" width="12.453125" customWidth="1"/>
    <col min="15362" max="15362" width="8.36328125" customWidth="1"/>
    <col min="15363" max="15363" width="7.08984375" customWidth="1"/>
    <col min="15364" max="15364" width="6.26953125" customWidth="1"/>
    <col min="15370" max="15370" width="8.7265625" customWidth="1"/>
    <col min="15617" max="15617" width="12.453125" customWidth="1"/>
    <col min="15618" max="15618" width="8.36328125" customWidth="1"/>
    <col min="15619" max="15619" width="7.08984375" customWidth="1"/>
    <col min="15620" max="15620" width="6.26953125" customWidth="1"/>
    <col min="15626" max="15626" width="8.7265625" customWidth="1"/>
    <col min="15873" max="15873" width="12.453125" customWidth="1"/>
    <col min="15874" max="15874" width="8.36328125" customWidth="1"/>
    <col min="15875" max="15875" width="7.08984375" customWidth="1"/>
    <col min="15876" max="15876" width="6.26953125" customWidth="1"/>
    <col min="15882" max="15882" width="8.7265625" customWidth="1"/>
    <col min="16129" max="16129" width="12.453125" customWidth="1"/>
    <col min="16130" max="16130" width="8.36328125" customWidth="1"/>
    <col min="16131" max="16131" width="7.08984375" customWidth="1"/>
    <col min="16132" max="16132" width="6.26953125" customWidth="1"/>
    <col min="16138" max="16138" width="8.7265625" customWidth="1"/>
  </cols>
  <sheetData>
    <row r="1" spans="1:11" ht="18.600000000000001">
      <c r="A1" s="1087"/>
      <c r="B1" s="1090" t="s">
        <v>632</v>
      </c>
      <c r="C1" s="1091"/>
      <c r="D1" s="1091"/>
      <c r="E1" s="1091"/>
      <c r="F1" s="1091"/>
      <c r="G1" s="1091"/>
      <c r="H1" s="1091"/>
      <c r="I1" s="1091"/>
      <c r="J1" s="1092"/>
    </row>
    <row r="2" spans="1:11">
      <c r="A2" s="1088"/>
      <c r="B2" s="1093" t="s">
        <v>550</v>
      </c>
      <c r="C2" s="1094"/>
      <c r="D2" s="1094"/>
      <c r="E2" s="1094"/>
      <c r="F2" s="1094"/>
      <c r="G2" s="1094"/>
      <c r="H2" s="1094"/>
      <c r="I2" s="1094"/>
      <c r="J2" s="1095"/>
    </row>
    <row r="3" spans="1:11" ht="13.8" thickBot="1">
      <c r="A3" s="1089"/>
      <c r="B3" s="1096" t="s">
        <v>633</v>
      </c>
      <c r="C3" s="1097"/>
      <c r="D3" s="1097"/>
      <c r="E3" s="1097"/>
      <c r="F3" s="1097"/>
      <c r="G3" s="1097"/>
      <c r="H3" s="1097"/>
      <c r="I3" s="1097"/>
      <c r="J3" s="1098"/>
      <c r="K3" s="526"/>
    </row>
    <row r="5" spans="1:11" ht="14.4">
      <c r="A5" s="527" t="s">
        <v>634</v>
      </c>
      <c r="B5" s="1063"/>
      <c r="C5" s="1063"/>
      <c r="D5" s="528"/>
      <c r="E5" s="528"/>
      <c r="F5" s="529"/>
      <c r="G5" s="528"/>
      <c r="H5" s="528"/>
      <c r="I5" s="530" t="s">
        <v>635</v>
      </c>
      <c r="J5" s="531"/>
    </row>
    <row r="6" spans="1:11" ht="14.4">
      <c r="A6" s="532"/>
      <c r="B6" s="528"/>
      <c r="C6" s="528"/>
      <c r="D6" s="528"/>
      <c r="E6" s="528"/>
      <c r="F6" s="529"/>
      <c r="G6" s="528"/>
      <c r="H6" s="528"/>
      <c r="I6" s="528"/>
      <c r="J6" s="528"/>
    </row>
    <row r="7" spans="1:11">
      <c r="A7" s="533" t="s">
        <v>636</v>
      </c>
      <c r="B7" s="1073"/>
      <c r="C7" s="1073"/>
      <c r="D7" s="1073"/>
      <c r="E7" s="1073"/>
      <c r="F7" s="1073"/>
      <c r="G7" s="1073"/>
      <c r="H7" s="1073"/>
      <c r="I7" s="1073"/>
      <c r="J7" s="1073"/>
    </row>
    <row r="8" spans="1:11">
      <c r="A8" s="1072" t="s">
        <v>637</v>
      </c>
      <c r="B8" s="1072"/>
      <c r="C8" s="1073"/>
      <c r="D8" s="1073"/>
      <c r="E8" s="1073"/>
      <c r="F8" s="1073"/>
      <c r="G8" s="1073"/>
      <c r="H8" s="1073"/>
      <c r="I8" s="1073"/>
      <c r="J8" s="1073"/>
    </row>
    <row r="9" spans="1:11">
      <c r="A9" s="1072" t="s">
        <v>638</v>
      </c>
      <c r="B9" s="1072"/>
      <c r="C9" s="1072"/>
      <c r="D9" s="1072"/>
      <c r="E9" s="1073"/>
      <c r="F9" s="1073"/>
      <c r="G9" s="1073"/>
      <c r="H9" s="1073"/>
      <c r="I9" s="1073"/>
      <c r="J9" s="1073"/>
    </row>
    <row r="10" spans="1:11">
      <c r="A10" s="533" t="s">
        <v>639</v>
      </c>
      <c r="B10" s="1073"/>
      <c r="C10" s="1073"/>
      <c r="D10" s="1073"/>
      <c r="E10" s="1073"/>
      <c r="F10" s="1073"/>
      <c r="G10" s="1073"/>
      <c r="H10" s="1073"/>
      <c r="I10" s="1073"/>
      <c r="J10" s="1073"/>
    </row>
    <row r="11" spans="1:11">
      <c r="A11" s="1074" t="s">
        <v>640</v>
      </c>
      <c r="B11" s="1075"/>
      <c r="C11" s="1075"/>
      <c r="D11" s="1076"/>
      <c r="E11" s="1080">
        <v>1</v>
      </c>
      <c r="F11" s="1081"/>
      <c r="G11" s="1081"/>
      <c r="H11" s="1081"/>
      <c r="I11" s="1081"/>
      <c r="J11" s="1081"/>
    </row>
    <row r="12" spans="1:11" ht="13.8" thickBot="1">
      <c r="A12" s="1077"/>
      <c r="B12" s="1078"/>
      <c r="C12" s="1078"/>
      <c r="D12" s="1079"/>
      <c r="E12" s="1082"/>
      <c r="F12" s="1083"/>
      <c r="G12" s="1083"/>
      <c r="H12" s="1083"/>
      <c r="I12" s="1083"/>
      <c r="J12" s="1083"/>
    </row>
    <row r="13" spans="1:11">
      <c r="A13" s="1084" t="s">
        <v>641</v>
      </c>
      <c r="B13" s="1085"/>
      <c r="C13" s="1085"/>
      <c r="D13" s="1085"/>
      <c r="E13" s="1085"/>
      <c r="F13" s="1085"/>
      <c r="G13" s="1085"/>
      <c r="H13" s="1085"/>
      <c r="I13" s="1086"/>
      <c r="J13" s="534" t="s">
        <v>642</v>
      </c>
    </row>
    <row r="14" spans="1:11">
      <c r="A14" s="527" t="s">
        <v>552</v>
      </c>
      <c r="B14" s="1063"/>
      <c r="C14" s="1063"/>
      <c r="D14" s="1063"/>
      <c r="E14" s="1063"/>
      <c r="F14" s="1063"/>
      <c r="G14" s="1063"/>
      <c r="H14" s="1063"/>
      <c r="I14" s="1063"/>
      <c r="J14" s="535"/>
    </row>
    <row r="15" spans="1:11">
      <c r="A15" s="527" t="s">
        <v>552</v>
      </c>
      <c r="B15" s="1063"/>
      <c r="C15" s="1063"/>
      <c r="D15" s="1063"/>
      <c r="E15" s="1063"/>
      <c r="F15" s="1063"/>
      <c r="G15" s="1063"/>
      <c r="H15" s="1063"/>
      <c r="I15" s="1063"/>
      <c r="J15" s="535"/>
    </row>
    <row r="16" spans="1:11">
      <c r="A16" s="527" t="s">
        <v>552</v>
      </c>
      <c r="B16" s="1063"/>
      <c r="C16" s="1063"/>
      <c r="D16" s="1063"/>
      <c r="E16" s="1063"/>
      <c r="F16" s="1063"/>
      <c r="G16" s="1063"/>
      <c r="H16" s="1063"/>
      <c r="I16" s="1063"/>
      <c r="J16" s="535"/>
    </row>
    <row r="17" spans="1:10">
      <c r="A17" s="527" t="s">
        <v>552</v>
      </c>
      <c r="B17" s="1063"/>
      <c r="C17" s="1063"/>
      <c r="D17" s="1063"/>
      <c r="E17" s="1063"/>
      <c r="F17" s="1063"/>
      <c r="G17" s="1063"/>
      <c r="H17" s="1063"/>
      <c r="I17" s="1063"/>
      <c r="J17" s="535"/>
    </row>
    <row r="18" spans="1:10">
      <c r="A18" s="527" t="s">
        <v>552</v>
      </c>
      <c r="B18" s="1063"/>
      <c r="C18" s="1063"/>
      <c r="D18" s="1063"/>
      <c r="E18" s="1063"/>
      <c r="F18" s="1063"/>
      <c r="G18" s="1063"/>
      <c r="H18" s="1063"/>
      <c r="I18" s="1063"/>
      <c r="J18" s="535"/>
    </row>
    <row r="19" spans="1:10">
      <c r="A19" s="527" t="s">
        <v>552</v>
      </c>
      <c r="B19" s="1063"/>
      <c r="C19" s="1063"/>
      <c r="D19" s="1063"/>
      <c r="E19" s="1063"/>
      <c r="F19" s="1063"/>
      <c r="G19" s="1063"/>
      <c r="H19" s="1063"/>
      <c r="I19" s="1063"/>
      <c r="J19" s="535"/>
    </row>
    <row r="20" spans="1:10">
      <c r="A20" s="527" t="s">
        <v>552</v>
      </c>
      <c r="B20" s="1063"/>
      <c r="C20" s="1063"/>
      <c r="D20" s="1063"/>
      <c r="E20" s="1063"/>
      <c r="F20" s="1063"/>
      <c r="G20" s="1063"/>
      <c r="H20" s="1063"/>
      <c r="I20" s="1063"/>
      <c r="J20" s="535"/>
    </row>
    <row r="21" spans="1:10">
      <c r="A21" s="527" t="s">
        <v>552</v>
      </c>
      <c r="B21" s="1063"/>
      <c r="C21" s="1063"/>
      <c r="D21" s="1063"/>
      <c r="E21" s="1063"/>
      <c r="F21" s="1063"/>
      <c r="G21" s="1063"/>
      <c r="H21" s="1063"/>
      <c r="I21" s="1063"/>
      <c r="J21" s="535"/>
    </row>
    <row r="22" spans="1:10">
      <c r="A22" s="527" t="s">
        <v>552</v>
      </c>
      <c r="B22" s="1063"/>
      <c r="C22" s="1063"/>
      <c r="D22" s="1063"/>
      <c r="E22" s="1063"/>
      <c r="F22" s="1063"/>
      <c r="G22" s="1063"/>
      <c r="H22" s="1063"/>
      <c r="I22" s="1063"/>
      <c r="J22" s="535"/>
    </row>
    <row r="23" spans="1:10">
      <c r="A23" s="527" t="s">
        <v>552</v>
      </c>
      <c r="B23" s="1063"/>
      <c r="C23" s="1063"/>
      <c r="D23" s="1063"/>
      <c r="E23" s="1063"/>
      <c r="F23" s="1063"/>
      <c r="G23" s="1063"/>
      <c r="H23" s="1063"/>
      <c r="I23" s="1063"/>
      <c r="J23" s="535"/>
    </row>
    <row r="24" spans="1:10">
      <c r="A24" s="527" t="s">
        <v>552</v>
      </c>
      <c r="B24" s="1063"/>
      <c r="C24" s="1063"/>
      <c r="D24" s="1063"/>
      <c r="E24" s="1063"/>
      <c r="F24" s="1063"/>
      <c r="G24" s="1063"/>
      <c r="H24" s="1063"/>
      <c r="I24" s="1063"/>
      <c r="J24" s="535"/>
    </row>
    <row r="25" spans="1:10">
      <c r="A25" s="527" t="s">
        <v>552</v>
      </c>
      <c r="B25" s="1063"/>
      <c r="C25" s="1063"/>
      <c r="D25" s="1063"/>
      <c r="E25" s="1063"/>
      <c r="F25" s="1063"/>
      <c r="G25" s="1063"/>
      <c r="H25" s="1063"/>
      <c r="I25" s="1063"/>
      <c r="J25" s="535"/>
    </row>
    <row r="26" spans="1:10">
      <c r="A26" s="527" t="s">
        <v>552</v>
      </c>
      <c r="B26" s="1063"/>
      <c r="C26" s="1063"/>
      <c r="D26" s="1063"/>
      <c r="E26" s="1063"/>
      <c r="F26" s="1063"/>
      <c r="G26" s="1063"/>
      <c r="H26" s="1063"/>
      <c r="I26" s="1063"/>
      <c r="J26" s="535"/>
    </row>
    <row r="27" spans="1:10">
      <c r="A27" s="527" t="s">
        <v>552</v>
      </c>
      <c r="B27" s="1063"/>
      <c r="C27" s="1063"/>
      <c r="D27" s="1063"/>
      <c r="E27" s="1063"/>
      <c r="F27" s="1063"/>
      <c r="G27" s="1063"/>
      <c r="H27" s="1063"/>
      <c r="I27" s="1063"/>
      <c r="J27" s="535"/>
    </row>
    <row r="28" spans="1:10">
      <c r="A28" s="527" t="s">
        <v>552</v>
      </c>
      <c r="B28" s="1063"/>
      <c r="C28" s="1063"/>
      <c r="D28" s="1063"/>
      <c r="E28" s="1063"/>
      <c r="F28" s="1063"/>
      <c r="G28" s="1063"/>
      <c r="H28" s="1063"/>
      <c r="I28" s="1063"/>
      <c r="J28" s="535"/>
    </row>
    <row r="29" spans="1:10">
      <c r="A29" s="527" t="s">
        <v>552</v>
      </c>
      <c r="B29" s="1063"/>
      <c r="C29" s="1063"/>
      <c r="D29" s="1063"/>
      <c r="E29" s="1063"/>
      <c r="F29" s="1063"/>
      <c r="G29" s="1063"/>
      <c r="H29" s="1063"/>
      <c r="I29" s="1063"/>
      <c r="J29" s="535"/>
    </row>
    <row r="30" spans="1:10">
      <c r="A30" s="527" t="s">
        <v>552</v>
      </c>
      <c r="B30" s="1063"/>
      <c r="C30" s="1063"/>
      <c r="D30" s="1063"/>
      <c r="E30" s="1063"/>
      <c r="F30" s="1063"/>
      <c r="G30" s="1063"/>
      <c r="H30" s="1063"/>
      <c r="I30" s="1063"/>
      <c r="J30" s="535"/>
    </row>
    <row r="31" spans="1:10">
      <c r="A31" s="527" t="s">
        <v>552</v>
      </c>
      <c r="B31" s="1063"/>
      <c r="C31" s="1063"/>
      <c r="D31" s="1063"/>
      <c r="E31" s="1063"/>
      <c r="F31" s="1063"/>
      <c r="G31" s="1063"/>
      <c r="H31" s="1063"/>
      <c r="I31" s="1063"/>
      <c r="J31" s="535"/>
    </row>
    <row r="32" spans="1:10">
      <c r="A32" s="527" t="s">
        <v>552</v>
      </c>
      <c r="B32" s="1063"/>
      <c r="C32" s="1063"/>
      <c r="D32" s="1063"/>
      <c r="E32" s="1063"/>
      <c r="F32" s="1063"/>
      <c r="G32" s="1063"/>
      <c r="H32" s="1063"/>
      <c r="I32" s="1063"/>
      <c r="J32" s="535"/>
    </row>
    <row r="33" spans="1:10">
      <c r="A33" s="527" t="s">
        <v>552</v>
      </c>
      <c r="B33" s="1063"/>
      <c r="C33" s="1063"/>
      <c r="D33" s="1063"/>
      <c r="E33" s="1063"/>
      <c r="F33" s="1063"/>
      <c r="G33" s="1063"/>
      <c r="H33" s="1063"/>
      <c r="I33" s="1063"/>
      <c r="J33" s="535"/>
    </row>
    <row r="34" spans="1:10">
      <c r="A34" s="1064" t="s">
        <v>643</v>
      </c>
      <c r="B34" s="1065"/>
      <c r="C34" s="1065"/>
      <c r="D34" s="1065"/>
      <c r="E34" s="1065"/>
      <c r="F34" s="1065"/>
      <c r="G34" s="1065"/>
      <c r="H34" s="1065"/>
      <c r="I34" s="1065"/>
      <c r="J34" s="536">
        <f>SUM(J14:J33)/E11</f>
        <v>0</v>
      </c>
    </row>
    <row r="35" spans="1:10" ht="13.8" thickBot="1">
      <c r="A35" s="1066" t="s">
        <v>644</v>
      </c>
      <c r="B35" s="1067"/>
      <c r="C35" s="1067"/>
      <c r="D35" s="1067"/>
      <c r="E35" s="1067"/>
      <c r="F35" s="1067"/>
      <c r="G35" s="1067"/>
      <c r="H35" s="1067"/>
      <c r="I35" s="1067"/>
      <c r="J35" s="537" t="str">
        <f>IF(J34&gt;=93,"A",IF(J34&gt;=90,"B",IF(J34&gt;=88,"C",IF(J34&gt;=86,"D",IF(J34&gt;=84,"E",IF(J34&gt;=82,"F","G"))))))</f>
        <v>G</v>
      </c>
    </row>
    <row r="37" spans="1:10">
      <c r="A37" s="538" t="s">
        <v>645</v>
      </c>
      <c r="B37" s="1068" t="s">
        <v>646</v>
      </c>
      <c r="C37" s="1068"/>
      <c r="D37" s="1068"/>
      <c r="F37" s="1069" t="s">
        <v>647</v>
      </c>
      <c r="G37" s="1070"/>
      <c r="H37" s="1070"/>
      <c r="I37" s="1071"/>
    </row>
    <row r="38" spans="1:10">
      <c r="A38" s="539" t="s">
        <v>4</v>
      </c>
      <c r="B38" s="1043" t="s">
        <v>648</v>
      </c>
      <c r="C38" s="1044"/>
      <c r="D38" s="1044"/>
      <c r="F38" s="540" t="s">
        <v>649</v>
      </c>
      <c r="G38" s="541"/>
      <c r="H38" s="540" t="s">
        <v>650</v>
      </c>
      <c r="I38" s="541"/>
    </row>
    <row r="39" spans="1:10">
      <c r="A39" s="539" t="s">
        <v>6</v>
      </c>
      <c r="B39" s="1043" t="s">
        <v>651</v>
      </c>
      <c r="C39" s="1044"/>
      <c r="D39" s="1044"/>
      <c r="F39" s="540" t="s">
        <v>652</v>
      </c>
      <c r="G39" s="541"/>
      <c r="H39" s="540" t="s">
        <v>653</v>
      </c>
      <c r="I39" s="541"/>
    </row>
    <row r="40" spans="1:10">
      <c r="A40" s="539" t="s">
        <v>9</v>
      </c>
      <c r="B40" s="1043" t="s">
        <v>654</v>
      </c>
      <c r="C40" s="1044"/>
      <c r="D40" s="1044"/>
      <c r="F40" s="540" t="s">
        <v>655</v>
      </c>
      <c r="G40" s="541"/>
      <c r="H40" s="540" t="s">
        <v>656</v>
      </c>
      <c r="I40" s="541"/>
    </row>
    <row r="41" spans="1:10">
      <c r="A41" s="539" t="s">
        <v>11</v>
      </c>
      <c r="B41" s="1043" t="s">
        <v>657</v>
      </c>
      <c r="C41" s="1044"/>
      <c r="D41" s="1044"/>
      <c r="F41" s="540" t="s">
        <v>658</v>
      </c>
      <c r="G41" s="541"/>
      <c r="H41" s="540" t="s">
        <v>659</v>
      </c>
      <c r="I41" s="541"/>
    </row>
    <row r="42" spans="1:10">
      <c r="A42" s="539" t="s">
        <v>37</v>
      </c>
      <c r="B42" s="1043" t="s">
        <v>660</v>
      </c>
      <c r="C42" s="1044"/>
      <c r="D42" s="1044"/>
      <c r="F42" s="540" t="s">
        <v>661</v>
      </c>
      <c r="G42" s="541"/>
      <c r="H42" s="540" t="s">
        <v>662</v>
      </c>
      <c r="I42" s="541"/>
    </row>
    <row r="43" spans="1:10">
      <c r="A43" s="539" t="s">
        <v>39</v>
      </c>
      <c r="B43" s="1043" t="s">
        <v>663</v>
      </c>
      <c r="C43" s="1044"/>
      <c r="D43" s="1044"/>
      <c r="F43" s="540" t="s">
        <v>664</v>
      </c>
      <c r="G43" s="541"/>
      <c r="H43" s="540" t="s">
        <v>665</v>
      </c>
      <c r="I43" s="541"/>
    </row>
    <row r="44" spans="1:10">
      <c r="A44" s="539" t="s">
        <v>41</v>
      </c>
      <c r="B44" s="1043" t="s">
        <v>666</v>
      </c>
      <c r="C44" s="1044"/>
      <c r="D44" s="1044"/>
      <c r="F44" s="1045" t="s">
        <v>667</v>
      </c>
      <c r="G44" s="1046"/>
      <c r="H44" s="1047"/>
      <c r="I44" s="541"/>
    </row>
    <row r="45" spans="1:10">
      <c r="A45" s="542"/>
      <c r="B45" s="543"/>
      <c r="C45" s="544"/>
      <c r="D45" s="544"/>
      <c r="F45" s="545"/>
      <c r="G45" s="545"/>
      <c r="H45" s="545"/>
      <c r="I45" s="546"/>
    </row>
    <row r="46" spans="1:10">
      <c r="A46" s="539" t="s">
        <v>668</v>
      </c>
      <c r="B46" s="547"/>
      <c r="C46" s="548"/>
      <c r="D46" s="549"/>
      <c r="F46" s="550"/>
      <c r="G46" s="546"/>
      <c r="H46" s="550"/>
      <c r="I46" s="546"/>
    </row>
    <row r="47" spans="1:10" ht="13.8" thickBot="1"/>
    <row r="48" spans="1:10">
      <c r="A48" s="1048" t="s">
        <v>669</v>
      </c>
      <c r="B48" s="1049"/>
      <c r="C48" s="1049"/>
      <c r="D48" s="1050"/>
      <c r="E48" s="1057" t="s">
        <v>670</v>
      </c>
      <c r="F48" s="1057"/>
      <c r="G48" s="1057"/>
      <c r="H48" s="1057" t="s">
        <v>671</v>
      </c>
      <c r="I48" s="1057"/>
      <c r="J48" s="1060"/>
    </row>
    <row r="49" spans="1:10">
      <c r="A49" s="1051"/>
      <c r="B49" s="1052"/>
      <c r="C49" s="1052"/>
      <c r="D49" s="1053"/>
      <c r="E49" s="1058"/>
      <c r="F49" s="1058"/>
      <c r="G49" s="1058"/>
      <c r="H49" s="1058"/>
      <c r="I49" s="1058"/>
      <c r="J49" s="1061"/>
    </row>
    <row r="50" spans="1:10">
      <c r="A50" s="1051"/>
      <c r="B50" s="1052"/>
      <c r="C50" s="1052"/>
      <c r="D50" s="1053"/>
      <c r="E50" s="1058"/>
      <c r="F50" s="1058"/>
      <c r="G50" s="1058"/>
      <c r="H50" s="1058"/>
      <c r="I50" s="1058"/>
      <c r="J50" s="1061"/>
    </row>
    <row r="51" spans="1:10">
      <c r="A51" s="1051"/>
      <c r="B51" s="1052"/>
      <c r="C51" s="1052"/>
      <c r="D51" s="1053"/>
      <c r="E51" s="1058"/>
      <c r="F51" s="1058"/>
      <c r="G51" s="1058"/>
      <c r="H51" s="1058"/>
      <c r="I51" s="1058"/>
      <c r="J51" s="1061"/>
    </row>
    <row r="52" spans="1:10" ht="13.8" thickBot="1">
      <c r="A52" s="1054"/>
      <c r="B52" s="1055"/>
      <c r="C52" s="1055"/>
      <c r="D52" s="1056"/>
      <c r="E52" s="1059"/>
      <c r="F52" s="1059"/>
      <c r="G52" s="1059"/>
      <c r="H52" s="1059"/>
      <c r="I52" s="1059"/>
      <c r="J52" s="1062"/>
    </row>
    <row r="75" spans="1:11">
      <c r="A75" s="551"/>
    </row>
    <row r="76" spans="1:11">
      <c r="A76" s="551"/>
      <c r="B76" s="551"/>
      <c r="C76" s="551"/>
      <c r="D76" s="551"/>
      <c r="E76" s="551"/>
      <c r="F76" s="551"/>
      <c r="G76" s="551"/>
      <c r="H76" s="551"/>
      <c r="I76" s="551"/>
      <c r="J76" s="551"/>
      <c r="K76" s="551"/>
    </row>
    <row r="77" spans="1:11">
      <c r="A77" s="546"/>
      <c r="B77" s="552"/>
      <c r="C77" s="552"/>
      <c r="D77" s="552"/>
      <c r="E77" s="552"/>
      <c r="F77" s="552"/>
      <c r="G77" s="553"/>
      <c r="H77" s="553"/>
      <c r="I77" s="553"/>
      <c r="J77" s="553"/>
      <c r="K77" s="553"/>
    </row>
    <row r="78" spans="1:11">
      <c r="A78" s="554"/>
    </row>
    <row r="80" spans="1:11">
      <c r="A80" s="554"/>
    </row>
    <row r="81" spans="1:1">
      <c r="A81" s="551"/>
    </row>
    <row r="82" spans="1:1">
      <c r="A82" s="551"/>
    </row>
  </sheetData>
  <mergeCells count="49">
    <mergeCell ref="B7:J7"/>
    <mergeCell ref="A1:A3"/>
    <mergeCell ref="B1:J1"/>
    <mergeCell ref="B2:J2"/>
    <mergeCell ref="B3:J3"/>
    <mergeCell ref="B5:C5"/>
    <mergeCell ref="B18:I18"/>
    <mergeCell ref="A8:B8"/>
    <mergeCell ref="C8:J8"/>
    <mergeCell ref="A9:D9"/>
    <mergeCell ref="E9:J9"/>
    <mergeCell ref="B10:J10"/>
    <mergeCell ref="A11:D12"/>
    <mergeCell ref="E11:J12"/>
    <mergeCell ref="A13:I13"/>
    <mergeCell ref="B14:I14"/>
    <mergeCell ref="B15:I15"/>
    <mergeCell ref="B16:I16"/>
    <mergeCell ref="B17:I17"/>
    <mergeCell ref="B30:I30"/>
    <mergeCell ref="B19:I19"/>
    <mergeCell ref="B20:I20"/>
    <mergeCell ref="B21:I21"/>
    <mergeCell ref="B22:I22"/>
    <mergeCell ref="B23:I23"/>
    <mergeCell ref="B24:I24"/>
    <mergeCell ref="B25:I25"/>
    <mergeCell ref="B26:I26"/>
    <mergeCell ref="B27:I27"/>
    <mergeCell ref="B28:I28"/>
    <mergeCell ref="B29:I29"/>
    <mergeCell ref="B43:D43"/>
    <mergeCell ref="B31:I31"/>
    <mergeCell ref="B32:I32"/>
    <mergeCell ref="B33:I33"/>
    <mergeCell ref="A34:I34"/>
    <mergeCell ref="A35:I35"/>
    <mergeCell ref="B37:D37"/>
    <mergeCell ref="F37:I37"/>
    <mergeCell ref="B38:D38"/>
    <mergeCell ref="B39:D39"/>
    <mergeCell ref="B40:D40"/>
    <mergeCell ref="B41:D41"/>
    <mergeCell ref="B42:D42"/>
    <mergeCell ref="B44:D44"/>
    <mergeCell ref="F44:H44"/>
    <mergeCell ref="A48:D52"/>
    <mergeCell ref="E48:G52"/>
    <mergeCell ref="H48:J52"/>
  </mergeCells>
  <pageMargins left="0.51181102362204722" right="0.51181102362204722" top="0.78740157480314965" bottom="0.78740157480314965" header="0.31496062992125984" footer="0.31496062992125984"/>
  <pageSetup paperSize="9" scale="9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499984740745262"/>
  </sheetPr>
  <dimension ref="A1:G168"/>
  <sheetViews>
    <sheetView topLeftCell="A146" workbookViewId="0">
      <selection activeCell="B176" sqref="B176"/>
    </sheetView>
  </sheetViews>
  <sheetFormatPr defaultRowHeight="13.2"/>
  <cols>
    <col min="1" max="1" width="5.6328125" customWidth="1"/>
    <col min="2" max="2" width="50.453125" customWidth="1"/>
    <col min="3" max="3" width="9.36328125" bestFit="1" customWidth="1"/>
    <col min="4" max="4" width="15.6328125" customWidth="1"/>
    <col min="5" max="5" width="11.7265625" bestFit="1" customWidth="1"/>
  </cols>
  <sheetData>
    <row r="1" spans="1:6">
      <c r="A1" s="718" t="s">
        <v>22</v>
      </c>
      <c r="B1" s="719"/>
      <c r="C1" s="719"/>
      <c r="D1" s="720"/>
      <c r="E1" s="6"/>
      <c r="F1" s="6"/>
    </row>
    <row r="3" spans="1:6">
      <c r="A3" s="721" t="s">
        <v>23</v>
      </c>
      <c r="B3" s="722"/>
      <c r="C3" s="722"/>
      <c r="D3" s="723"/>
    </row>
    <row r="4" spans="1:6" s="9" customFormat="1">
      <c r="A4" s="7">
        <v>1</v>
      </c>
      <c r="B4" s="8" t="s">
        <v>24</v>
      </c>
      <c r="C4" s="724" t="s">
        <v>274</v>
      </c>
      <c r="D4" s="725"/>
    </row>
    <row r="5" spans="1:6" s="9" customFormat="1">
      <c r="A5" s="7">
        <v>2</v>
      </c>
      <c r="B5" s="8" t="s">
        <v>25</v>
      </c>
      <c r="C5" s="726" t="s">
        <v>270</v>
      </c>
      <c r="D5" s="727"/>
    </row>
    <row r="6" spans="1:6" s="9" customFormat="1">
      <c r="A6" s="7">
        <v>3</v>
      </c>
      <c r="B6" s="8" t="s">
        <v>26</v>
      </c>
      <c r="C6" s="728">
        <f>+Resumo!H19</f>
        <v>0</v>
      </c>
      <c r="D6" s="728"/>
    </row>
    <row r="7" spans="1:6" s="9" customFormat="1" ht="34.5" customHeight="1">
      <c r="A7" s="7">
        <v>4</v>
      </c>
      <c r="B7" s="8" t="s">
        <v>27</v>
      </c>
      <c r="C7" s="729" t="s">
        <v>256</v>
      </c>
      <c r="D7" s="730"/>
    </row>
    <row r="8" spans="1:6" s="9" customFormat="1">
      <c r="A8" s="7">
        <v>5</v>
      </c>
      <c r="B8" s="8" t="s">
        <v>28</v>
      </c>
      <c r="C8" s="731">
        <v>43524</v>
      </c>
      <c r="D8" s="727"/>
    </row>
    <row r="9" spans="1:6">
      <c r="D9" s="10"/>
    </row>
    <row r="10" spans="1:6">
      <c r="A10" s="732" t="s">
        <v>29</v>
      </c>
      <c r="B10" s="733"/>
      <c r="C10" s="733"/>
      <c r="D10" s="733"/>
    </row>
    <row r="11" spans="1:6">
      <c r="A11" s="11">
        <v>1</v>
      </c>
      <c r="B11" s="12" t="s">
        <v>30</v>
      </c>
      <c r="C11" s="13" t="s">
        <v>31</v>
      </c>
      <c r="D11" s="14" t="s">
        <v>32</v>
      </c>
    </row>
    <row r="12" spans="1:6">
      <c r="A12" s="15" t="s">
        <v>4</v>
      </c>
      <c r="B12" s="734" t="s">
        <v>33</v>
      </c>
      <c r="C12" s="734"/>
      <c r="D12" s="17">
        <f>+C6</f>
        <v>0</v>
      </c>
    </row>
    <row r="13" spans="1:6">
      <c r="A13" s="15" t="s">
        <v>6</v>
      </c>
      <c r="B13" s="18" t="s">
        <v>34</v>
      </c>
      <c r="C13" s="19"/>
      <c r="D13" s="17"/>
      <c r="E13" s="20"/>
    </row>
    <row r="14" spans="1:6">
      <c r="A14" s="7" t="s">
        <v>9</v>
      </c>
      <c r="B14" s="145" t="s">
        <v>35</v>
      </c>
      <c r="C14" s="146"/>
      <c r="D14" s="147">
        <f>+C14*D12</f>
        <v>0</v>
      </c>
    </row>
    <row r="15" spans="1:6">
      <c r="A15" s="15" t="s">
        <v>11</v>
      </c>
      <c r="B15" s="734" t="s">
        <v>36</v>
      </c>
      <c r="C15" s="734"/>
      <c r="D15" s="17"/>
    </row>
    <row r="16" spans="1:6">
      <c r="A16" s="15" t="s">
        <v>37</v>
      </c>
      <c r="B16" s="734" t="s">
        <v>38</v>
      </c>
      <c r="C16" s="734"/>
      <c r="D16" s="17"/>
    </row>
    <row r="17" spans="1:6">
      <c r="A17" s="15" t="s">
        <v>39</v>
      </c>
      <c r="B17" s="716" t="s">
        <v>40</v>
      </c>
      <c r="C17" s="717"/>
      <c r="D17" s="17"/>
    </row>
    <row r="18" spans="1:6">
      <c r="A18" s="15" t="s">
        <v>41</v>
      </c>
      <c r="B18" s="734" t="s">
        <v>42</v>
      </c>
      <c r="C18" s="734"/>
      <c r="D18" s="17"/>
    </row>
    <row r="19" spans="1:6">
      <c r="A19" s="15" t="s">
        <v>43</v>
      </c>
      <c r="B19" s="716" t="s">
        <v>44</v>
      </c>
      <c r="C19" s="717"/>
      <c r="D19" s="21"/>
    </row>
    <row r="20" spans="1:6">
      <c r="A20" s="15" t="s">
        <v>45</v>
      </c>
      <c r="B20" s="18" t="s">
        <v>46</v>
      </c>
      <c r="C20" s="19"/>
      <c r="D20" s="17"/>
    </row>
    <row r="21" spans="1:6">
      <c r="A21" s="15" t="s">
        <v>47</v>
      </c>
      <c r="B21" s="735" t="s">
        <v>48</v>
      </c>
      <c r="C21" s="653"/>
      <c r="D21" s="22"/>
      <c r="F21" s="23"/>
    </row>
    <row r="22" spans="1:6">
      <c r="A22" s="15" t="s">
        <v>49</v>
      </c>
      <c r="B22" s="734" t="s">
        <v>50</v>
      </c>
      <c r="C22" s="734"/>
      <c r="D22" s="22"/>
    </row>
    <row r="23" spans="1:6">
      <c r="A23" s="736" t="s">
        <v>21</v>
      </c>
      <c r="B23" s="736"/>
      <c r="C23" s="736"/>
      <c r="D23" s="24">
        <f>SUM(D12:D22)</f>
        <v>0</v>
      </c>
    </row>
    <row r="25" spans="1:6">
      <c r="A25" s="732" t="s">
        <v>51</v>
      </c>
      <c r="B25" s="733"/>
      <c r="C25" s="733"/>
      <c r="D25" s="733"/>
    </row>
    <row r="27" spans="1:6">
      <c r="A27" s="732" t="s">
        <v>52</v>
      </c>
      <c r="B27" s="733"/>
      <c r="C27" s="733"/>
      <c r="D27" s="733"/>
    </row>
    <row r="28" spans="1:6">
      <c r="A28" s="25" t="s">
        <v>53</v>
      </c>
      <c r="B28" s="26" t="s">
        <v>54</v>
      </c>
      <c r="C28" s="27" t="s">
        <v>31</v>
      </c>
      <c r="D28" s="28" t="s">
        <v>32</v>
      </c>
    </row>
    <row r="29" spans="1:6">
      <c r="A29" s="15" t="s">
        <v>4</v>
      </c>
      <c r="B29" s="29" t="s">
        <v>55</v>
      </c>
      <c r="C29" s="30" t="e">
        <f>ROUND(+D29/$D$23,4)</f>
        <v>#DIV/0!</v>
      </c>
      <c r="D29" s="22">
        <f>ROUND(+D23/12,2)</f>
        <v>0</v>
      </c>
    </row>
    <row r="30" spans="1:6">
      <c r="A30" s="31" t="s">
        <v>6</v>
      </c>
      <c r="B30" s="32" t="s">
        <v>56</v>
      </c>
      <c r="C30" s="33" t="e">
        <f>ROUND(+D30/$D$23,4)</f>
        <v>#DIV/0!</v>
      </c>
      <c r="D30" s="34">
        <f>+D31+D32</f>
        <v>0</v>
      </c>
    </row>
    <row r="31" spans="1:6">
      <c r="A31" s="15" t="s">
        <v>57</v>
      </c>
      <c r="B31" s="35" t="s">
        <v>58</v>
      </c>
      <c r="C31" s="36" t="e">
        <f>ROUND(+D31/$D$23,4)</f>
        <v>#DIV/0!</v>
      </c>
      <c r="D31" s="37">
        <f>ROUND(+D23/12,2)</f>
        <v>0</v>
      </c>
    </row>
    <row r="32" spans="1:6">
      <c r="A32" s="15" t="s">
        <v>59</v>
      </c>
      <c r="B32" s="35" t="s">
        <v>60</v>
      </c>
      <c r="C32" s="36" t="e">
        <f>ROUND(+D32/$D$23,4)</f>
        <v>#DIV/0!</v>
      </c>
      <c r="D32" s="37">
        <f>ROUND(+(D23*1/3)/12,2)</f>
        <v>0</v>
      </c>
    </row>
    <row r="33" spans="1:4">
      <c r="A33" s="736" t="s">
        <v>21</v>
      </c>
      <c r="B33" s="736"/>
      <c r="C33" s="736"/>
      <c r="D33" s="24">
        <f>+D30+D29</f>
        <v>0</v>
      </c>
    </row>
    <row r="35" spans="1:4">
      <c r="A35" s="737" t="s">
        <v>61</v>
      </c>
      <c r="B35" s="738"/>
      <c r="C35" s="738"/>
      <c r="D35" s="738"/>
    </row>
    <row r="36" spans="1:4">
      <c r="A36" s="25" t="s">
        <v>62</v>
      </c>
      <c r="B36" s="38" t="s">
        <v>63</v>
      </c>
      <c r="C36" s="27" t="s">
        <v>31</v>
      </c>
      <c r="D36" s="28" t="s">
        <v>32</v>
      </c>
    </row>
    <row r="37" spans="1:4">
      <c r="A37" s="15" t="s">
        <v>4</v>
      </c>
      <c r="B37" s="29" t="s">
        <v>64</v>
      </c>
      <c r="C37" s="39">
        <v>0.2</v>
      </c>
      <c r="D37" s="40">
        <f>ROUND(C37*($D$23+$D$33),2)</f>
        <v>0</v>
      </c>
    </row>
    <row r="38" spans="1:4">
      <c r="A38" s="15" t="s">
        <v>6</v>
      </c>
      <c r="B38" s="29" t="s">
        <v>65</v>
      </c>
      <c r="C38" s="39">
        <v>2.5000000000000001E-2</v>
      </c>
      <c r="D38" s="40">
        <f>ROUND(C38*($D$23+$D$33),2)</f>
        <v>0</v>
      </c>
    </row>
    <row r="39" spans="1:4">
      <c r="A39" s="15" t="s">
        <v>9</v>
      </c>
      <c r="B39" s="29" t="s">
        <v>66</v>
      </c>
      <c r="C39" s="39">
        <f>3%</f>
        <v>0.03</v>
      </c>
      <c r="D39" s="40">
        <f t="shared" ref="D39:D43" si="0">ROUND(C39*($D$23+$D$33),2)</f>
        <v>0</v>
      </c>
    </row>
    <row r="40" spans="1:4">
      <c r="A40" s="15" t="s">
        <v>11</v>
      </c>
      <c r="B40" s="29" t="s">
        <v>67</v>
      </c>
      <c r="C40" s="39">
        <v>1.4999999999999999E-2</v>
      </c>
      <c r="D40" s="40">
        <f t="shared" si="0"/>
        <v>0</v>
      </c>
    </row>
    <row r="41" spans="1:4">
      <c r="A41" s="15" t="s">
        <v>37</v>
      </c>
      <c r="B41" s="29" t="s">
        <v>68</v>
      </c>
      <c r="C41" s="39">
        <v>0.01</v>
      </c>
      <c r="D41" s="40">
        <f t="shared" si="0"/>
        <v>0</v>
      </c>
    </row>
    <row r="42" spans="1:4">
      <c r="A42" s="15" t="s">
        <v>39</v>
      </c>
      <c r="B42" s="29" t="s">
        <v>69</v>
      </c>
      <c r="C42" s="39">
        <v>6.0000000000000001E-3</v>
      </c>
      <c r="D42" s="40">
        <f t="shared" si="0"/>
        <v>0</v>
      </c>
    </row>
    <row r="43" spans="1:4">
      <c r="A43" s="15" t="s">
        <v>41</v>
      </c>
      <c r="B43" s="29" t="s">
        <v>70</v>
      </c>
      <c r="C43" s="39">
        <v>2E-3</v>
      </c>
      <c r="D43" s="40">
        <f t="shared" si="0"/>
        <v>0</v>
      </c>
    </row>
    <row r="44" spans="1:4">
      <c r="A44" s="15" t="s">
        <v>43</v>
      </c>
      <c r="B44" s="29" t="s">
        <v>71</v>
      </c>
      <c r="C44" s="39">
        <v>0.08</v>
      </c>
      <c r="D44" s="40">
        <f>ROUND(C44*($D$23+$D$33),2)</f>
        <v>0</v>
      </c>
    </row>
    <row r="45" spans="1:4">
      <c r="A45" s="41" t="s">
        <v>21</v>
      </c>
      <c r="B45" s="42"/>
      <c r="C45" s="43">
        <f>SUM(C37:C44)</f>
        <v>0.36800000000000005</v>
      </c>
      <c r="D45" s="44">
        <f>SUM(D37:D44)</f>
        <v>0</v>
      </c>
    </row>
    <row r="46" spans="1:4">
      <c r="A46" s="45"/>
      <c r="B46" s="45"/>
      <c r="C46" s="45"/>
      <c r="D46" s="45"/>
    </row>
    <row r="47" spans="1:4">
      <c r="A47" s="737" t="s">
        <v>72</v>
      </c>
      <c r="B47" s="738"/>
      <c r="C47" s="738"/>
      <c r="D47" s="738"/>
    </row>
    <row r="48" spans="1:4">
      <c r="A48" s="25" t="s">
        <v>73</v>
      </c>
      <c r="B48" s="38" t="s">
        <v>74</v>
      </c>
      <c r="C48" s="27"/>
      <c r="D48" s="28" t="s">
        <v>32</v>
      </c>
    </row>
    <row r="49" spans="1:6">
      <c r="A49" s="46" t="s">
        <v>4</v>
      </c>
      <c r="B49" s="29" t="s">
        <v>75</v>
      </c>
      <c r="C49" s="47"/>
      <c r="D49" s="40">
        <f>+'Men Cal Servente 44h'!C16</f>
        <v>0</v>
      </c>
    </row>
    <row r="50" spans="1:6" s="51" customFormat="1">
      <c r="A50" s="48" t="s">
        <v>76</v>
      </c>
      <c r="B50" s="49" t="s">
        <v>77</v>
      </c>
      <c r="C50" s="30">
        <f>+$C$135+$C$136</f>
        <v>9.2499999999999999E-2</v>
      </c>
      <c r="D50" s="50">
        <f>+(C50*D49)*-1</f>
        <v>0</v>
      </c>
      <c r="F50" s="52"/>
    </row>
    <row r="51" spans="1:6">
      <c r="A51" s="46" t="s">
        <v>6</v>
      </c>
      <c r="B51" s="29" t="s">
        <v>78</v>
      </c>
      <c r="C51" s="47"/>
      <c r="D51" s="40">
        <f>+'Men Cal Servente 44h'!C25</f>
        <v>0</v>
      </c>
      <c r="F51" s="53"/>
    </row>
    <row r="52" spans="1:6" s="51" customFormat="1">
      <c r="A52" s="48" t="s">
        <v>57</v>
      </c>
      <c r="B52" s="49" t="s">
        <v>77</v>
      </c>
      <c r="C52" s="30">
        <f>+$C$135+$C$136</f>
        <v>9.2499999999999999E-2</v>
      </c>
      <c r="D52" s="50">
        <f>+(C52*D51)*-1</f>
        <v>0</v>
      </c>
      <c r="F52" s="54"/>
    </row>
    <row r="53" spans="1:6">
      <c r="A53" s="92" t="s">
        <v>9</v>
      </c>
      <c r="B53" s="92" t="s">
        <v>79</v>
      </c>
      <c r="C53" s="47"/>
      <c r="D53" s="230"/>
      <c r="F53" s="53"/>
    </row>
    <row r="54" spans="1:6">
      <c r="A54" s="48" t="s">
        <v>80</v>
      </c>
      <c r="B54" s="49" t="s">
        <v>77</v>
      </c>
      <c r="C54" s="30">
        <f>+$C$135+$C$136</f>
        <v>9.2499999999999999E-2</v>
      </c>
      <c r="D54" s="50">
        <f>+(C54*D53)*-1</f>
        <v>0</v>
      </c>
      <c r="F54" s="53"/>
    </row>
    <row r="55" spans="1:6" ht="23.25" customHeight="1">
      <c r="A55" s="92" t="s">
        <v>11</v>
      </c>
      <c r="B55" s="90" t="s">
        <v>676</v>
      </c>
      <c r="C55" s="47"/>
      <c r="D55" s="230"/>
      <c r="F55" s="53"/>
    </row>
    <row r="56" spans="1:6">
      <c r="A56" s="48" t="s">
        <v>81</v>
      </c>
      <c r="B56" s="49" t="s">
        <v>77</v>
      </c>
      <c r="C56" s="30">
        <f>+$C$135+$C$136</f>
        <v>9.2499999999999999E-2</v>
      </c>
      <c r="D56" s="50">
        <f>+(C56*D55)*-1</f>
        <v>0</v>
      </c>
      <c r="F56" s="53"/>
    </row>
    <row r="57" spans="1:6" ht="26.4">
      <c r="A57" s="92" t="s">
        <v>37</v>
      </c>
      <c r="B57" s="558" t="s">
        <v>677</v>
      </c>
      <c r="C57" s="47"/>
      <c r="D57" s="231"/>
      <c r="F57" s="55"/>
    </row>
    <row r="58" spans="1:6">
      <c r="A58" s="48" t="s">
        <v>82</v>
      </c>
      <c r="B58" s="49" t="s">
        <v>77</v>
      </c>
      <c r="C58" s="30">
        <f>+$C$135+$C$136</f>
        <v>9.2499999999999999E-2</v>
      </c>
      <c r="D58" s="50">
        <f>+(C58*D57)*-1</f>
        <v>0</v>
      </c>
    </row>
    <row r="59" spans="1:6">
      <c r="A59" s="92" t="s">
        <v>39</v>
      </c>
      <c r="B59" s="739" t="s">
        <v>83</v>
      </c>
      <c r="C59" s="739"/>
      <c r="D59" s="230"/>
    </row>
    <row r="60" spans="1:6">
      <c r="A60" s="48" t="s">
        <v>84</v>
      </c>
      <c r="B60" s="49" t="s">
        <v>77</v>
      </c>
      <c r="C60" s="30">
        <f>+$C$135+$C$136</f>
        <v>9.2499999999999999E-2</v>
      </c>
      <c r="D60" s="50">
        <f>+(C60*D59)*-1</f>
        <v>0</v>
      </c>
    </row>
    <row r="61" spans="1:6">
      <c r="A61" s="721" t="s">
        <v>21</v>
      </c>
      <c r="B61" s="723"/>
      <c r="C61" s="56"/>
      <c r="D61" s="57">
        <f>SUM(D49:D60)</f>
        <v>0</v>
      </c>
    </row>
    <row r="63" spans="1:6">
      <c r="A63" s="732" t="s">
        <v>85</v>
      </c>
      <c r="B63" s="733"/>
      <c r="C63" s="733"/>
      <c r="D63" s="733"/>
    </row>
    <row r="64" spans="1:6">
      <c r="A64" s="58">
        <v>2</v>
      </c>
      <c r="B64" s="742" t="s">
        <v>86</v>
      </c>
      <c r="C64" s="742"/>
      <c r="D64" s="59" t="s">
        <v>32</v>
      </c>
    </row>
    <row r="65" spans="1:4">
      <c r="A65" s="60" t="s">
        <v>53</v>
      </c>
      <c r="B65" s="743" t="s">
        <v>54</v>
      </c>
      <c r="C65" s="743"/>
      <c r="D65" s="40">
        <f>+D33</f>
        <v>0</v>
      </c>
    </row>
    <row r="66" spans="1:4">
      <c r="A66" s="60" t="s">
        <v>62</v>
      </c>
      <c r="B66" s="743" t="s">
        <v>63</v>
      </c>
      <c r="C66" s="743"/>
      <c r="D66" s="40">
        <f>+D45</f>
        <v>0</v>
      </c>
    </row>
    <row r="67" spans="1:4">
      <c r="A67" s="60" t="s">
        <v>73</v>
      </c>
      <c r="B67" s="743" t="s">
        <v>74</v>
      </c>
      <c r="C67" s="743"/>
      <c r="D67" s="61">
        <f>+D61</f>
        <v>0</v>
      </c>
    </row>
    <row r="68" spans="1:4">
      <c r="A68" s="742" t="s">
        <v>21</v>
      </c>
      <c r="B68" s="742"/>
      <c r="C68" s="742"/>
      <c r="D68" s="62">
        <f>SUM(D65:D67)</f>
        <v>0</v>
      </c>
    </row>
    <row r="70" spans="1:4">
      <c r="A70" s="732" t="s">
        <v>87</v>
      </c>
      <c r="B70" s="733"/>
      <c r="C70" s="733"/>
      <c r="D70" s="733"/>
    </row>
    <row r="72" spans="1:4">
      <c r="A72" s="63">
        <v>3</v>
      </c>
      <c r="B72" s="26" t="s">
        <v>88</v>
      </c>
      <c r="C72" s="13" t="s">
        <v>31</v>
      </c>
      <c r="D72" s="13" t="s">
        <v>32</v>
      </c>
    </row>
    <row r="73" spans="1:4">
      <c r="A73" s="15" t="s">
        <v>4</v>
      </c>
      <c r="B73" s="49" t="s">
        <v>89</v>
      </c>
      <c r="C73" s="30" t="e">
        <f>+D73/$D$23</f>
        <v>#DIV/0!</v>
      </c>
      <c r="D73" s="64">
        <f>+'Men Cal Servente 44h'!C31</f>
        <v>0</v>
      </c>
    </row>
    <row r="74" spans="1:4">
      <c r="A74" s="15" t="s">
        <v>6</v>
      </c>
      <c r="B74" s="29" t="s">
        <v>90</v>
      </c>
      <c r="C74" s="65"/>
      <c r="D74" s="22">
        <f>ROUND(+D73*$C$44,2)</f>
        <v>0</v>
      </c>
    </row>
    <row r="75" spans="1:4" ht="26.4">
      <c r="A75" s="15" t="s">
        <v>9</v>
      </c>
      <c r="B75" s="5" t="s">
        <v>91</v>
      </c>
      <c r="C75" s="39" t="e">
        <f>+D75/$D$23</f>
        <v>#DIV/0!</v>
      </c>
      <c r="D75" s="22">
        <f>+'Men Cal Servente 44h'!C45</f>
        <v>0</v>
      </c>
    </row>
    <row r="76" spans="1:4">
      <c r="A76" s="66" t="s">
        <v>11</v>
      </c>
      <c r="B76" s="29" t="s">
        <v>92</v>
      </c>
      <c r="C76" s="39" t="e">
        <f>+D76/$D$23</f>
        <v>#DIV/0!</v>
      </c>
      <c r="D76" s="22">
        <f>+'Men Cal Servente 44h'!C53</f>
        <v>0</v>
      </c>
    </row>
    <row r="77" spans="1:4" ht="26.4">
      <c r="A77" s="66" t="s">
        <v>37</v>
      </c>
      <c r="B77" s="5" t="s">
        <v>93</v>
      </c>
      <c r="C77" s="65"/>
      <c r="D77" s="67"/>
    </row>
    <row r="78" spans="1:4" ht="26.4">
      <c r="A78" s="66" t="s">
        <v>39</v>
      </c>
      <c r="B78" s="5" t="s">
        <v>94</v>
      </c>
      <c r="C78" s="39" t="e">
        <f>+D78/$D$23</f>
        <v>#DIV/0!</v>
      </c>
      <c r="D78" s="40">
        <f>+'Men Cal Servente 44h'!C67</f>
        <v>0</v>
      </c>
    </row>
    <row r="79" spans="1:4">
      <c r="A79" s="721" t="s">
        <v>21</v>
      </c>
      <c r="B79" s="722"/>
      <c r="C79" s="723"/>
      <c r="D79" s="68">
        <f>SUM(D73:D78)</f>
        <v>0</v>
      </c>
    </row>
    <row r="81" spans="1:4">
      <c r="A81" s="732" t="s">
        <v>95</v>
      </c>
      <c r="B81" s="733"/>
      <c r="C81" s="733"/>
      <c r="D81" s="733"/>
    </row>
    <row r="83" spans="1:4">
      <c r="A83" s="744" t="s">
        <v>96</v>
      </c>
      <c r="B83" s="744"/>
      <c r="C83" s="744"/>
      <c r="D83" s="744"/>
    </row>
    <row r="84" spans="1:4">
      <c r="A84" s="63" t="s">
        <v>97</v>
      </c>
      <c r="B84" s="721" t="s">
        <v>98</v>
      </c>
      <c r="C84" s="723"/>
      <c r="D84" s="13" t="s">
        <v>32</v>
      </c>
    </row>
    <row r="85" spans="1:4">
      <c r="A85" s="29" t="s">
        <v>4</v>
      </c>
      <c r="B85" s="740" t="s">
        <v>99</v>
      </c>
      <c r="C85" s="741"/>
      <c r="D85" s="22"/>
    </row>
    <row r="86" spans="1:4">
      <c r="A86" s="49" t="s">
        <v>6</v>
      </c>
      <c r="B86" s="747" t="s">
        <v>98</v>
      </c>
      <c r="C86" s="748"/>
      <c r="D86" s="69">
        <f>+'Men Cal Servente 44h'!C80</f>
        <v>0</v>
      </c>
    </row>
    <row r="87" spans="1:4" s="51" customFormat="1">
      <c r="A87" s="49" t="s">
        <v>9</v>
      </c>
      <c r="B87" s="747" t="s">
        <v>100</v>
      </c>
      <c r="C87" s="748"/>
      <c r="D87" s="69">
        <f>+'Men Cal Servente 44h'!C89</f>
        <v>0</v>
      </c>
    </row>
    <row r="88" spans="1:4" s="51" customFormat="1">
      <c r="A88" s="49" t="s">
        <v>11</v>
      </c>
      <c r="B88" s="747" t="s">
        <v>101</v>
      </c>
      <c r="C88" s="748"/>
      <c r="D88" s="69">
        <f>+'Men Cal Servente 44h'!C97</f>
        <v>0</v>
      </c>
    </row>
    <row r="89" spans="1:4" s="51" customFormat="1">
      <c r="A89" s="49" t="s">
        <v>37</v>
      </c>
      <c r="B89" s="747" t="s">
        <v>102</v>
      </c>
      <c r="C89" s="748"/>
      <c r="D89" s="69"/>
    </row>
    <row r="90" spans="1:4" s="51" customFormat="1">
      <c r="A90" s="49" t="s">
        <v>39</v>
      </c>
      <c r="B90" s="747" t="s">
        <v>103</v>
      </c>
      <c r="C90" s="748"/>
      <c r="D90" s="69">
        <f>+'Men Cal Servente 44h'!C105</f>
        <v>0</v>
      </c>
    </row>
    <row r="91" spans="1:4">
      <c r="A91" s="29" t="s">
        <v>41</v>
      </c>
      <c r="B91" s="740" t="s">
        <v>50</v>
      </c>
      <c r="C91" s="741"/>
      <c r="D91" s="22"/>
    </row>
    <row r="92" spans="1:4">
      <c r="A92" s="29" t="s">
        <v>43</v>
      </c>
      <c r="B92" s="740" t="s">
        <v>104</v>
      </c>
      <c r="C92" s="741"/>
      <c r="D92" s="67"/>
    </row>
    <row r="93" spans="1:4">
      <c r="A93" s="736" t="s">
        <v>21</v>
      </c>
      <c r="B93" s="736"/>
      <c r="C93" s="736"/>
      <c r="D93" s="24">
        <f>SUM(D85:D92)</f>
        <v>0</v>
      </c>
    </row>
    <row r="94" spans="1:4">
      <c r="D94" s="70"/>
    </row>
    <row r="95" spans="1:4">
      <c r="A95" s="63" t="s">
        <v>105</v>
      </c>
      <c r="B95" s="721" t="s">
        <v>106</v>
      </c>
      <c r="C95" s="723"/>
      <c r="D95" s="13" t="s">
        <v>32</v>
      </c>
    </row>
    <row r="96" spans="1:4" s="51" customFormat="1">
      <c r="A96" s="49" t="s">
        <v>4</v>
      </c>
      <c r="B96" s="749" t="s">
        <v>107</v>
      </c>
      <c r="C96" s="750"/>
      <c r="D96" s="69">
        <f>+'Men Cal Servente 44h'!C116</f>
        <v>0</v>
      </c>
    </row>
    <row r="97" spans="1:4" s="51" customFormat="1" ht="33.75" customHeight="1">
      <c r="A97" s="49" t="s">
        <v>6</v>
      </c>
      <c r="B97" s="745" t="s">
        <v>108</v>
      </c>
      <c r="C97" s="746"/>
      <c r="D97" s="67"/>
    </row>
    <row r="98" spans="1:4" s="51" customFormat="1" ht="28.5" customHeight="1">
      <c r="A98" s="49" t="s">
        <v>9</v>
      </c>
      <c r="B98" s="745" t="s">
        <v>109</v>
      </c>
      <c r="C98" s="746"/>
      <c r="D98" s="67"/>
    </row>
    <row r="99" spans="1:4">
      <c r="A99" s="29" t="s">
        <v>11</v>
      </c>
      <c r="B99" s="740" t="s">
        <v>50</v>
      </c>
      <c r="C99" s="741"/>
      <c r="D99" s="22"/>
    </row>
    <row r="100" spans="1:4">
      <c r="A100" s="736" t="s">
        <v>21</v>
      </c>
      <c r="B100" s="736"/>
      <c r="C100" s="736"/>
      <c r="D100" s="24">
        <f>SUM(D96:D99)</f>
        <v>0</v>
      </c>
    </row>
    <row r="101" spans="1:4">
      <c r="D101" s="70"/>
    </row>
    <row r="102" spans="1:4">
      <c r="A102" s="63" t="s">
        <v>110</v>
      </c>
      <c r="B102" s="736" t="s">
        <v>111</v>
      </c>
      <c r="C102" s="736"/>
      <c r="D102" s="13" t="s">
        <v>32</v>
      </c>
    </row>
    <row r="103" spans="1:4" s="72" customFormat="1" ht="34.5" customHeight="1">
      <c r="A103" s="66" t="s">
        <v>4</v>
      </c>
      <c r="B103" s="751" t="s">
        <v>112</v>
      </c>
      <c r="C103" s="751"/>
      <c r="D103" s="71"/>
    </row>
    <row r="104" spans="1:4">
      <c r="A104" s="736" t="s">
        <v>21</v>
      </c>
      <c r="B104" s="736"/>
      <c r="C104" s="736"/>
      <c r="D104" s="24">
        <f>SUM(D103:D103)</f>
        <v>0</v>
      </c>
    </row>
    <row r="106" spans="1:4">
      <c r="A106" s="73" t="s">
        <v>113</v>
      </c>
      <c r="B106" s="73"/>
      <c r="C106" s="73"/>
      <c r="D106" s="73"/>
    </row>
    <row r="107" spans="1:4">
      <c r="A107" s="29" t="s">
        <v>97</v>
      </c>
      <c r="B107" s="740" t="s">
        <v>98</v>
      </c>
      <c r="C107" s="741"/>
      <c r="D107" s="40">
        <f>+D93</f>
        <v>0</v>
      </c>
    </row>
    <row r="108" spans="1:4">
      <c r="A108" s="29" t="s">
        <v>105</v>
      </c>
      <c r="B108" s="740" t="s">
        <v>106</v>
      </c>
      <c r="C108" s="741"/>
      <c r="D108" s="40">
        <f>+D100</f>
        <v>0</v>
      </c>
    </row>
    <row r="109" spans="1:4">
      <c r="A109" s="74"/>
      <c r="B109" s="752" t="s">
        <v>114</v>
      </c>
      <c r="C109" s="753"/>
      <c r="D109" s="75">
        <f>+D108+D107</f>
        <v>0</v>
      </c>
    </row>
    <row r="110" spans="1:4">
      <c r="A110" s="29" t="s">
        <v>110</v>
      </c>
      <c r="B110" s="740" t="s">
        <v>111</v>
      </c>
      <c r="C110" s="741"/>
      <c r="D110" s="40">
        <f>+D104</f>
        <v>0</v>
      </c>
    </row>
    <row r="111" spans="1:4">
      <c r="A111" s="754" t="s">
        <v>21</v>
      </c>
      <c r="B111" s="754"/>
      <c r="C111" s="754"/>
      <c r="D111" s="77">
        <f>+D110+D109</f>
        <v>0</v>
      </c>
    </row>
    <row r="113" spans="1:4">
      <c r="A113" s="732" t="s">
        <v>115</v>
      </c>
      <c r="B113" s="733"/>
      <c r="C113" s="733"/>
      <c r="D113" s="733"/>
    </row>
    <row r="115" spans="1:4">
      <c r="A115" s="63">
        <v>5</v>
      </c>
      <c r="B115" s="721" t="s">
        <v>116</v>
      </c>
      <c r="C115" s="723"/>
      <c r="D115" s="13" t="s">
        <v>32</v>
      </c>
    </row>
    <row r="116" spans="1:4">
      <c r="A116" s="29" t="s">
        <v>4</v>
      </c>
      <c r="B116" s="734" t="s">
        <v>117</v>
      </c>
      <c r="C116" s="734"/>
      <c r="D116" s="22">
        <f>+Uniforme!F8</f>
        <v>0</v>
      </c>
    </row>
    <row r="117" spans="1:4">
      <c r="A117" s="29" t="s">
        <v>76</v>
      </c>
      <c r="B117" s="49" t="s">
        <v>77</v>
      </c>
      <c r="C117" s="30">
        <f>+$C$135+$C$136</f>
        <v>9.2499999999999999E-2</v>
      </c>
      <c r="D117" s="50">
        <f>+(C117*D116)*-1</f>
        <v>0</v>
      </c>
    </row>
    <row r="118" spans="1:4">
      <c r="A118" s="29" t="s">
        <v>6</v>
      </c>
      <c r="B118" s="734" t="s">
        <v>118</v>
      </c>
      <c r="C118" s="734"/>
      <c r="D118" s="22"/>
    </row>
    <row r="119" spans="1:4">
      <c r="A119" s="29" t="s">
        <v>57</v>
      </c>
      <c r="B119" s="49" t="s">
        <v>77</v>
      </c>
      <c r="C119" s="30">
        <f>+$C$135+$C$136</f>
        <v>9.2499999999999999E-2</v>
      </c>
      <c r="D119" s="50">
        <f>+(C119*D118)*-1</f>
        <v>0</v>
      </c>
    </row>
    <row r="120" spans="1:4">
      <c r="A120" s="29" t="s">
        <v>9</v>
      </c>
      <c r="B120" s="734" t="s">
        <v>119</v>
      </c>
      <c r="C120" s="734"/>
      <c r="D120" s="22"/>
    </row>
    <row r="121" spans="1:4">
      <c r="A121" s="29" t="s">
        <v>80</v>
      </c>
      <c r="B121" s="49" t="s">
        <v>77</v>
      </c>
      <c r="C121" s="30">
        <f>+$C$135+$C$136</f>
        <v>9.2499999999999999E-2</v>
      </c>
      <c r="D121" s="50">
        <f>+(C121*D120)*-1</f>
        <v>0</v>
      </c>
    </row>
    <row r="122" spans="1:4">
      <c r="A122" s="29" t="s">
        <v>11</v>
      </c>
      <c r="B122" s="734" t="s">
        <v>50</v>
      </c>
      <c r="C122" s="734"/>
      <c r="D122" s="22"/>
    </row>
    <row r="123" spans="1:4">
      <c r="A123" s="29" t="s">
        <v>81</v>
      </c>
      <c r="B123" s="49" t="s">
        <v>77</v>
      </c>
      <c r="C123" s="30">
        <f>+$C$135+$C$136</f>
        <v>9.2499999999999999E-2</v>
      </c>
      <c r="D123" s="50">
        <f>+(C123*D122)*-1</f>
        <v>0</v>
      </c>
    </row>
    <row r="124" spans="1:4">
      <c r="A124" s="736" t="s">
        <v>21</v>
      </c>
      <c r="B124" s="736"/>
      <c r="C124" s="736"/>
      <c r="D124" s="24">
        <f>SUM(D116:D122)</f>
        <v>0</v>
      </c>
    </row>
    <row r="126" spans="1:4">
      <c r="A126" s="732" t="s">
        <v>120</v>
      </c>
      <c r="B126" s="733"/>
      <c r="C126" s="733"/>
      <c r="D126" s="733"/>
    </row>
    <row r="128" spans="1:4">
      <c r="A128" s="63">
        <v>6</v>
      </c>
      <c r="B128" s="26" t="s">
        <v>121</v>
      </c>
      <c r="C128" s="78" t="s">
        <v>31</v>
      </c>
      <c r="D128" s="13" t="s">
        <v>32</v>
      </c>
    </row>
    <row r="129" spans="1:7">
      <c r="A129" s="322" t="s">
        <v>4</v>
      </c>
      <c r="B129" s="322" t="s">
        <v>122</v>
      </c>
      <c r="C129" s="323">
        <v>0.03</v>
      </c>
      <c r="D129" s="324">
        <f>($D$124+$D$111+$D$79+$D$68+$D$23)*C129</f>
        <v>0</v>
      </c>
    </row>
    <row r="130" spans="1:7">
      <c r="A130" s="322" t="s">
        <v>6</v>
      </c>
      <c r="B130" s="322" t="s">
        <v>123</v>
      </c>
      <c r="C130" s="323">
        <v>0.03</v>
      </c>
      <c r="D130" s="324">
        <f>($D$124+$D$111+$D$79+$D$68+$D$23+D129)*C130</f>
        <v>0</v>
      </c>
    </row>
    <row r="131" spans="1:7" s="80" customFormat="1">
      <c r="A131" s="756" t="s">
        <v>124</v>
      </c>
      <c r="B131" s="757"/>
      <c r="C131" s="758"/>
      <c r="D131" s="79">
        <f>++D130+D129+D124+D111+D79+D68+D23</f>
        <v>0</v>
      </c>
    </row>
    <row r="132" spans="1:7" s="80" customFormat="1" ht="33" customHeight="1">
      <c r="A132" s="759" t="s">
        <v>125</v>
      </c>
      <c r="B132" s="760"/>
      <c r="C132" s="761"/>
      <c r="D132" s="79">
        <f>ROUND(D131/(1-(C135+C136+C138+C140+C141)),2)</f>
        <v>0</v>
      </c>
    </row>
    <row r="133" spans="1:7">
      <c r="A133" s="29" t="s">
        <v>9</v>
      </c>
      <c r="B133" s="29" t="s">
        <v>126</v>
      </c>
      <c r="C133" s="39"/>
      <c r="D133" s="29"/>
    </row>
    <row r="134" spans="1:7">
      <c r="A134" s="29" t="s">
        <v>80</v>
      </c>
      <c r="B134" s="29" t="s">
        <v>127</v>
      </c>
      <c r="C134" s="39"/>
      <c r="D134" s="29"/>
    </row>
    <row r="135" spans="1:7">
      <c r="A135" s="322" t="s">
        <v>128</v>
      </c>
      <c r="B135" s="322" t="s">
        <v>129</v>
      </c>
      <c r="C135" s="323">
        <v>1.6500000000000001E-2</v>
      </c>
      <c r="D135" s="324">
        <f>ROUND(C135*$D$132,2)</f>
        <v>0</v>
      </c>
      <c r="G135" s="81"/>
    </row>
    <row r="136" spans="1:7">
      <c r="A136" s="322" t="s">
        <v>130</v>
      </c>
      <c r="B136" s="322" t="s">
        <v>131</v>
      </c>
      <c r="C136" s="323">
        <v>7.5999999999999998E-2</v>
      </c>
      <c r="D136" s="324">
        <f>ROUND(C136*$D$132,2)</f>
        <v>0</v>
      </c>
      <c r="G136" s="81"/>
    </row>
    <row r="137" spans="1:7">
      <c r="A137" s="29" t="s">
        <v>132</v>
      </c>
      <c r="B137" s="29" t="s">
        <v>133</v>
      </c>
      <c r="C137" s="39"/>
      <c r="D137" s="40"/>
      <c r="G137" s="81"/>
    </row>
    <row r="138" spans="1:7">
      <c r="A138" s="29" t="s">
        <v>134</v>
      </c>
      <c r="B138" s="29" t="s">
        <v>135</v>
      </c>
      <c r="C138" s="39"/>
      <c r="D138" s="29"/>
      <c r="G138" s="81"/>
    </row>
    <row r="139" spans="1:7">
      <c r="A139" s="29" t="s">
        <v>136</v>
      </c>
      <c r="B139" s="29" t="s">
        <v>137</v>
      </c>
      <c r="C139" s="39"/>
      <c r="D139" s="29"/>
    </row>
    <row r="140" spans="1:7">
      <c r="A140" s="322" t="s">
        <v>138</v>
      </c>
      <c r="B140" s="322" t="s">
        <v>139</v>
      </c>
      <c r="C140" s="323">
        <v>0.05</v>
      </c>
      <c r="D140" s="324">
        <f>ROUND(C140*$D$132,2)</f>
        <v>0</v>
      </c>
    </row>
    <row r="141" spans="1:7">
      <c r="A141" s="29" t="s">
        <v>140</v>
      </c>
      <c r="B141" s="29" t="s">
        <v>141</v>
      </c>
      <c r="C141" s="39"/>
      <c r="D141" s="29"/>
    </row>
    <row r="142" spans="1:7">
      <c r="A142" s="721" t="s">
        <v>21</v>
      </c>
      <c r="B142" s="722"/>
      <c r="C142" s="82">
        <f>+C141+C140+C138+C136+C135+C130+C129</f>
        <v>0.20250000000000001</v>
      </c>
      <c r="D142" s="24">
        <f>+D140+D138+D136+D135+D130+D129</f>
        <v>0</v>
      </c>
    </row>
    <row r="144" spans="1:7">
      <c r="A144" s="762" t="s">
        <v>142</v>
      </c>
      <c r="B144" s="762"/>
      <c r="C144" s="762"/>
      <c r="D144" s="762"/>
    </row>
    <row r="145" spans="1:5">
      <c r="A145" s="29" t="s">
        <v>4</v>
      </c>
      <c r="B145" s="755" t="s">
        <v>143</v>
      </c>
      <c r="C145" s="755"/>
      <c r="D145" s="22">
        <f>+D23</f>
        <v>0</v>
      </c>
    </row>
    <row r="146" spans="1:5">
      <c r="A146" s="29" t="s">
        <v>144</v>
      </c>
      <c r="B146" s="755" t="s">
        <v>145</v>
      </c>
      <c r="C146" s="755"/>
      <c r="D146" s="22">
        <f>+D68</f>
        <v>0</v>
      </c>
    </row>
    <row r="147" spans="1:5">
      <c r="A147" s="29" t="s">
        <v>9</v>
      </c>
      <c r="B147" s="755" t="s">
        <v>146</v>
      </c>
      <c r="C147" s="755"/>
      <c r="D147" s="22">
        <f>+D79</f>
        <v>0</v>
      </c>
    </row>
    <row r="148" spans="1:5">
      <c r="A148" s="29" t="s">
        <v>11</v>
      </c>
      <c r="B148" s="755" t="s">
        <v>147</v>
      </c>
      <c r="C148" s="755"/>
      <c r="D148" s="22">
        <f>+D111</f>
        <v>0</v>
      </c>
    </row>
    <row r="149" spans="1:5">
      <c r="A149" s="29" t="s">
        <v>37</v>
      </c>
      <c r="B149" s="755" t="s">
        <v>148</v>
      </c>
      <c r="C149" s="755"/>
      <c r="D149" s="22">
        <f>+D124</f>
        <v>0</v>
      </c>
    </row>
    <row r="150" spans="1:5">
      <c r="B150" s="763" t="s">
        <v>149</v>
      </c>
      <c r="C150" s="763"/>
      <c r="D150" s="83">
        <f>SUM(D145:D149)</f>
        <v>0</v>
      </c>
    </row>
    <row r="151" spans="1:5">
      <c r="A151" s="29" t="s">
        <v>39</v>
      </c>
      <c r="B151" s="755" t="s">
        <v>150</v>
      </c>
      <c r="C151" s="755"/>
      <c r="D151" s="22">
        <f>+D142</f>
        <v>0</v>
      </c>
    </row>
    <row r="153" spans="1:5">
      <c r="A153" s="764" t="s">
        <v>151</v>
      </c>
      <c r="B153" s="764"/>
      <c r="C153" s="764"/>
      <c r="D153" s="84">
        <f>ROUND(+D151+D150,2)</f>
        <v>0</v>
      </c>
    </row>
    <row r="155" spans="1:5">
      <c r="B155" s="86"/>
      <c r="C155" s="86"/>
      <c r="D155" s="86"/>
    </row>
    <row r="156" spans="1:5">
      <c r="A156" s="87"/>
      <c r="B156" s="87"/>
      <c r="C156" s="87"/>
      <c r="D156" s="87"/>
      <c r="E156" s="87"/>
    </row>
    <row r="157" spans="1:5">
      <c r="A157" s="87"/>
      <c r="B157" s="87"/>
      <c r="C157" s="87"/>
      <c r="D157" s="87"/>
      <c r="E157" s="87"/>
    </row>
    <row r="158" spans="1:5">
      <c r="A158" s="87"/>
      <c r="B158" s="87"/>
      <c r="C158" s="87"/>
      <c r="D158" s="87"/>
      <c r="E158" s="87"/>
    </row>
    <row r="159" spans="1:5">
      <c r="A159" s="87"/>
      <c r="B159" s="87"/>
      <c r="C159" s="87"/>
      <c r="D159" s="87"/>
      <c r="E159" s="87"/>
    </row>
    <row r="160" spans="1:5">
      <c r="A160" s="87"/>
      <c r="B160" s="87"/>
      <c r="C160" s="87"/>
      <c r="D160" s="87"/>
      <c r="E160" s="87"/>
    </row>
    <row r="161" spans="1:5">
      <c r="A161" s="87"/>
      <c r="B161" s="87"/>
      <c r="C161" s="87"/>
      <c r="D161" s="87"/>
      <c r="E161" s="87"/>
    </row>
    <row r="162" spans="1:5">
      <c r="A162" s="87"/>
      <c r="B162" s="87"/>
      <c r="C162" s="87"/>
      <c r="D162" s="87"/>
      <c r="E162" s="87"/>
    </row>
    <row r="163" spans="1:5">
      <c r="A163" s="87"/>
      <c r="B163" s="87"/>
      <c r="C163" s="87"/>
      <c r="D163" s="87"/>
      <c r="E163" s="87"/>
    </row>
    <row r="164" spans="1:5">
      <c r="A164" s="87"/>
      <c r="B164" s="87"/>
      <c r="C164" s="87"/>
      <c r="D164" s="87"/>
      <c r="E164" s="87"/>
    </row>
    <row r="165" spans="1:5">
      <c r="A165" s="87"/>
      <c r="B165" s="87"/>
      <c r="C165" s="87"/>
      <c r="D165" s="87"/>
      <c r="E165" s="87"/>
    </row>
    <row r="166" spans="1:5">
      <c r="A166" s="87"/>
      <c r="B166" s="87"/>
      <c r="C166" s="87"/>
      <c r="D166" s="87"/>
      <c r="E166" s="87"/>
    </row>
    <row r="167" spans="1:5">
      <c r="A167" s="87"/>
      <c r="B167" s="87"/>
      <c r="C167" s="87"/>
      <c r="D167" s="87"/>
      <c r="E167" s="87"/>
    </row>
    <row r="168" spans="1:5">
      <c r="A168" s="87"/>
      <c r="B168" s="87"/>
      <c r="C168" s="87"/>
      <c r="D168" s="87"/>
      <c r="E168" s="87"/>
    </row>
  </sheetData>
  <mergeCells count="78">
    <mergeCell ref="A153:C153"/>
    <mergeCell ref="B147:C147"/>
    <mergeCell ref="B148:C148"/>
    <mergeCell ref="B149:C149"/>
    <mergeCell ref="B150:C150"/>
    <mergeCell ref="B151:C151"/>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15:C115"/>
    <mergeCell ref="B99:C99"/>
    <mergeCell ref="A100:C100"/>
    <mergeCell ref="B102:C102"/>
    <mergeCell ref="B103:C103"/>
    <mergeCell ref="A104:C104"/>
    <mergeCell ref="B107:C107"/>
    <mergeCell ref="B108:C108"/>
    <mergeCell ref="B109:C109"/>
    <mergeCell ref="B110:C110"/>
    <mergeCell ref="A111:C111"/>
    <mergeCell ref="A113:D113"/>
    <mergeCell ref="B98:C98"/>
    <mergeCell ref="B86:C86"/>
    <mergeCell ref="B87:C87"/>
    <mergeCell ref="B88:C88"/>
    <mergeCell ref="B89:C89"/>
    <mergeCell ref="B90:C90"/>
    <mergeCell ref="B91:C91"/>
    <mergeCell ref="B92:C92"/>
    <mergeCell ref="A93:C93"/>
    <mergeCell ref="B95:C95"/>
    <mergeCell ref="B96:C96"/>
    <mergeCell ref="B97:C97"/>
    <mergeCell ref="B85:C85"/>
    <mergeCell ref="A63:D63"/>
    <mergeCell ref="B64:C64"/>
    <mergeCell ref="B65:C65"/>
    <mergeCell ref="B66:C66"/>
    <mergeCell ref="B67:C67"/>
    <mergeCell ref="A68:C68"/>
    <mergeCell ref="A70:D70"/>
    <mergeCell ref="A79:C79"/>
    <mergeCell ref="A81:D81"/>
    <mergeCell ref="A83:D83"/>
    <mergeCell ref="B84:C84"/>
    <mergeCell ref="A61:B61"/>
    <mergeCell ref="B18:C18"/>
    <mergeCell ref="B19:C19"/>
    <mergeCell ref="B21:C21"/>
    <mergeCell ref="B22:C22"/>
    <mergeCell ref="A23:C23"/>
    <mergeCell ref="A25:D25"/>
    <mergeCell ref="A27:D27"/>
    <mergeCell ref="A33:C33"/>
    <mergeCell ref="A35:D35"/>
    <mergeCell ref="A47:D47"/>
    <mergeCell ref="B59:C59"/>
    <mergeCell ref="B17:C17"/>
    <mergeCell ref="A1:D1"/>
    <mergeCell ref="A3:D3"/>
    <mergeCell ref="C4:D4"/>
    <mergeCell ref="C5:D5"/>
    <mergeCell ref="C6:D6"/>
    <mergeCell ref="C7:D7"/>
    <mergeCell ref="C8:D8"/>
    <mergeCell ref="A10:D10"/>
    <mergeCell ref="B12:C12"/>
    <mergeCell ref="B15:C15"/>
    <mergeCell ref="B16:C16"/>
  </mergeCells>
  <pageMargins left="1.4960629921259843" right="0.15748031496062992" top="0.31496062992125984" bottom="0.35433070866141736" header="0.31496062992125984" footer="0.31496062992125984"/>
  <pageSetup paperSize="9" scale="85" orientation="portrait" r:id="rId1"/>
  <headerFooter>
    <oddFoote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499984740745262"/>
  </sheetPr>
  <dimension ref="A1:C164"/>
  <sheetViews>
    <sheetView topLeftCell="A106" workbookViewId="0">
      <selection activeCell="A147" sqref="A147"/>
    </sheetView>
  </sheetViews>
  <sheetFormatPr defaultRowHeight="13.2"/>
  <cols>
    <col min="1" max="1" width="64.453125" customWidth="1"/>
    <col min="2" max="2" width="12.26953125" bestFit="1" customWidth="1"/>
    <col min="3" max="3" width="14.7265625" customWidth="1"/>
    <col min="4" max="4" width="9.36328125" bestFit="1" customWidth="1"/>
    <col min="5" max="5" width="69.08984375" customWidth="1"/>
  </cols>
  <sheetData>
    <row r="1" spans="1:3" ht="16.8">
      <c r="A1" s="768" t="s">
        <v>272</v>
      </c>
      <c r="B1" s="768"/>
      <c r="C1" s="768"/>
    </row>
    <row r="3" spans="1:3">
      <c r="A3" s="29" t="s">
        <v>152</v>
      </c>
      <c r="B3" s="29">
        <v>220</v>
      </c>
    </row>
    <row r="4" spans="1:3">
      <c r="A4" s="29" t="s">
        <v>153</v>
      </c>
      <c r="B4" s="29">
        <v>365.25</v>
      </c>
    </row>
    <row r="5" spans="1:3">
      <c r="A5" s="29" t="s">
        <v>154</v>
      </c>
      <c r="B5" s="88">
        <f>(365.25/12)/(7/5)</f>
        <v>21.741071428571431</v>
      </c>
    </row>
    <row r="6" spans="1:3">
      <c r="A6" s="49" t="s">
        <v>33</v>
      </c>
      <c r="B6" s="40">
        <f>+'Servente 44h seg a sex'!D12</f>
        <v>0</v>
      </c>
    </row>
    <row r="7" spans="1:3">
      <c r="A7" s="49" t="s">
        <v>155</v>
      </c>
      <c r="B7" s="40">
        <f>+'Servente 44h seg a sex'!D23</f>
        <v>0</v>
      </c>
    </row>
    <row r="9" spans="1:3">
      <c r="A9" s="765" t="s">
        <v>156</v>
      </c>
      <c r="B9" s="766"/>
      <c r="C9" s="767"/>
    </row>
    <row r="10" spans="1:3">
      <c r="A10" s="29" t="s">
        <v>157</v>
      </c>
      <c r="B10" s="29">
        <f>+$B$4</f>
        <v>365.25</v>
      </c>
      <c r="C10" s="65"/>
    </row>
    <row r="11" spans="1:3">
      <c r="A11" s="29" t="s">
        <v>158</v>
      </c>
      <c r="B11" s="49">
        <v>12</v>
      </c>
      <c r="C11" s="65"/>
    </row>
    <row r="12" spans="1:3">
      <c r="A12" s="29" t="s">
        <v>159</v>
      </c>
      <c r="B12" s="39">
        <v>1</v>
      </c>
      <c r="C12" s="65"/>
    </row>
    <row r="13" spans="1:3">
      <c r="A13" s="49" t="s">
        <v>160</v>
      </c>
      <c r="B13" s="89">
        <f>+B5</f>
        <v>21.741071428571431</v>
      </c>
      <c r="C13" s="65"/>
    </row>
    <row r="14" spans="1:3">
      <c r="A14" s="90" t="s">
        <v>161</v>
      </c>
      <c r="B14" s="91"/>
      <c r="C14" s="65"/>
    </row>
    <row r="15" spans="1:3">
      <c r="A15" s="29" t="s">
        <v>162</v>
      </c>
      <c r="B15" s="39">
        <v>0.06</v>
      </c>
      <c r="C15" s="65"/>
    </row>
    <row r="16" spans="1:3">
      <c r="A16" s="769" t="s">
        <v>163</v>
      </c>
      <c r="B16" s="770"/>
      <c r="C16" s="85">
        <f>ROUND((B13*(B14*2)-($B$6*B15)),2)</f>
        <v>0</v>
      </c>
    </row>
    <row r="18" spans="1:3">
      <c r="A18" s="765" t="s">
        <v>164</v>
      </c>
      <c r="B18" s="766"/>
      <c r="C18" s="767"/>
    </row>
    <row r="19" spans="1:3">
      <c r="A19" s="29" t="s">
        <v>157</v>
      </c>
      <c r="B19" s="29">
        <f>+$B$4</f>
        <v>365.25</v>
      </c>
      <c r="C19" s="65"/>
    </row>
    <row r="20" spans="1:3">
      <c r="A20" s="29" t="s">
        <v>158</v>
      </c>
      <c r="B20" s="49">
        <v>12</v>
      </c>
      <c r="C20" s="65"/>
    </row>
    <row r="21" spans="1:3">
      <c r="A21" s="29" t="s">
        <v>159</v>
      </c>
      <c r="B21" s="39">
        <v>1</v>
      </c>
      <c r="C21" s="65"/>
    </row>
    <row r="22" spans="1:3">
      <c r="A22" s="49" t="s">
        <v>160</v>
      </c>
      <c r="B22" s="89">
        <f>+B5</f>
        <v>21.741071428571431</v>
      </c>
      <c r="C22" s="65"/>
    </row>
    <row r="23" spans="1:3">
      <c r="A23" s="90" t="s">
        <v>165</v>
      </c>
      <c r="B23" s="91"/>
      <c r="C23" s="65"/>
    </row>
    <row r="24" spans="1:3">
      <c r="A24" s="29" t="s">
        <v>166</v>
      </c>
      <c r="B24" s="39">
        <v>0.1</v>
      </c>
      <c r="C24" s="65"/>
    </row>
    <row r="25" spans="1:3">
      <c r="A25" s="769" t="s">
        <v>165</v>
      </c>
      <c r="B25" s="770"/>
      <c r="C25" s="85">
        <f>ROUND((B22*(B23)-((B22*B23)*B24)),2)</f>
        <v>0</v>
      </c>
    </row>
    <row r="27" spans="1:3">
      <c r="A27" s="765" t="s">
        <v>167</v>
      </c>
      <c r="B27" s="766"/>
      <c r="C27" s="767"/>
    </row>
    <row r="28" spans="1:3">
      <c r="A28" s="29" t="s">
        <v>168</v>
      </c>
      <c r="B28" s="40">
        <f>+B7</f>
        <v>0</v>
      </c>
      <c r="C28" s="65"/>
    </row>
    <row r="29" spans="1:3">
      <c r="A29" s="29" t="s">
        <v>169</v>
      </c>
      <c r="B29" s="29">
        <v>12</v>
      </c>
      <c r="C29" s="65"/>
    </row>
    <row r="30" spans="1:3">
      <c r="A30" s="92" t="s">
        <v>170</v>
      </c>
      <c r="B30" s="93"/>
      <c r="C30" s="65"/>
    </row>
    <row r="31" spans="1:3">
      <c r="A31" s="769" t="s">
        <v>171</v>
      </c>
      <c r="B31" s="770"/>
      <c r="C31" s="85">
        <f>ROUND(+(B28/B29)*B30,2)</f>
        <v>0</v>
      </c>
    </row>
    <row r="33" spans="1:3">
      <c r="A33" s="771" t="s">
        <v>172</v>
      </c>
      <c r="B33" s="772"/>
      <c r="C33" s="773"/>
    </row>
    <row r="34" spans="1:3" s="51" customFormat="1">
      <c r="A34" s="94" t="s">
        <v>173</v>
      </c>
      <c r="B34" s="93">
        <f>+B30</f>
        <v>0</v>
      </c>
      <c r="C34" s="65"/>
    </row>
    <row r="35" spans="1:3">
      <c r="A35" s="29" t="s">
        <v>174</v>
      </c>
      <c r="B35" s="40">
        <f>+'Servente 44h seg a sex'!$D$23</f>
        <v>0</v>
      </c>
      <c r="C35" s="65"/>
    </row>
    <row r="36" spans="1:3">
      <c r="A36" s="29" t="s">
        <v>55</v>
      </c>
      <c r="B36" s="40">
        <f>+'Servente 44h seg a sex'!$D$29</f>
        <v>0</v>
      </c>
      <c r="C36" s="65"/>
    </row>
    <row r="37" spans="1:3">
      <c r="A37" s="95" t="s">
        <v>58</v>
      </c>
      <c r="B37" s="40">
        <f>+'Servente 44h seg a sex'!$D$31</f>
        <v>0</v>
      </c>
      <c r="C37" s="65"/>
    </row>
    <row r="38" spans="1:3">
      <c r="A38" s="95" t="s">
        <v>60</v>
      </c>
      <c r="B38" s="40">
        <f>+'Servente 44h seg a sex'!$D$32</f>
        <v>0</v>
      </c>
      <c r="C38" s="65"/>
    </row>
    <row r="39" spans="1:3">
      <c r="A39" s="96" t="s">
        <v>175</v>
      </c>
      <c r="B39" s="97">
        <f>SUM(B35:B38)</f>
        <v>0</v>
      </c>
      <c r="C39" s="65"/>
    </row>
    <row r="40" spans="1:3">
      <c r="A40" s="60" t="s">
        <v>176</v>
      </c>
      <c r="B40" s="39">
        <v>0.4</v>
      </c>
      <c r="C40" s="65"/>
    </row>
    <row r="41" spans="1:3">
      <c r="A41" s="60" t="s">
        <v>177</v>
      </c>
      <c r="B41" s="39">
        <f>+'Servente 44h seg a sex'!$C$44</f>
        <v>0.08</v>
      </c>
      <c r="C41" s="65"/>
    </row>
    <row r="42" spans="1:3">
      <c r="A42" s="752" t="s">
        <v>178</v>
      </c>
      <c r="B42" s="753"/>
      <c r="C42" s="75">
        <f>ROUND(+B39*B40*B41*B34,2)</f>
        <v>0</v>
      </c>
    </row>
    <row r="43" spans="1:3">
      <c r="A43" s="60" t="s">
        <v>179</v>
      </c>
      <c r="B43" s="39"/>
      <c r="C43" s="65"/>
    </row>
    <row r="44" spans="1:3">
      <c r="A44" s="752" t="s">
        <v>180</v>
      </c>
      <c r="B44" s="753"/>
      <c r="C44" s="98">
        <f>ROUND(B43*B41*B39*B34,2)</f>
        <v>0</v>
      </c>
    </row>
    <row r="45" spans="1:3">
      <c r="A45" s="769" t="s">
        <v>181</v>
      </c>
      <c r="B45" s="770"/>
      <c r="C45" s="77">
        <f>+C44+C42</f>
        <v>0</v>
      </c>
    </row>
    <row r="47" spans="1:3">
      <c r="A47" s="765" t="s">
        <v>182</v>
      </c>
      <c r="B47" s="766"/>
      <c r="C47" s="767"/>
    </row>
    <row r="48" spans="1:3">
      <c r="A48" s="29" t="s">
        <v>168</v>
      </c>
      <c r="B48" s="40">
        <f>+B7</f>
        <v>0</v>
      </c>
      <c r="C48" s="65"/>
    </row>
    <row r="49" spans="1:3">
      <c r="A49" s="29" t="s">
        <v>183</v>
      </c>
      <c r="B49" s="99">
        <v>30</v>
      </c>
      <c r="C49" s="65"/>
    </row>
    <row r="50" spans="1:3">
      <c r="A50" s="29" t="s">
        <v>169</v>
      </c>
      <c r="B50" s="29">
        <v>12</v>
      </c>
      <c r="C50" s="65"/>
    </row>
    <row r="51" spans="1:3">
      <c r="A51" s="29" t="s">
        <v>184</v>
      </c>
      <c r="B51" s="29">
        <v>7</v>
      </c>
      <c r="C51" s="65"/>
    </row>
    <row r="52" spans="1:3">
      <c r="A52" s="92" t="s">
        <v>185</v>
      </c>
      <c r="B52" s="93"/>
      <c r="C52" s="65"/>
    </row>
    <row r="53" spans="1:3">
      <c r="A53" s="769" t="s">
        <v>186</v>
      </c>
      <c r="B53" s="770"/>
      <c r="C53" s="85">
        <f>+ROUND(((B48/B49/B50)*B51)*B52,2)</f>
        <v>0</v>
      </c>
    </row>
    <row r="55" spans="1:3">
      <c r="A55" s="771" t="s">
        <v>187</v>
      </c>
      <c r="B55" s="772"/>
      <c r="C55" s="773"/>
    </row>
    <row r="56" spans="1:3">
      <c r="A56" s="100" t="s">
        <v>188</v>
      </c>
      <c r="B56" s="93">
        <f>+B52</f>
        <v>0</v>
      </c>
      <c r="C56" s="65"/>
    </row>
    <row r="57" spans="1:3">
      <c r="A57" s="29" t="s">
        <v>174</v>
      </c>
      <c r="B57" s="40">
        <f>+'Servente 44h seg a sex'!$D$23</f>
        <v>0</v>
      </c>
      <c r="C57" s="65"/>
    </row>
    <row r="58" spans="1:3">
      <c r="A58" s="29" t="s">
        <v>55</v>
      </c>
      <c r="B58" s="40">
        <f>+'Servente 44h seg a sex'!$D$29</f>
        <v>0</v>
      </c>
      <c r="C58" s="65"/>
    </row>
    <row r="59" spans="1:3">
      <c r="A59" s="95" t="s">
        <v>58</v>
      </c>
      <c r="B59" s="40">
        <f>+'Servente 44h seg a sex'!$D$31</f>
        <v>0</v>
      </c>
      <c r="C59" s="65"/>
    </row>
    <row r="60" spans="1:3">
      <c r="A60" s="95" t="s">
        <v>60</v>
      </c>
      <c r="B60" s="40">
        <f>+'Servente 44h seg a sex'!$D$32</f>
        <v>0</v>
      </c>
      <c r="C60" s="65"/>
    </row>
    <row r="61" spans="1:3">
      <c r="A61" s="96" t="s">
        <v>175</v>
      </c>
      <c r="B61" s="97">
        <f>SUM(B57:B60)</f>
        <v>0</v>
      </c>
      <c r="C61" s="65"/>
    </row>
    <row r="62" spans="1:3">
      <c r="A62" s="60" t="s">
        <v>176</v>
      </c>
      <c r="B62" s="39">
        <v>0.4</v>
      </c>
      <c r="C62" s="65"/>
    </row>
    <row r="63" spans="1:3">
      <c r="A63" s="60" t="s">
        <v>177</v>
      </c>
      <c r="B63" s="39">
        <f>+'Servente 44h seg a sex'!$C$44</f>
        <v>0.08</v>
      </c>
      <c r="C63" s="65"/>
    </row>
    <row r="64" spans="1:3">
      <c r="A64" s="752" t="s">
        <v>178</v>
      </c>
      <c r="B64" s="753"/>
      <c r="C64" s="75">
        <f>ROUND(+B61*B62*B63*B56,2)</f>
        <v>0</v>
      </c>
    </row>
    <row r="65" spans="1:3">
      <c r="A65" s="60" t="s">
        <v>179</v>
      </c>
      <c r="B65" s="39"/>
      <c r="C65" s="65"/>
    </row>
    <row r="66" spans="1:3">
      <c r="A66" s="752" t="s">
        <v>180</v>
      </c>
      <c r="B66" s="753"/>
      <c r="C66" s="98">
        <f>ROUND(B65*B63*B61*B56,2)</f>
        <v>0</v>
      </c>
    </row>
    <row r="67" spans="1:3">
      <c r="A67" s="769" t="s">
        <v>189</v>
      </c>
      <c r="B67" s="770"/>
      <c r="C67" s="77">
        <f>+C66+C64</f>
        <v>0</v>
      </c>
    </row>
    <row r="69" spans="1:3">
      <c r="A69" s="771" t="s">
        <v>190</v>
      </c>
      <c r="B69" s="772"/>
      <c r="C69" s="773"/>
    </row>
    <row r="70" spans="1:3">
      <c r="A70" s="774" t="s">
        <v>191</v>
      </c>
      <c r="B70" s="775"/>
      <c r="C70" s="776"/>
    </row>
    <row r="71" spans="1:3">
      <c r="A71" s="777"/>
      <c r="B71" s="778"/>
      <c r="C71" s="779"/>
    </row>
    <row r="72" spans="1:3">
      <c r="A72" s="777"/>
      <c r="B72" s="778"/>
      <c r="C72" s="779"/>
    </row>
    <row r="73" spans="1:3">
      <c r="A73" s="780"/>
      <c r="B73" s="781"/>
      <c r="C73" s="782"/>
    </row>
    <row r="74" spans="1:3">
      <c r="A74" s="101"/>
      <c r="B74" s="101"/>
      <c r="C74" s="101"/>
    </row>
    <row r="75" spans="1:3">
      <c r="A75" s="771" t="s">
        <v>192</v>
      </c>
      <c r="B75" s="772"/>
      <c r="C75" s="773"/>
    </row>
    <row r="76" spans="1:3">
      <c r="A76" s="29" t="s">
        <v>193</v>
      </c>
      <c r="B76" s="40">
        <f>+$B$7</f>
        <v>0</v>
      </c>
      <c r="C76" s="65"/>
    </row>
    <row r="77" spans="1:3">
      <c r="A77" s="29" t="s">
        <v>158</v>
      </c>
      <c r="B77" s="29">
        <v>30</v>
      </c>
      <c r="C77" s="65"/>
    </row>
    <row r="78" spans="1:3">
      <c r="A78" s="29" t="s">
        <v>194</v>
      </c>
      <c r="B78" s="29">
        <v>12</v>
      </c>
      <c r="C78" s="65"/>
    </row>
    <row r="79" spans="1:3">
      <c r="A79" s="92" t="s">
        <v>195</v>
      </c>
      <c r="B79" s="92"/>
      <c r="C79" s="65"/>
    </row>
    <row r="80" spans="1:3">
      <c r="A80" s="769" t="s">
        <v>196</v>
      </c>
      <c r="B80" s="770"/>
      <c r="C80" s="58">
        <f>+ROUND((B76/B77/B78)*B79,2)</f>
        <v>0</v>
      </c>
    </row>
    <row r="82" spans="1:3">
      <c r="A82" s="771" t="s">
        <v>197</v>
      </c>
      <c r="B82" s="772"/>
      <c r="C82" s="773"/>
    </row>
    <row r="83" spans="1:3">
      <c r="A83" s="29" t="s">
        <v>193</v>
      </c>
      <c r="B83" s="40">
        <f>+$B$7</f>
        <v>0</v>
      </c>
      <c r="C83" s="65"/>
    </row>
    <row r="84" spans="1:3">
      <c r="A84" s="29" t="s">
        <v>158</v>
      </c>
      <c r="B84" s="29">
        <v>30</v>
      </c>
      <c r="C84" s="65"/>
    </row>
    <row r="85" spans="1:3">
      <c r="A85" s="29" t="s">
        <v>194</v>
      </c>
      <c r="B85" s="29">
        <v>12</v>
      </c>
      <c r="C85" s="65"/>
    </row>
    <row r="86" spans="1:3">
      <c r="A86" s="49" t="s">
        <v>198</v>
      </c>
      <c r="B86" s="29">
        <v>5</v>
      </c>
      <c r="C86" s="65"/>
    </row>
    <row r="87" spans="1:3">
      <c r="A87" s="92" t="s">
        <v>199</v>
      </c>
      <c r="B87" s="93"/>
      <c r="C87" s="65"/>
    </row>
    <row r="88" spans="1:3">
      <c r="A88" s="92" t="s">
        <v>200</v>
      </c>
      <c r="B88" s="93"/>
      <c r="C88" s="65"/>
    </row>
    <row r="89" spans="1:3">
      <c r="A89" s="769" t="s">
        <v>201</v>
      </c>
      <c r="B89" s="770"/>
      <c r="C89" s="85">
        <f>ROUND(+B83/B84/B85*B86*B87*B88,2)</f>
        <v>0</v>
      </c>
    </row>
    <row r="91" spans="1:3">
      <c r="A91" s="771" t="s">
        <v>202</v>
      </c>
      <c r="B91" s="772"/>
      <c r="C91" s="773"/>
    </row>
    <row r="92" spans="1:3">
      <c r="A92" s="29" t="s">
        <v>193</v>
      </c>
      <c r="B92" s="40">
        <f>+$B$7</f>
        <v>0</v>
      </c>
      <c r="C92" s="65"/>
    </row>
    <row r="93" spans="1:3">
      <c r="A93" s="29" t="s">
        <v>158</v>
      </c>
      <c r="B93" s="29">
        <v>30</v>
      </c>
      <c r="C93" s="65"/>
    </row>
    <row r="94" spans="1:3">
      <c r="A94" s="29" t="s">
        <v>194</v>
      </c>
      <c r="B94" s="29">
        <v>12</v>
      </c>
      <c r="C94" s="65"/>
    </row>
    <row r="95" spans="1:3">
      <c r="A95" s="49" t="s">
        <v>203</v>
      </c>
      <c r="B95" s="29">
        <v>15</v>
      </c>
      <c r="C95" s="65"/>
    </row>
    <row r="96" spans="1:3">
      <c r="A96" s="92" t="s">
        <v>204</v>
      </c>
      <c r="B96" s="93"/>
      <c r="C96" s="65"/>
    </row>
    <row r="97" spans="1:3">
      <c r="A97" s="769" t="s">
        <v>205</v>
      </c>
      <c r="B97" s="770"/>
      <c r="C97" s="85">
        <f>ROUND(+B92/B93/B94*B95*B96,2)</f>
        <v>0</v>
      </c>
    </row>
    <row r="99" spans="1:3">
      <c r="A99" s="771" t="s">
        <v>206</v>
      </c>
      <c r="B99" s="772"/>
      <c r="C99" s="773"/>
    </row>
    <row r="100" spans="1:3">
      <c r="A100" s="29" t="s">
        <v>193</v>
      </c>
      <c r="B100" s="40">
        <f>+$B$7</f>
        <v>0</v>
      </c>
      <c r="C100" s="65"/>
    </row>
    <row r="101" spans="1:3">
      <c r="A101" s="29" t="s">
        <v>158</v>
      </c>
      <c r="B101" s="29">
        <v>30</v>
      </c>
      <c r="C101" s="65"/>
    </row>
    <row r="102" spans="1:3">
      <c r="A102" s="29" t="s">
        <v>194</v>
      </c>
      <c r="B102" s="29">
        <v>12</v>
      </c>
      <c r="C102" s="65"/>
    </row>
    <row r="103" spans="1:3">
      <c r="A103" s="49" t="s">
        <v>203</v>
      </c>
      <c r="B103" s="29">
        <v>5</v>
      </c>
      <c r="C103" s="65"/>
    </row>
    <row r="104" spans="1:3">
      <c r="A104" s="92" t="s">
        <v>207</v>
      </c>
      <c r="B104" s="93"/>
      <c r="C104" s="65"/>
    </row>
    <row r="105" spans="1:3">
      <c r="A105" s="769" t="s">
        <v>208</v>
      </c>
      <c r="B105" s="770"/>
      <c r="C105" s="85">
        <f>ROUND(+B100/B101/B102*B103*B104,2)</f>
        <v>0</v>
      </c>
    </row>
    <row r="107" spans="1:3">
      <c r="A107" s="771" t="s">
        <v>209</v>
      </c>
      <c r="B107" s="772"/>
      <c r="C107" s="773"/>
    </row>
    <row r="108" spans="1:3">
      <c r="A108" s="783" t="s">
        <v>210</v>
      </c>
      <c r="B108" s="784"/>
      <c r="C108" s="785"/>
    </row>
    <row r="109" spans="1:3">
      <c r="A109" s="29" t="s">
        <v>193</v>
      </c>
      <c r="B109" s="40">
        <f>+$B$7</f>
        <v>0</v>
      </c>
      <c r="C109" s="65"/>
    </row>
    <row r="110" spans="1:3">
      <c r="A110" s="29" t="s">
        <v>211</v>
      </c>
      <c r="B110" s="40">
        <f>+B109*(1/3)</f>
        <v>0</v>
      </c>
      <c r="C110" s="65"/>
    </row>
    <row r="111" spans="1:3">
      <c r="A111" s="96" t="s">
        <v>175</v>
      </c>
      <c r="B111" s="97">
        <f>SUM(B109:B110)</f>
        <v>0</v>
      </c>
      <c r="C111" s="65"/>
    </row>
    <row r="112" spans="1:3">
      <c r="A112" s="29" t="s">
        <v>212</v>
      </c>
      <c r="B112" s="29">
        <v>4</v>
      </c>
      <c r="C112" s="65"/>
    </row>
    <row r="113" spans="1:3">
      <c r="A113" s="29" t="s">
        <v>194</v>
      </c>
      <c r="B113" s="29">
        <v>12</v>
      </c>
      <c r="C113" s="65"/>
    </row>
    <row r="114" spans="1:3">
      <c r="A114" s="92" t="s">
        <v>213</v>
      </c>
      <c r="B114" s="93"/>
      <c r="C114" s="65"/>
    </row>
    <row r="115" spans="1:3">
      <c r="A115" s="92" t="s">
        <v>214</v>
      </c>
      <c r="B115" s="93"/>
      <c r="C115" s="65"/>
    </row>
    <row r="116" spans="1:3">
      <c r="A116" s="769" t="s">
        <v>215</v>
      </c>
      <c r="B116" s="770"/>
      <c r="C116" s="85">
        <f>ROUND((((+B111*(B112/B113)/B113)*B114)*B115),2)</f>
        <v>0</v>
      </c>
    </row>
    <row r="117" spans="1:3">
      <c r="A117" s="769" t="s">
        <v>216</v>
      </c>
      <c r="B117" s="786"/>
      <c r="C117" s="770"/>
    </row>
    <row r="118" spans="1:3">
      <c r="A118" s="29" t="s">
        <v>193</v>
      </c>
      <c r="B118" s="40">
        <f>+'Servente 44h seg a sex'!D23</f>
        <v>0</v>
      </c>
      <c r="C118" s="65"/>
    </row>
    <row r="119" spans="1:3">
      <c r="A119" s="29" t="s">
        <v>55</v>
      </c>
      <c r="B119" s="40">
        <f>+'Servente 44h seg a sex'!D29</f>
        <v>0</v>
      </c>
      <c r="C119" s="65"/>
    </row>
    <row r="120" spans="1:3">
      <c r="A120" s="96" t="s">
        <v>175</v>
      </c>
      <c r="B120" s="97">
        <f>SUM(B118:B119)</f>
        <v>0</v>
      </c>
      <c r="C120" s="65"/>
    </row>
    <row r="121" spans="1:3">
      <c r="A121" s="29" t="s">
        <v>212</v>
      </c>
      <c r="B121" s="29">
        <v>4</v>
      </c>
      <c r="C121" s="65"/>
    </row>
    <row r="122" spans="1:3">
      <c r="A122" s="29" t="s">
        <v>194</v>
      </c>
      <c r="B122" s="29">
        <v>12</v>
      </c>
      <c r="C122" s="65"/>
    </row>
    <row r="123" spans="1:3">
      <c r="A123" s="92" t="s">
        <v>213</v>
      </c>
      <c r="B123" s="93">
        <f>+B114</f>
        <v>0</v>
      </c>
      <c r="C123" s="65"/>
    </row>
    <row r="124" spans="1:3">
      <c r="A124" s="92" t="s">
        <v>214</v>
      </c>
      <c r="B124" s="93">
        <f>+B115</f>
        <v>0</v>
      </c>
      <c r="C124" s="65"/>
    </row>
    <row r="125" spans="1:3">
      <c r="A125" s="49" t="s">
        <v>217</v>
      </c>
      <c r="B125" s="39">
        <f>+'Servente 44h seg a sex'!C45</f>
        <v>0.36800000000000005</v>
      </c>
      <c r="C125" s="65"/>
    </row>
    <row r="126" spans="1:3">
      <c r="A126" s="769" t="s">
        <v>218</v>
      </c>
      <c r="B126" s="770"/>
      <c r="C126" s="77">
        <f>ROUND((((B120*(B121/B122)*B123)*B124)*B125),2)</f>
        <v>0</v>
      </c>
    </row>
    <row r="128" spans="1:3" ht="30.75" customHeight="1">
      <c r="A128" s="787" t="s">
        <v>219</v>
      </c>
      <c r="B128" s="787"/>
      <c r="C128" s="787"/>
    </row>
    <row r="130" spans="1:3">
      <c r="A130" s="788" t="s">
        <v>220</v>
      </c>
      <c r="B130" s="788"/>
      <c r="C130" s="788"/>
    </row>
    <row r="131" spans="1:3">
      <c r="A131" s="29" t="s">
        <v>157</v>
      </c>
      <c r="B131" s="29">
        <v>365.25</v>
      </c>
      <c r="C131" s="65"/>
    </row>
    <row r="132" spans="1:3">
      <c r="A132" s="29" t="s">
        <v>158</v>
      </c>
      <c r="B132" s="49">
        <v>12</v>
      </c>
      <c r="C132" s="65"/>
    </row>
    <row r="133" spans="1:3">
      <c r="A133" s="29" t="s">
        <v>159</v>
      </c>
      <c r="B133" s="39">
        <v>0.5</v>
      </c>
      <c r="C133" s="65"/>
    </row>
    <row r="134" spans="1:3">
      <c r="A134" s="102" t="s">
        <v>221</v>
      </c>
      <c r="B134" s="49">
        <v>7</v>
      </c>
      <c r="C134" s="65"/>
    </row>
    <row r="135" spans="1:3">
      <c r="A135" s="49" t="s">
        <v>222</v>
      </c>
      <c r="B135" s="65"/>
      <c r="C135" s="40">
        <f>+'Servente 44h seg a sex'!$D$12</f>
        <v>0</v>
      </c>
    </row>
    <row r="136" spans="1:3">
      <c r="A136" s="49" t="s">
        <v>34</v>
      </c>
      <c r="B136" s="65"/>
      <c r="C136" s="40">
        <f>+'Servente 44h seg a sex'!$D$13</f>
        <v>0</v>
      </c>
    </row>
    <row r="137" spans="1:3">
      <c r="A137" s="49" t="s">
        <v>35</v>
      </c>
      <c r="B137" s="65"/>
      <c r="C137" s="40">
        <f>+'Servente 44h seg a sex'!$D$14</f>
        <v>0</v>
      </c>
    </row>
    <row r="138" spans="1:3">
      <c r="A138" s="96" t="s">
        <v>223</v>
      </c>
      <c r="B138" s="65"/>
      <c r="C138" s="97">
        <f>SUM(C135:C137)</f>
        <v>0</v>
      </c>
    </row>
    <row r="139" spans="1:3">
      <c r="A139" s="29" t="s">
        <v>152</v>
      </c>
      <c r="B139" s="103">
        <f>+B3</f>
        <v>220</v>
      </c>
      <c r="C139" s="65"/>
    </row>
    <row r="140" spans="1:3">
      <c r="A140" s="49" t="s">
        <v>224</v>
      </c>
      <c r="B140" s="39">
        <v>0.2</v>
      </c>
      <c r="C140" s="65"/>
    </row>
    <row r="141" spans="1:3">
      <c r="A141" s="49" t="s">
        <v>225</v>
      </c>
      <c r="B141" s="65"/>
      <c r="C141" s="104">
        <f>ROUND((C138/B139)*B140,2)</f>
        <v>0</v>
      </c>
    </row>
    <row r="142" spans="1:3">
      <c r="A142" s="49" t="s">
        <v>226</v>
      </c>
      <c r="B142" s="29">
        <f>ROUND(+B131/B132*B133*B134,0)</f>
        <v>107</v>
      </c>
      <c r="C142" s="105"/>
    </row>
    <row r="143" spans="1:3">
      <c r="A143" s="789" t="s">
        <v>227</v>
      </c>
      <c r="B143" s="789"/>
      <c r="C143" s="68">
        <f>ROUND(+B142*C141,2)</f>
        <v>0</v>
      </c>
    </row>
    <row r="145" spans="1:3">
      <c r="A145" s="788" t="s">
        <v>228</v>
      </c>
      <c r="B145" s="788"/>
      <c r="C145" s="788"/>
    </row>
    <row r="146" spans="1:3">
      <c r="A146" s="29" t="s">
        <v>157</v>
      </c>
      <c r="B146" s="29">
        <f>+$B$4</f>
        <v>365.25</v>
      </c>
      <c r="C146" s="65"/>
    </row>
    <row r="147" spans="1:3">
      <c r="A147" s="29" t="s">
        <v>158</v>
      </c>
      <c r="B147" s="49">
        <v>12</v>
      </c>
      <c r="C147" s="65"/>
    </row>
    <row r="148" spans="1:3">
      <c r="A148" s="29" t="s">
        <v>159</v>
      </c>
      <c r="B148" s="39">
        <v>0.5</v>
      </c>
      <c r="C148" s="65"/>
    </row>
    <row r="149" spans="1:3">
      <c r="A149" s="102" t="s">
        <v>221</v>
      </c>
      <c r="B149" s="49">
        <v>7</v>
      </c>
      <c r="C149" s="65"/>
    </row>
    <row r="150" spans="1:3">
      <c r="A150" s="49" t="s">
        <v>229</v>
      </c>
      <c r="B150" s="88">
        <f>(365.25/12/2)/(7/7)</f>
        <v>15.21875</v>
      </c>
      <c r="C150" s="29"/>
    </row>
    <row r="151" spans="1:3">
      <c r="A151" s="49" t="s">
        <v>230</v>
      </c>
      <c r="B151" s="29">
        <f>ROUND(+B150*B149,2)</f>
        <v>106.53</v>
      </c>
      <c r="C151" s="29"/>
    </row>
    <row r="152" spans="1:3">
      <c r="A152" s="49" t="s">
        <v>222</v>
      </c>
      <c r="B152" s="65"/>
      <c r="C152" s="40">
        <f>+'Servente 44h seg a sex'!$D$12</f>
        <v>0</v>
      </c>
    </row>
    <row r="153" spans="1:3">
      <c r="A153" s="49" t="s">
        <v>34</v>
      </c>
      <c r="B153" s="65"/>
      <c r="C153" s="40">
        <f>+'Servente 44h seg a sex'!$D$13</f>
        <v>0</v>
      </c>
    </row>
    <row r="154" spans="1:3">
      <c r="A154" s="49" t="s">
        <v>35</v>
      </c>
      <c r="B154" s="65"/>
      <c r="C154" s="40">
        <f>+'Servente 44h seg a sex'!$D$14</f>
        <v>0</v>
      </c>
    </row>
    <row r="155" spans="1:3">
      <c r="A155" s="96" t="s">
        <v>223</v>
      </c>
      <c r="B155" s="65"/>
      <c r="C155" s="97">
        <f>SUM(C152:C154)</f>
        <v>0</v>
      </c>
    </row>
    <row r="156" spans="1:3">
      <c r="A156" s="29" t="s">
        <v>152</v>
      </c>
      <c r="B156" s="103">
        <f>+B3</f>
        <v>220</v>
      </c>
      <c r="C156" s="65"/>
    </row>
    <row r="157" spans="1:3">
      <c r="A157" s="49" t="s">
        <v>224</v>
      </c>
      <c r="B157" s="39">
        <v>0.2</v>
      </c>
      <c r="C157" s="65"/>
    </row>
    <row r="158" spans="1:3">
      <c r="A158" s="49" t="s">
        <v>225</v>
      </c>
      <c r="B158" s="65"/>
      <c r="C158" s="104">
        <f>ROUND((C155/B156)*B157,2)</f>
        <v>0</v>
      </c>
    </row>
    <row r="159" spans="1:3">
      <c r="A159" s="49" t="s">
        <v>231</v>
      </c>
      <c r="B159" s="29">
        <v>60</v>
      </c>
      <c r="C159" s="65"/>
    </row>
    <row r="160" spans="1:3">
      <c r="A160" s="49" t="s">
        <v>232</v>
      </c>
      <c r="B160" s="29">
        <v>52.5</v>
      </c>
      <c r="C160" s="65"/>
    </row>
    <row r="161" spans="1:3">
      <c r="A161" s="49" t="s">
        <v>233</v>
      </c>
      <c r="B161" s="29">
        <f>+B159/B160</f>
        <v>1.1428571428571428</v>
      </c>
      <c r="C161" s="65"/>
    </row>
    <row r="162" spans="1:3">
      <c r="A162" s="49" t="s">
        <v>234</v>
      </c>
      <c r="B162" s="29">
        <f>ROUND(+B161*B151,2)</f>
        <v>121.75</v>
      </c>
      <c r="C162" s="65"/>
    </row>
    <row r="163" spans="1:3">
      <c r="A163" s="49" t="s">
        <v>235</v>
      </c>
      <c r="B163" s="29">
        <f>ROUND(B162-B151,2)</f>
        <v>15.22</v>
      </c>
      <c r="C163" s="105"/>
    </row>
    <row r="164" spans="1:3">
      <c r="A164" s="754" t="s">
        <v>236</v>
      </c>
      <c r="B164" s="754"/>
      <c r="C164" s="77">
        <f>+B163*C158</f>
        <v>0</v>
      </c>
    </row>
  </sheetData>
  <mergeCells count="37">
    <mergeCell ref="A164:B164"/>
    <mergeCell ref="A117:C117"/>
    <mergeCell ref="A126:B126"/>
    <mergeCell ref="A128:C128"/>
    <mergeCell ref="A130:C130"/>
    <mergeCell ref="A143:B143"/>
    <mergeCell ref="A145:C145"/>
    <mergeCell ref="A116:B116"/>
    <mergeCell ref="A70:C73"/>
    <mergeCell ref="A75:C75"/>
    <mergeCell ref="A80:B80"/>
    <mergeCell ref="A82:C82"/>
    <mergeCell ref="A89:B89"/>
    <mergeCell ref="A91:C91"/>
    <mergeCell ref="A97:B97"/>
    <mergeCell ref="A99:C99"/>
    <mergeCell ref="A105:B105"/>
    <mergeCell ref="A107:C107"/>
    <mergeCell ref="A108:C108"/>
    <mergeCell ref="A69:C69"/>
    <mergeCell ref="A31:B31"/>
    <mergeCell ref="A33:C33"/>
    <mergeCell ref="A42:B42"/>
    <mergeCell ref="A44:B44"/>
    <mergeCell ref="A45:B45"/>
    <mergeCell ref="A47:C47"/>
    <mergeCell ref="A53:B53"/>
    <mergeCell ref="A55:C55"/>
    <mergeCell ref="A64:B64"/>
    <mergeCell ref="A66:B66"/>
    <mergeCell ref="A67:B67"/>
    <mergeCell ref="A27:C27"/>
    <mergeCell ref="A1:C1"/>
    <mergeCell ref="A9:C9"/>
    <mergeCell ref="A16:B16"/>
    <mergeCell ref="A18:C18"/>
    <mergeCell ref="A25:B25"/>
  </mergeCells>
  <pageMargins left="1.1023622047244095" right="0.15748031496062992" top="0.31496062992125984" bottom="0.39370078740157483" header="0.31496062992125984" footer="0.31496062992125984"/>
  <pageSetup paperSize="9" scale="85" orientation="portrait" r:id="rId1"/>
  <headerFooter>
    <oddFoote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G168"/>
  <sheetViews>
    <sheetView topLeftCell="A153" workbookViewId="0">
      <selection activeCell="B177" sqref="B177"/>
    </sheetView>
  </sheetViews>
  <sheetFormatPr defaultRowHeight="13.2"/>
  <cols>
    <col min="1" max="1" width="5.6328125" customWidth="1"/>
    <col min="2" max="2" width="50.453125" customWidth="1"/>
    <col min="3" max="3" width="9.36328125" bestFit="1" customWidth="1"/>
    <col min="4" max="4" width="15.6328125" customWidth="1"/>
    <col min="5" max="5" width="11.7265625" bestFit="1" customWidth="1"/>
  </cols>
  <sheetData>
    <row r="1" spans="1:6">
      <c r="A1" s="718" t="s">
        <v>22</v>
      </c>
      <c r="B1" s="719"/>
      <c r="C1" s="719"/>
      <c r="D1" s="720"/>
      <c r="E1" s="6"/>
      <c r="F1" s="6"/>
    </row>
    <row r="3" spans="1:6">
      <c r="A3" s="721" t="s">
        <v>23</v>
      </c>
      <c r="B3" s="722"/>
      <c r="C3" s="722"/>
      <c r="D3" s="723"/>
    </row>
    <row r="4" spans="1:6" s="9" customFormat="1">
      <c r="A4" s="148">
        <v>1</v>
      </c>
      <c r="B4" s="149" t="s">
        <v>24</v>
      </c>
      <c r="C4" s="790" t="s">
        <v>274</v>
      </c>
      <c r="D4" s="791"/>
    </row>
    <row r="5" spans="1:6" s="9" customFormat="1">
      <c r="A5" s="148">
        <v>2</v>
      </c>
      <c r="B5" s="149" t="s">
        <v>25</v>
      </c>
      <c r="C5" s="792" t="s">
        <v>270</v>
      </c>
      <c r="D5" s="793"/>
    </row>
    <row r="6" spans="1:6" s="9" customFormat="1">
      <c r="A6" s="148">
        <v>3</v>
      </c>
      <c r="B6" s="149" t="s">
        <v>26</v>
      </c>
      <c r="C6" s="794">
        <f>+Resumo!H19</f>
        <v>0</v>
      </c>
      <c r="D6" s="794"/>
    </row>
    <row r="7" spans="1:6" s="9" customFormat="1">
      <c r="A7" s="148">
        <v>4</v>
      </c>
      <c r="B7" s="149" t="s">
        <v>27</v>
      </c>
      <c r="C7" s="795" t="s">
        <v>256</v>
      </c>
      <c r="D7" s="796"/>
    </row>
    <row r="8" spans="1:6" s="9" customFormat="1">
      <c r="A8" s="148">
        <v>5</v>
      </c>
      <c r="B8" s="149" t="s">
        <v>28</v>
      </c>
      <c r="C8" s="797">
        <v>43524</v>
      </c>
      <c r="D8" s="793"/>
    </row>
    <row r="9" spans="1:6">
      <c r="D9" s="10"/>
    </row>
    <row r="10" spans="1:6">
      <c r="A10" s="732" t="s">
        <v>29</v>
      </c>
      <c r="B10" s="733"/>
      <c r="C10" s="733"/>
      <c r="D10" s="733"/>
    </row>
    <row r="11" spans="1:6">
      <c r="A11" s="11">
        <v>1</v>
      </c>
      <c r="B11" s="12" t="s">
        <v>30</v>
      </c>
      <c r="C11" s="13" t="s">
        <v>31</v>
      </c>
      <c r="D11" s="14" t="s">
        <v>32</v>
      </c>
    </row>
    <row r="12" spans="1:6">
      <c r="A12" s="110" t="s">
        <v>4</v>
      </c>
      <c r="B12" s="734" t="s">
        <v>33</v>
      </c>
      <c r="C12" s="734"/>
      <c r="D12" s="17">
        <f>+C6</f>
        <v>0</v>
      </c>
    </row>
    <row r="13" spans="1:6">
      <c r="A13" s="110" t="s">
        <v>6</v>
      </c>
      <c r="B13" s="18" t="s">
        <v>34</v>
      </c>
      <c r="C13" s="19"/>
      <c r="D13" s="17"/>
      <c r="E13" s="20"/>
    </row>
    <row r="14" spans="1:6">
      <c r="A14" s="148" t="s">
        <v>9</v>
      </c>
      <c r="B14" s="150" t="s">
        <v>35</v>
      </c>
      <c r="C14" s="151">
        <v>0.4</v>
      </c>
      <c r="D14" s="152">
        <f>+C14*D12</f>
        <v>0</v>
      </c>
    </row>
    <row r="15" spans="1:6">
      <c r="A15" s="110" t="s">
        <v>11</v>
      </c>
      <c r="B15" s="734" t="s">
        <v>36</v>
      </c>
      <c r="C15" s="734"/>
      <c r="D15" s="17"/>
    </row>
    <row r="16" spans="1:6">
      <c r="A16" s="110" t="s">
        <v>37</v>
      </c>
      <c r="B16" s="734" t="s">
        <v>38</v>
      </c>
      <c r="C16" s="734"/>
      <c r="D16" s="17"/>
    </row>
    <row r="17" spans="1:6">
      <c r="A17" s="110" t="s">
        <v>39</v>
      </c>
      <c r="B17" s="716" t="s">
        <v>40</v>
      </c>
      <c r="C17" s="717"/>
      <c r="D17" s="17"/>
    </row>
    <row r="18" spans="1:6">
      <c r="A18" s="110" t="s">
        <v>41</v>
      </c>
      <c r="B18" s="734" t="s">
        <v>42</v>
      </c>
      <c r="C18" s="734"/>
      <c r="D18" s="17"/>
    </row>
    <row r="19" spans="1:6">
      <c r="A19" s="110" t="s">
        <v>43</v>
      </c>
      <c r="B19" s="716" t="s">
        <v>44</v>
      </c>
      <c r="C19" s="717"/>
      <c r="D19" s="21"/>
    </row>
    <row r="20" spans="1:6">
      <c r="A20" s="110" t="s">
        <v>45</v>
      </c>
      <c r="B20" s="18" t="s">
        <v>46</v>
      </c>
      <c r="C20" s="19"/>
      <c r="D20" s="17"/>
    </row>
    <row r="21" spans="1:6">
      <c r="A21" s="110" t="s">
        <v>47</v>
      </c>
      <c r="B21" s="735" t="s">
        <v>48</v>
      </c>
      <c r="C21" s="653"/>
      <c r="D21" s="22"/>
      <c r="F21" s="23"/>
    </row>
    <row r="22" spans="1:6">
      <c r="A22" s="110" t="s">
        <v>49</v>
      </c>
      <c r="B22" s="734" t="s">
        <v>50</v>
      </c>
      <c r="C22" s="734"/>
      <c r="D22" s="22"/>
    </row>
    <row r="23" spans="1:6">
      <c r="A23" s="736" t="s">
        <v>21</v>
      </c>
      <c r="B23" s="736"/>
      <c r="C23" s="736"/>
      <c r="D23" s="24">
        <f>SUM(D12:D22)</f>
        <v>0</v>
      </c>
    </row>
    <row r="25" spans="1:6">
      <c r="A25" s="732" t="s">
        <v>51</v>
      </c>
      <c r="B25" s="733"/>
      <c r="C25" s="733"/>
      <c r="D25" s="733"/>
    </row>
    <row r="27" spans="1:6">
      <c r="A27" s="732" t="s">
        <v>52</v>
      </c>
      <c r="B27" s="733"/>
      <c r="C27" s="733"/>
      <c r="D27" s="733"/>
    </row>
    <row r="28" spans="1:6">
      <c r="A28" s="25" t="s">
        <v>53</v>
      </c>
      <c r="B28" s="26" t="s">
        <v>54</v>
      </c>
      <c r="C28" s="27" t="s">
        <v>31</v>
      </c>
      <c r="D28" s="28" t="s">
        <v>32</v>
      </c>
    </row>
    <row r="29" spans="1:6">
      <c r="A29" s="110" t="s">
        <v>4</v>
      </c>
      <c r="B29" s="29" t="s">
        <v>55</v>
      </c>
      <c r="C29" s="30" t="e">
        <f>ROUND(+D29/$D$23,4)</f>
        <v>#DIV/0!</v>
      </c>
      <c r="D29" s="22">
        <f>ROUND(+D23/12,2)</f>
        <v>0</v>
      </c>
    </row>
    <row r="30" spans="1:6">
      <c r="A30" s="31" t="s">
        <v>6</v>
      </c>
      <c r="B30" s="32" t="s">
        <v>56</v>
      </c>
      <c r="C30" s="33" t="e">
        <f>ROUND(+D30/$D$23,4)</f>
        <v>#DIV/0!</v>
      </c>
      <c r="D30" s="34">
        <f>+D31+D32</f>
        <v>0</v>
      </c>
    </row>
    <row r="31" spans="1:6">
      <c r="A31" s="110" t="s">
        <v>57</v>
      </c>
      <c r="B31" s="35" t="s">
        <v>58</v>
      </c>
      <c r="C31" s="36" t="e">
        <f>ROUND(+D31/$D$23,4)</f>
        <v>#DIV/0!</v>
      </c>
      <c r="D31" s="37">
        <f>ROUND(+D23/12,2)</f>
        <v>0</v>
      </c>
    </row>
    <row r="32" spans="1:6">
      <c r="A32" s="110" t="s">
        <v>59</v>
      </c>
      <c r="B32" s="35" t="s">
        <v>60</v>
      </c>
      <c r="C32" s="36" t="e">
        <f>ROUND(+D32/$D$23,4)</f>
        <v>#DIV/0!</v>
      </c>
      <c r="D32" s="37">
        <f>ROUND(+(D23*1/3)/12,2)</f>
        <v>0</v>
      </c>
    </row>
    <row r="33" spans="1:4">
      <c r="A33" s="736" t="s">
        <v>21</v>
      </c>
      <c r="B33" s="736"/>
      <c r="C33" s="736"/>
      <c r="D33" s="24">
        <f>+D30+D29</f>
        <v>0</v>
      </c>
    </row>
    <row r="35" spans="1:4">
      <c r="A35" s="737" t="s">
        <v>61</v>
      </c>
      <c r="B35" s="738"/>
      <c r="C35" s="738"/>
      <c r="D35" s="738"/>
    </row>
    <row r="36" spans="1:4">
      <c r="A36" s="25" t="s">
        <v>62</v>
      </c>
      <c r="B36" s="38" t="s">
        <v>63</v>
      </c>
      <c r="C36" s="27" t="s">
        <v>31</v>
      </c>
      <c r="D36" s="28" t="s">
        <v>32</v>
      </c>
    </row>
    <row r="37" spans="1:4">
      <c r="A37" s="110" t="s">
        <v>4</v>
      </c>
      <c r="B37" s="29" t="s">
        <v>64</v>
      </c>
      <c r="C37" s="39">
        <v>0.2</v>
      </c>
      <c r="D37" s="40">
        <f>ROUND(C37*($D$23+$D$33),2)</f>
        <v>0</v>
      </c>
    </row>
    <row r="38" spans="1:4">
      <c r="A38" s="110" t="s">
        <v>6</v>
      </c>
      <c r="B38" s="29" t="s">
        <v>65</v>
      </c>
      <c r="C38" s="39">
        <v>2.5000000000000001E-2</v>
      </c>
      <c r="D38" s="40">
        <f>ROUND(C38*($D$23+$D$33),2)</f>
        <v>0</v>
      </c>
    </row>
    <row r="39" spans="1:4">
      <c r="A39" s="110" t="s">
        <v>9</v>
      </c>
      <c r="B39" s="29" t="s">
        <v>66</v>
      </c>
      <c r="C39" s="39">
        <f>3%</f>
        <v>0.03</v>
      </c>
      <c r="D39" s="40">
        <f t="shared" ref="D39:D43" si="0">ROUND(C39*($D$23+$D$33),2)</f>
        <v>0</v>
      </c>
    </row>
    <row r="40" spans="1:4">
      <c r="A40" s="110" t="s">
        <v>11</v>
      </c>
      <c r="B40" s="29" t="s">
        <v>67</v>
      </c>
      <c r="C40" s="39">
        <v>1.4999999999999999E-2</v>
      </c>
      <c r="D40" s="40">
        <f t="shared" si="0"/>
        <v>0</v>
      </c>
    </row>
    <row r="41" spans="1:4">
      <c r="A41" s="110" t="s">
        <v>37</v>
      </c>
      <c r="B41" s="29" t="s">
        <v>68</v>
      </c>
      <c r="C41" s="39">
        <v>0.01</v>
      </c>
      <c r="D41" s="40">
        <f t="shared" si="0"/>
        <v>0</v>
      </c>
    </row>
    <row r="42" spans="1:4">
      <c r="A42" s="110" t="s">
        <v>39</v>
      </c>
      <c r="B42" s="29" t="s">
        <v>69</v>
      </c>
      <c r="C42" s="39">
        <v>6.0000000000000001E-3</v>
      </c>
      <c r="D42" s="40">
        <f t="shared" si="0"/>
        <v>0</v>
      </c>
    </row>
    <row r="43" spans="1:4">
      <c r="A43" s="110" t="s">
        <v>41</v>
      </c>
      <c r="B43" s="29" t="s">
        <v>70</v>
      </c>
      <c r="C43" s="39">
        <v>2E-3</v>
      </c>
      <c r="D43" s="40">
        <f t="shared" si="0"/>
        <v>0</v>
      </c>
    </row>
    <row r="44" spans="1:4">
      <c r="A44" s="110" t="s">
        <v>43</v>
      </c>
      <c r="B44" s="29" t="s">
        <v>71</v>
      </c>
      <c r="C44" s="39">
        <v>0.08</v>
      </c>
      <c r="D44" s="40">
        <f>ROUND(C44*($D$23+$D$33),2)</f>
        <v>0</v>
      </c>
    </row>
    <row r="45" spans="1:4">
      <c r="A45" s="109" t="s">
        <v>21</v>
      </c>
      <c r="B45" s="112"/>
      <c r="C45" s="43">
        <f>SUM(C37:C44)</f>
        <v>0.36800000000000005</v>
      </c>
      <c r="D45" s="44">
        <f>SUM(D37:D44)</f>
        <v>0</v>
      </c>
    </row>
    <row r="46" spans="1:4">
      <c r="A46" s="45"/>
      <c r="B46" s="45"/>
      <c r="C46" s="45"/>
      <c r="D46" s="45"/>
    </row>
    <row r="47" spans="1:4">
      <c r="A47" s="737" t="s">
        <v>72</v>
      </c>
      <c r="B47" s="738"/>
      <c r="C47" s="738"/>
      <c r="D47" s="738"/>
    </row>
    <row r="48" spans="1:4">
      <c r="A48" s="25" t="s">
        <v>73</v>
      </c>
      <c r="B48" s="38" t="s">
        <v>74</v>
      </c>
      <c r="C48" s="27"/>
      <c r="D48" s="28" t="s">
        <v>32</v>
      </c>
    </row>
    <row r="49" spans="1:6">
      <c r="A49" s="46" t="s">
        <v>4</v>
      </c>
      <c r="B49" s="29" t="s">
        <v>75</v>
      </c>
      <c r="C49" s="47"/>
      <c r="D49" s="40">
        <f>+'Men Cal Servente 44h 40%'!C16</f>
        <v>0</v>
      </c>
    </row>
    <row r="50" spans="1:6" s="51" customFormat="1">
      <c r="A50" s="48" t="s">
        <v>76</v>
      </c>
      <c r="B50" s="49" t="s">
        <v>77</v>
      </c>
      <c r="C50" s="30">
        <f>+$C$135+$C$136</f>
        <v>9.2499999999999999E-2</v>
      </c>
      <c r="D50" s="50">
        <f>+(C50*D49)*-1</f>
        <v>0</v>
      </c>
      <c r="F50" s="52"/>
    </row>
    <row r="51" spans="1:6">
      <c r="A51" s="46" t="s">
        <v>6</v>
      </c>
      <c r="B51" s="29" t="s">
        <v>78</v>
      </c>
      <c r="C51" s="47"/>
      <c r="D51" s="40">
        <f>+'Men Cal Servente 44h 40%'!C25</f>
        <v>0</v>
      </c>
      <c r="F51" s="53"/>
    </row>
    <row r="52" spans="1:6" s="51" customFormat="1">
      <c r="A52" s="48" t="s">
        <v>57</v>
      </c>
      <c r="B52" s="49" t="s">
        <v>77</v>
      </c>
      <c r="C52" s="30">
        <f>+$C$135+$C$136</f>
        <v>9.2499999999999999E-2</v>
      </c>
      <c r="D52" s="50">
        <f>+(C52*D51)*-1</f>
        <v>0</v>
      </c>
      <c r="F52" s="54"/>
    </row>
    <row r="53" spans="1:6">
      <c r="A53" s="92" t="s">
        <v>9</v>
      </c>
      <c r="B53" s="92" t="s">
        <v>79</v>
      </c>
      <c r="C53" s="47"/>
      <c r="D53" s="230"/>
      <c r="F53" s="53"/>
    </row>
    <row r="54" spans="1:6">
      <c r="A54" s="48" t="s">
        <v>80</v>
      </c>
      <c r="B54" s="49" t="s">
        <v>77</v>
      </c>
      <c r="C54" s="30">
        <f>+$C$135+$C$136</f>
        <v>9.2499999999999999E-2</v>
      </c>
      <c r="D54" s="50">
        <f>+(C54*D53)*-1</f>
        <v>0</v>
      </c>
      <c r="F54" s="53"/>
    </row>
    <row r="55" spans="1:6">
      <c r="A55" s="92" t="s">
        <v>11</v>
      </c>
      <c r="B55" s="90" t="s">
        <v>676</v>
      </c>
      <c r="C55" s="47"/>
      <c r="D55" s="230"/>
      <c r="F55" s="53"/>
    </row>
    <row r="56" spans="1:6">
      <c r="A56" s="48" t="s">
        <v>81</v>
      </c>
      <c r="B56" s="49" t="s">
        <v>77</v>
      </c>
      <c r="C56" s="30">
        <f>+$C$135+$C$136</f>
        <v>9.2499999999999999E-2</v>
      </c>
      <c r="D56" s="50">
        <f>+(C56*D55)*-1</f>
        <v>0</v>
      </c>
      <c r="F56" s="53"/>
    </row>
    <row r="57" spans="1:6" ht="26.4">
      <c r="A57" s="92" t="s">
        <v>37</v>
      </c>
      <c r="B57" s="558" t="s">
        <v>677</v>
      </c>
      <c r="C57" s="47"/>
      <c r="D57" s="231"/>
      <c r="F57" s="55"/>
    </row>
    <row r="58" spans="1:6">
      <c r="A58" s="48" t="s">
        <v>82</v>
      </c>
      <c r="B58" s="49" t="s">
        <v>77</v>
      </c>
      <c r="C58" s="30">
        <f>+$C$135+$C$136</f>
        <v>9.2499999999999999E-2</v>
      </c>
      <c r="D58" s="50">
        <f>+(C58*D57)*-1</f>
        <v>0</v>
      </c>
    </row>
    <row r="59" spans="1:6">
      <c r="A59" s="92" t="s">
        <v>39</v>
      </c>
      <c r="B59" s="739" t="s">
        <v>83</v>
      </c>
      <c r="C59" s="739"/>
      <c r="D59" s="230"/>
    </row>
    <row r="60" spans="1:6">
      <c r="A60" s="48" t="s">
        <v>84</v>
      </c>
      <c r="B60" s="49" t="s">
        <v>77</v>
      </c>
      <c r="C60" s="30">
        <f>+$C$135+$C$136</f>
        <v>9.2499999999999999E-2</v>
      </c>
      <c r="D60" s="50">
        <f>+(C60*D59)*-1</f>
        <v>0</v>
      </c>
    </row>
    <row r="61" spans="1:6">
      <c r="A61" s="721" t="s">
        <v>21</v>
      </c>
      <c r="B61" s="723"/>
      <c r="C61" s="56"/>
      <c r="D61" s="57">
        <f>SUM(D49:D60)</f>
        <v>0</v>
      </c>
    </row>
    <row r="63" spans="1:6">
      <c r="A63" s="732" t="s">
        <v>85</v>
      </c>
      <c r="B63" s="733"/>
      <c r="C63" s="733"/>
      <c r="D63" s="733"/>
    </row>
    <row r="64" spans="1:6">
      <c r="A64" s="58">
        <v>2</v>
      </c>
      <c r="B64" s="742" t="s">
        <v>86</v>
      </c>
      <c r="C64" s="742"/>
      <c r="D64" s="59" t="s">
        <v>32</v>
      </c>
    </row>
    <row r="65" spans="1:4">
      <c r="A65" s="60" t="s">
        <v>53</v>
      </c>
      <c r="B65" s="743" t="s">
        <v>54</v>
      </c>
      <c r="C65" s="743"/>
      <c r="D65" s="40">
        <f>+D33</f>
        <v>0</v>
      </c>
    </row>
    <row r="66" spans="1:4">
      <c r="A66" s="60" t="s">
        <v>62</v>
      </c>
      <c r="B66" s="743" t="s">
        <v>63</v>
      </c>
      <c r="C66" s="743"/>
      <c r="D66" s="40">
        <f>+D45</f>
        <v>0</v>
      </c>
    </row>
    <row r="67" spans="1:4">
      <c r="A67" s="60" t="s">
        <v>73</v>
      </c>
      <c r="B67" s="743" t="s">
        <v>74</v>
      </c>
      <c r="C67" s="743"/>
      <c r="D67" s="61">
        <f>+D61</f>
        <v>0</v>
      </c>
    </row>
    <row r="68" spans="1:4">
      <c r="A68" s="742" t="s">
        <v>21</v>
      </c>
      <c r="B68" s="742"/>
      <c r="C68" s="742"/>
      <c r="D68" s="62">
        <f>SUM(D65:D67)</f>
        <v>0</v>
      </c>
    </row>
    <row r="70" spans="1:4">
      <c r="A70" s="732" t="s">
        <v>87</v>
      </c>
      <c r="B70" s="733"/>
      <c r="C70" s="733"/>
      <c r="D70" s="733"/>
    </row>
    <row r="72" spans="1:4">
      <c r="A72" s="63">
        <v>3</v>
      </c>
      <c r="B72" s="26" t="s">
        <v>88</v>
      </c>
      <c r="C72" s="13" t="s">
        <v>31</v>
      </c>
      <c r="D72" s="13" t="s">
        <v>32</v>
      </c>
    </row>
    <row r="73" spans="1:4">
      <c r="A73" s="110" t="s">
        <v>4</v>
      </c>
      <c r="B73" s="49" t="s">
        <v>89</v>
      </c>
      <c r="C73" s="30" t="e">
        <f>+D73/$D$23</f>
        <v>#DIV/0!</v>
      </c>
      <c r="D73" s="64">
        <f>+'Men Cal Servente 44h 40%'!C31</f>
        <v>0</v>
      </c>
    </row>
    <row r="74" spans="1:4">
      <c r="A74" s="110" t="s">
        <v>6</v>
      </c>
      <c r="B74" s="29" t="s">
        <v>90</v>
      </c>
      <c r="C74" s="65"/>
      <c r="D74" s="22">
        <f>ROUND(+D73*$C$44,2)</f>
        <v>0</v>
      </c>
    </row>
    <row r="75" spans="1:4" ht="26.4">
      <c r="A75" s="110" t="s">
        <v>9</v>
      </c>
      <c r="B75" s="5" t="s">
        <v>91</v>
      </c>
      <c r="C75" s="39" t="e">
        <f>+D75/$D$23</f>
        <v>#DIV/0!</v>
      </c>
      <c r="D75" s="22">
        <f>+'Men Cal Servente 44h 40%'!C45</f>
        <v>0</v>
      </c>
    </row>
    <row r="76" spans="1:4">
      <c r="A76" s="66" t="s">
        <v>11</v>
      </c>
      <c r="B76" s="29" t="s">
        <v>92</v>
      </c>
      <c r="C76" s="39" t="e">
        <f>+D76/$D$23</f>
        <v>#DIV/0!</v>
      </c>
      <c r="D76" s="22">
        <f>+'Men Cal Servente 44h 40%'!C53</f>
        <v>0</v>
      </c>
    </row>
    <row r="77" spans="1:4" ht="26.4">
      <c r="A77" s="66" t="s">
        <v>37</v>
      </c>
      <c r="B77" s="5" t="s">
        <v>93</v>
      </c>
      <c r="C77" s="65"/>
      <c r="D77" s="67"/>
    </row>
    <row r="78" spans="1:4" ht="26.4">
      <c r="A78" s="66" t="s">
        <v>39</v>
      </c>
      <c r="B78" s="5" t="s">
        <v>94</v>
      </c>
      <c r="C78" s="39" t="e">
        <f>+D78/$D$23</f>
        <v>#DIV/0!</v>
      </c>
      <c r="D78" s="40">
        <f>+'Men Cal Servente 44h 40%'!C67</f>
        <v>0</v>
      </c>
    </row>
    <row r="79" spans="1:4">
      <c r="A79" s="721" t="s">
        <v>21</v>
      </c>
      <c r="B79" s="722"/>
      <c r="C79" s="723"/>
      <c r="D79" s="68">
        <f>SUM(D73:D78)</f>
        <v>0</v>
      </c>
    </row>
    <row r="81" spans="1:4">
      <c r="A81" s="732" t="s">
        <v>95</v>
      </c>
      <c r="B81" s="733"/>
      <c r="C81" s="733"/>
      <c r="D81" s="733"/>
    </row>
    <row r="83" spans="1:4">
      <c r="A83" s="744" t="s">
        <v>96</v>
      </c>
      <c r="B83" s="744"/>
      <c r="C83" s="744"/>
      <c r="D83" s="744"/>
    </row>
    <row r="84" spans="1:4">
      <c r="A84" s="63" t="s">
        <v>97</v>
      </c>
      <c r="B84" s="721" t="s">
        <v>98</v>
      </c>
      <c r="C84" s="723"/>
      <c r="D84" s="13" t="s">
        <v>32</v>
      </c>
    </row>
    <row r="85" spans="1:4">
      <c r="A85" s="29" t="s">
        <v>4</v>
      </c>
      <c r="B85" s="740" t="s">
        <v>99</v>
      </c>
      <c r="C85" s="741"/>
      <c r="D85" s="22"/>
    </row>
    <row r="86" spans="1:4">
      <c r="A86" s="49" t="s">
        <v>6</v>
      </c>
      <c r="B86" s="747" t="s">
        <v>98</v>
      </c>
      <c r="C86" s="748"/>
      <c r="D86" s="69">
        <f>+'Men Cal Servente 44h 40%'!C80</f>
        <v>0</v>
      </c>
    </row>
    <row r="87" spans="1:4" s="51" customFormat="1">
      <c r="A87" s="49" t="s">
        <v>9</v>
      </c>
      <c r="B87" s="747" t="s">
        <v>100</v>
      </c>
      <c r="C87" s="748"/>
      <c r="D87" s="69">
        <f>+'Men Cal Servente 44h 40%'!C89</f>
        <v>0</v>
      </c>
    </row>
    <row r="88" spans="1:4" s="51" customFormat="1">
      <c r="A88" s="49" t="s">
        <v>11</v>
      </c>
      <c r="B88" s="747" t="s">
        <v>101</v>
      </c>
      <c r="C88" s="748"/>
      <c r="D88" s="69">
        <f>+'Men Cal Servente 44h 40%'!C97</f>
        <v>0</v>
      </c>
    </row>
    <row r="89" spans="1:4" s="51" customFormat="1">
      <c r="A89" s="49" t="s">
        <v>37</v>
      </c>
      <c r="B89" s="747" t="s">
        <v>102</v>
      </c>
      <c r="C89" s="748"/>
      <c r="D89" s="69"/>
    </row>
    <row r="90" spans="1:4" s="51" customFormat="1">
      <c r="A90" s="49" t="s">
        <v>39</v>
      </c>
      <c r="B90" s="747" t="s">
        <v>103</v>
      </c>
      <c r="C90" s="748"/>
      <c r="D90" s="69">
        <f>+'Men Cal Servente 44h 40%'!C105</f>
        <v>0</v>
      </c>
    </row>
    <row r="91" spans="1:4">
      <c r="A91" s="29" t="s">
        <v>41</v>
      </c>
      <c r="B91" s="740" t="s">
        <v>50</v>
      </c>
      <c r="C91" s="741"/>
      <c r="D91" s="22"/>
    </row>
    <row r="92" spans="1:4">
      <c r="A92" s="29" t="s">
        <v>43</v>
      </c>
      <c r="B92" s="740" t="s">
        <v>104</v>
      </c>
      <c r="C92" s="741"/>
      <c r="D92" s="67"/>
    </row>
    <row r="93" spans="1:4">
      <c r="A93" s="736" t="s">
        <v>21</v>
      </c>
      <c r="B93" s="736"/>
      <c r="C93" s="736"/>
      <c r="D93" s="24">
        <f>SUM(D85:D92)</f>
        <v>0</v>
      </c>
    </row>
    <row r="94" spans="1:4">
      <c r="D94" s="70"/>
    </row>
    <row r="95" spans="1:4">
      <c r="A95" s="63" t="s">
        <v>105</v>
      </c>
      <c r="B95" s="721" t="s">
        <v>106</v>
      </c>
      <c r="C95" s="723"/>
      <c r="D95" s="13" t="s">
        <v>32</v>
      </c>
    </row>
    <row r="96" spans="1:4" s="51" customFormat="1">
      <c r="A96" s="49" t="s">
        <v>4</v>
      </c>
      <c r="B96" s="749" t="s">
        <v>107</v>
      </c>
      <c r="C96" s="750"/>
      <c r="D96" s="69">
        <f>+'Men Cal Servente 44h 40%'!C116</f>
        <v>0</v>
      </c>
    </row>
    <row r="97" spans="1:4" s="51" customFormat="1">
      <c r="A97" s="49" t="s">
        <v>6</v>
      </c>
      <c r="B97" s="745" t="s">
        <v>108</v>
      </c>
      <c r="C97" s="746"/>
      <c r="D97" s="67"/>
    </row>
    <row r="98" spans="1:4" s="51" customFormat="1">
      <c r="A98" s="49" t="s">
        <v>9</v>
      </c>
      <c r="B98" s="745" t="s">
        <v>109</v>
      </c>
      <c r="C98" s="746"/>
      <c r="D98" s="67"/>
    </row>
    <row r="99" spans="1:4">
      <c r="A99" s="29" t="s">
        <v>11</v>
      </c>
      <c r="B99" s="740" t="s">
        <v>50</v>
      </c>
      <c r="C99" s="741"/>
      <c r="D99" s="22"/>
    </row>
    <row r="100" spans="1:4">
      <c r="A100" s="736" t="s">
        <v>21</v>
      </c>
      <c r="B100" s="736"/>
      <c r="C100" s="736"/>
      <c r="D100" s="24">
        <f>SUM(D96:D99)</f>
        <v>0</v>
      </c>
    </row>
    <row r="101" spans="1:4">
      <c r="D101" s="70"/>
    </row>
    <row r="102" spans="1:4">
      <c r="A102" s="63" t="s">
        <v>110</v>
      </c>
      <c r="B102" s="736" t="s">
        <v>111</v>
      </c>
      <c r="C102" s="736"/>
      <c r="D102" s="13" t="s">
        <v>32</v>
      </c>
    </row>
    <row r="103" spans="1:4" s="72" customFormat="1">
      <c r="A103" s="66" t="s">
        <v>4</v>
      </c>
      <c r="B103" s="751" t="s">
        <v>112</v>
      </c>
      <c r="C103" s="751"/>
      <c r="D103" s="71"/>
    </row>
    <row r="104" spans="1:4">
      <c r="A104" s="736" t="s">
        <v>21</v>
      </c>
      <c r="B104" s="736"/>
      <c r="C104" s="736"/>
      <c r="D104" s="24">
        <f>SUM(D103:D103)</f>
        <v>0</v>
      </c>
    </row>
    <row r="106" spans="1:4">
      <c r="A106" s="111" t="s">
        <v>113</v>
      </c>
      <c r="B106" s="111"/>
      <c r="C106" s="111"/>
      <c r="D106" s="111"/>
    </row>
    <row r="107" spans="1:4">
      <c r="A107" s="29" t="s">
        <v>97</v>
      </c>
      <c r="B107" s="740" t="s">
        <v>98</v>
      </c>
      <c r="C107" s="741"/>
      <c r="D107" s="40">
        <f>+D93</f>
        <v>0</v>
      </c>
    </row>
    <row r="108" spans="1:4">
      <c r="A108" s="29" t="s">
        <v>105</v>
      </c>
      <c r="B108" s="740" t="s">
        <v>106</v>
      </c>
      <c r="C108" s="741"/>
      <c r="D108" s="40">
        <f>+D100</f>
        <v>0</v>
      </c>
    </row>
    <row r="109" spans="1:4">
      <c r="A109" s="74"/>
      <c r="B109" s="752" t="s">
        <v>114</v>
      </c>
      <c r="C109" s="753"/>
      <c r="D109" s="75">
        <f>+D108+D107</f>
        <v>0</v>
      </c>
    </row>
    <row r="110" spans="1:4">
      <c r="A110" s="29" t="s">
        <v>110</v>
      </c>
      <c r="B110" s="740" t="s">
        <v>111</v>
      </c>
      <c r="C110" s="741"/>
      <c r="D110" s="40">
        <f>+D104</f>
        <v>0</v>
      </c>
    </row>
    <row r="111" spans="1:4">
      <c r="A111" s="754" t="s">
        <v>21</v>
      </c>
      <c r="B111" s="754"/>
      <c r="C111" s="754"/>
      <c r="D111" s="77">
        <f>+D110+D109</f>
        <v>0</v>
      </c>
    </row>
    <row r="113" spans="1:4">
      <c r="A113" s="732" t="s">
        <v>115</v>
      </c>
      <c r="B113" s="733"/>
      <c r="C113" s="733"/>
      <c r="D113" s="733"/>
    </row>
    <row r="115" spans="1:4">
      <c r="A115" s="63">
        <v>5</v>
      </c>
      <c r="B115" s="721" t="s">
        <v>116</v>
      </c>
      <c r="C115" s="723"/>
      <c r="D115" s="13" t="s">
        <v>32</v>
      </c>
    </row>
    <row r="116" spans="1:4">
      <c r="A116" s="29" t="s">
        <v>4</v>
      </c>
      <c r="B116" s="734" t="s">
        <v>117</v>
      </c>
      <c r="C116" s="734"/>
      <c r="D116" s="22">
        <f>+Uniforme!F8</f>
        <v>0</v>
      </c>
    </row>
    <row r="117" spans="1:4">
      <c r="A117" s="29" t="s">
        <v>76</v>
      </c>
      <c r="B117" s="49" t="s">
        <v>77</v>
      </c>
      <c r="C117" s="30">
        <f>+$C$135+$C$136</f>
        <v>9.2499999999999999E-2</v>
      </c>
      <c r="D117" s="50">
        <f>+(C117*D116)*-1</f>
        <v>0</v>
      </c>
    </row>
    <row r="118" spans="1:4">
      <c r="A118" s="29" t="s">
        <v>6</v>
      </c>
      <c r="B118" s="734" t="s">
        <v>118</v>
      </c>
      <c r="C118" s="734"/>
      <c r="D118" s="22"/>
    </row>
    <row r="119" spans="1:4">
      <c r="A119" s="29" t="s">
        <v>57</v>
      </c>
      <c r="B119" s="49" t="s">
        <v>77</v>
      </c>
      <c r="C119" s="30">
        <f>+$C$135+$C$136</f>
        <v>9.2499999999999999E-2</v>
      </c>
      <c r="D119" s="50">
        <f>+(C119*D118)*-1</f>
        <v>0</v>
      </c>
    </row>
    <row r="120" spans="1:4">
      <c r="A120" s="29" t="s">
        <v>9</v>
      </c>
      <c r="B120" s="734" t="s">
        <v>119</v>
      </c>
      <c r="C120" s="734"/>
      <c r="D120" s="22"/>
    </row>
    <row r="121" spans="1:4">
      <c r="A121" s="29" t="s">
        <v>80</v>
      </c>
      <c r="B121" s="49" t="s">
        <v>77</v>
      </c>
      <c r="C121" s="30">
        <f>+$C$135+$C$136</f>
        <v>9.2499999999999999E-2</v>
      </c>
      <c r="D121" s="50">
        <f>+(C121*D120)*-1</f>
        <v>0</v>
      </c>
    </row>
    <row r="122" spans="1:4">
      <c r="A122" s="29" t="s">
        <v>11</v>
      </c>
      <c r="B122" s="734" t="s">
        <v>50</v>
      </c>
      <c r="C122" s="734"/>
      <c r="D122" s="22"/>
    </row>
    <row r="123" spans="1:4">
      <c r="A123" s="29" t="s">
        <v>81</v>
      </c>
      <c r="B123" s="49" t="s">
        <v>77</v>
      </c>
      <c r="C123" s="30">
        <f>+$C$135+$C$136</f>
        <v>9.2499999999999999E-2</v>
      </c>
      <c r="D123" s="50">
        <f>+(C123*D122)*-1</f>
        <v>0</v>
      </c>
    </row>
    <row r="124" spans="1:4">
      <c r="A124" s="736" t="s">
        <v>21</v>
      </c>
      <c r="B124" s="736"/>
      <c r="C124" s="736"/>
      <c r="D124" s="24">
        <f>SUM(D116:D122)</f>
        <v>0</v>
      </c>
    </row>
    <row r="126" spans="1:4">
      <c r="A126" s="732" t="s">
        <v>120</v>
      </c>
      <c r="B126" s="733"/>
      <c r="C126" s="733"/>
      <c r="D126" s="733"/>
    </row>
    <row r="128" spans="1:4">
      <c r="A128" s="63">
        <v>6</v>
      </c>
      <c r="B128" s="26" t="s">
        <v>121</v>
      </c>
      <c r="C128" s="113" t="s">
        <v>31</v>
      </c>
      <c r="D128" s="13" t="s">
        <v>32</v>
      </c>
    </row>
    <row r="129" spans="1:7">
      <c r="A129" s="322" t="s">
        <v>4</v>
      </c>
      <c r="B129" s="322" t="s">
        <v>122</v>
      </c>
      <c r="C129" s="323">
        <v>0.03</v>
      </c>
      <c r="D129" s="324">
        <f>($D$124+$D$111+$D$79+$D$68+$D$23)*C129</f>
        <v>0</v>
      </c>
    </row>
    <row r="130" spans="1:7">
      <c r="A130" s="322" t="s">
        <v>6</v>
      </c>
      <c r="B130" s="322" t="s">
        <v>123</v>
      </c>
      <c r="C130" s="323">
        <v>0.03</v>
      </c>
      <c r="D130" s="324">
        <f>($D$124+$D$111+$D$79+$D$68+$D$23+D129)*C130</f>
        <v>0</v>
      </c>
    </row>
    <row r="131" spans="1:7" s="80" customFormat="1">
      <c r="A131" s="756" t="s">
        <v>124</v>
      </c>
      <c r="B131" s="757"/>
      <c r="C131" s="758"/>
      <c r="D131" s="79">
        <f>++D130+D129+D124+D111+D79+D68+D23</f>
        <v>0</v>
      </c>
    </row>
    <row r="132" spans="1:7" s="80" customFormat="1" ht="33" customHeight="1">
      <c r="A132" s="759" t="s">
        <v>125</v>
      </c>
      <c r="B132" s="760"/>
      <c r="C132" s="761"/>
      <c r="D132" s="79">
        <f>ROUND(D131/(1-(C135+C136+C138+C140+C141)),2)</f>
        <v>0</v>
      </c>
    </row>
    <row r="133" spans="1:7">
      <c r="A133" s="29" t="s">
        <v>9</v>
      </c>
      <c r="B133" s="29" t="s">
        <v>126</v>
      </c>
      <c r="C133" s="39"/>
      <c r="D133" s="29"/>
    </row>
    <row r="134" spans="1:7">
      <c r="A134" s="29" t="s">
        <v>80</v>
      </c>
      <c r="B134" s="29" t="s">
        <v>127</v>
      </c>
      <c r="C134" s="39"/>
      <c r="D134" s="29"/>
    </row>
    <row r="135" spans="1:7">
      <c r="A135" s="322" t="s">
        <v>128</v>
      </c>
      <c r="B135" s="322" t="s">
        <v>129</v>
      </c>
      <c r="C135" s="323">
        <v>1.6500000000000001E-2</v>
      </c>
      <c r="D135" s="324">
        <f>ROUND(C135*$D$132,2)</f>
        <v>0</v>
      </c>
      <c r="G135" s="81"/>
    </row>
    <row r="136" spans="1:7">
      <c r="A136" s="322" t="s">
        <v>130</v>
      </c>
      <c r="B136" s="322" t="s">
        <v>131</v>
      </c>
      <c r="C136" s="323">
        <v>7.5999999999999998E-2</v>
      </c>
      <c r="D136" s="324">
        <f>ROUND(C136*$D$132,2)</f>
        <v>0</v>
      </c>
      <c r="G136" s="81"/>
    </row>
    <row r="137" spans="1:7">
      <c r="A137" s="29" t="s">
        <v>132</v>
      </c>
      <c r="B137" s="29" t="s">
        <v>133</v>
      </c>
      <c r="C137" s="39"/>
      <c r="D137" s="40"/>
      <c r="G137" s="81"/>
    </row>
    <row r="138" spans="1:7">
      <c r="A138" s="29" t="s">
        <v>134</v>
      </c>
      <c r="B138" s="29" t="s">
        <v>135</v>
      </c>
      <c r="C138" s="39"/>
      <c r="D138" s="29"/>
      <c r="G138" s="81"/>
    </row>
    <row r="139" spans="1:7">
      <c r="A139" s="29" t="s">
        <v>136</v>
      </c>
      <c r="B139" s="29" t="s">
        <v>137</v>
      </c>
      <c r="C139" s="39"/>
      <c r="D139" s="29"/>
    </row>
    <row r="140" spans="1:7">
      <c r="A140" s="322" t="s">
        <v>138</v>
      </c>
      <c r="B140" s="322" t="s">
        <v>139</v>
      </c>
      <c r="C140" s="323">
        <v>0.05</v>
      </c>
      <c r="D140" s="324">
        <f>ROUND(C140*$D$132,2)</f>
        <v>0</v>
      </c>
    </row>
    <row r="141" spans="1:7">
      <c r="A141" s="29" t="s">
        <v>140</v>
      </c>
      <c r="B141" s="29" t="s">
        <v>141</v>
      </c>
      <c r="C141" s="39"/>
      <c r="D141" s="29"/>
    </row>
    <row r="142" spans="1:7">
      <c r="A142" s="721" t="s">
        <v>21</v>
      </c>
      <c r="B142" s="722"/>
      <c r="C142" s="82">
        <f>+C141+C140+C138+C136+C135+C130+C129</f>
        <v>0.20250000000000001</v>
      </c>
      <c r="D142" s="24">
        <f>+D140+D138+D136+D135+D130+D129</f>
        <v>0</v>
      </c>
    </row>
    <row r="144" spans="1:7">
      <c r="A144" s="762" t="s">
        <v>142</v>
      </c>
      <c r="B144" s="762"/>
      <c r="C144" s="762"/>
      <c r="D144" s="762"/>
    </row>
    <row r="145" spans="1:5">
      <c r="A145" s="29" t="s">
        <v>4</v>
      </c>
      <c r="B145" s="755" t="s">
        <v>143</v>
      </c>
      <c r="C145" s="755"/>
      <c r="D145" s="22">
        <f>+D23</f>
        <v>0</v>
      </c>
    </row>
    <row r="146" spans="1:5">
      <c r="A146" s="29" t="s">
        <v>144</v>
      </c>
      <c r="B146" s="755" t="s">
        <v>145</v>
      </c>
      <c r="C146" s="755"/>
      <c r="D146" s="22">
        <f>+D68</f>
        <v>0</v>
      </c>
    </row>
    <row r="147" spans="1:5">
      <c r="A147" s="29" t="s">
        <v>9</v>
      </c>
      <c r="B147" s="755" t="s">
        <v>146</v>
      </c>
      <c r="C147" s="755"/>
      <c r="D147" s="22">
        <f>+D79</f>
        <v>0</v>
      </c>
    </row>
    <row r="148" spans="1:5">
      <c r="A148" s="29" t="s">
        <v>11</v>
      </c>
      <c r="B148" s="755" t="s">
        <v>147</v>
      </c>
      <c r="C148" s="755"/>
      <c r="D148" s="22">
        <f>+D111</f>
        <v>0</v>
      </c>
    </row>
    <row r="149" spans="1:5">
      <c r="A149" s="29" t="s">
        <v>37</v>
      </c>
      <c r="B149" s="755" t="s">
        <v>148</v>
      </c>
      <c r="C149" s="755"/>
      <c r="D149" s="22">
        <f>+D124</f>
        <v>0</v>
      </c>
    </row>
    <row r="150" spans="1:5">
      <c r="B150" s="763" t="s">
        <v>149</v>
      </c>
      <c r="C150" s="763"/>
      <c r="D150" s="83">
        <f>SUM(D145:D149)</f>
        <v>0</v>
      </c>
    </row>
    <row r="151" spans="1:5">
      <c r="A151" s="29" t="s">
        <v>39</v>
      </c>
      <c r="B151" s="755" t="s">
        <v>150</v>
      </c>
      <c r="C151" s="755"/>
      <c r="D151" s="22">
        <f>+D142</f>
        <v>0</v>
      </c>
    </row>
    <row r="153" spans="1:5">
      <c r="A153" s="764" t="s">
        <v>151</v>
      </c>
      <c r="B153" s="764"/>
      <c r="C153" s="764"/>
      <c r="D153" s="84">
        <f>ROUND(+D151+D150,2)</f>
        <v>0</v>
      </c>
    </row>
    <row r="155" spans="1:5">
      <c r="B155" s="86"/>
      <c r="C155" s="86"/>
      <c r="D155" s="86"/>
    </row>
    <row r="156" spans="1:5">
      <c r="A156" s="87"/>
      <c r="B156" s="87"/>
      <c r="C156" s="87"/>
      <c r="D156" s="87"/>
      <c r="E156" s="87"/>
    </row>
    <row r="157" spans="1:5">
      <c r="A157" s="87"/>
      <c r="B157" s="87"/>
      <c r="C157" s="87"/>
      <c r="D157" s="87"/>
      <c r="E157" s="87"/>
    </row>
    <row r="158" spans="1:5">
      <c r="A158" s="87"/>
      <c r="B158" s="87"/>
      <c r="C158" s="87"/>
      <c r="D158" s="87"/>
      <c r="E158" s="87"/>
    </row>
    <row r="159" spans="1:5">
      <c r="A159" s="87"/>
      <c r="B159" s="87"/>
      <c r="C159" s="87"/>
      <c r="D159" s="87"/>
      <c r="E159" s="87"/>
    </row>
    <row r="160" spans="1:5">
      <c r="A160" s="87"/>
      <c r="B160" s="87"/>
      <c r="C160" s="87"/>
      <c r="D160" s="87"/>
      <c r="E160" s="87"/>
    </row>
    <row r="161" spans="1:5">
      <c r="A161" s="87"/>
      <c r="B161" s="87"/>
      <c r="C161" s="87"/>
      <c r="D161" s="87"/>
      <c r="E161" s="87"/>
    </row>
    <row r="162" spans="1:5">
      <c r="A162" s="87"/>
      <c r="B162" s="87"/>
      <c r="C162" s="87"/>
      <c r="D162" s="87"/>
      <c r="E162" s="87"/>
    </row>
    <row r="163" spans="1:5">
      <c r="A163" s="87"/>
      <c r="B163" s="87"/>
      <c r="C163" s="87"/>
      <c r="D163" s="87"/>
      <c r="E163" s="87"/>
    </row>
    <row r="164" spans="1:5">
      <c r="A164" s="87"/>
      <c r="B164" s="87"/>
      <c r="C164" s="87"/>
      <c r="D164" s="87"/>
      <c r="E164" s="87"/>
    </row>
    <row r="165" spans="1:5">
      <c r="A165" s="87"/>
      <c r="B165" s="87"/>
      <c r="C165" s="87"/>
      <c r="D165" s="87"/>
      <c r="E165" s="87"/>
    </row>
    <row r="166" spans="1:5">
      <c r="A166" s="87"/>
      <c r="B166" s="87"/>
      <c r="C166" s="87"/>
      <c r="D166" s="87"/>
      <c r="E166" s="87"/>
    </row>
    <row r="167" spans="1:5">
      <c r="A167" s="87"/>
      <c r="B167" s="87"/>
      <c r="C167" s="87"/>
      <c r="D167" s="87"/>
      <c r="E167" s="87"/>
    </row>
    <row r="168" spans="1:5">
      <c r="A168" s="87"/>
      <c r="B168" s="87"/>
      <c r="C168" s="87"/>
      <c r="D168" s="87"/>
      <c r="E168" s="87"/>
    </row>
  </sheetData>
  <mergeCells count="78">
    <mergeCell ref="A153:C153"/>
    <mergeCell ref="B147:C147"/>
    <mergeCell ref="B148:C148"/>
    <mergeCell ref="B149:C149"/>
    <mergeCell ref="B150:C150"/>
    <mergeCell ref="B151:C151"/>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15:C115"/>
    <mergeCell ref="B99:C99"/>
    <mergeCell ref="A100:C100"/>
    <mergeCell ref="B102:C102"/>
    <mergeCell ref="B103:C103"/>
    <mergeCell ref="A104:C104"/>
    <mergeCell ref="B107:C107"/>
    <mergeCell ref="B108:C108"/>
    <mergeCell ref="B109:C109"/>
    <mergeCell ref="B110:C110"/>
    <mergeCell ref="A111:C111"/>
    <mergeCell ref="A113:D113"/>
    <mergeCell ref="B98:C98"/>
    <mergeCell ref="B86:C86"/>
    <mergeCell ref="B87:C87"/>
    <mergeCell ref="B88:C88"/>
    <mergeCell ref="B89:C89"/>
    <mergeCell ref="B90:C90"/>
    <mergeCell ref="B91:C91"/>
    <mergeCell ref="B92:C92"/>
    <mergeCell ref="A93:C93"/>
    <mergeCell ref="B95:C95"/>
    <mergeCell ref="B96:C96"/>
    <mergeCell ref="B97:C97"/>
    <mergeCell ref="B85:C85"/>
    <mergeCell ref="A63:D63"/>
    <mergeCell ref="B64:C64"/>
    <mergeCell ref="B65:C65"/>
    <mergeCell ref="B66:C66"/>
    <mergeCell ref="B67:C67"/>
    <mergeCell ref="A68:C68"/>
    <mergeCell ref="A70:D70"/>
    <mergeCell ref="A79:C79"/>
    <mergeCell ref="A81:D81"/>
    <mergeCell ref="A83:D83"/>
    <mergeCell ref="B84:C84"/>
    <mergeCell ref="A61:B61"/>
    <mergeCell ref="B18:C18"/>
    <mergeCell ref="B19:C19"/>
    <mergeCell ref="B21:C21"/>
    <mergeCell ref="B22:C22"/>
    <mergeCell ref="A23:C23"/>
    <mergeCell ref="A25:D25"/>
    <mergeCell ref="A27:D27"/>
    <mergeCell ref="A33:C33"/>
    <mergeCell ref="A35:D35"/>
    <mergeCell ref="A47:D47"/>
    <mergeCell ref="B59:C59"/>
    <mergeCell ref="B17:C17"/>
    <mergeCell ref="A1:D1"/>
    <mergeCell ref="A3:D3"/>
    <mergeCell ref="C4:D4"/>
    <mergeCell ref="C5:D5"/>
    <mergeCell ref="C6:D6"/>
    <mergeCell ref="C7:D7"/>
    <mergeCell ref="C8:D8"/>
    <mergeCell ref="A10:D10"/>
    <mergeCell ref="B12:C12"/>
    <mergeCell ref="B15:C15"/>
    <mergeCell ref="B16:C16"/>
  </mergeCells>
  <pageMargins left="1.1599999999999999" right="0.51181102362204722" top="0.35" bottom="0.78740157480314965" header="0.31496062992125984" footer="0.31496062992125984"/>
  <pageSetup paperSize="9" scale="85" orientation="portrait" r:id="rId1"/>
  <headerFooter>
    <oddFoote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C164"/>
  <sheetViews>
    <sheetView workbookViewId="0">
      <selection activeCell="A18" sqref="A18:C18"/>
    </sheetView>
  </sheetViews>
  <sheetFormatPr defaultRowHeight="13.2"/>
  <cols>
    <col min="1" max="1" width="64.453125" customWidth="1"/>
    <col min="2" max="2" width="12.26953125" bestFit="1" customWidth="1"/>
    <col min="3" max="3" width="14.7265625" customWidth="1"/>
    <col min="4" max="4" width="9.36328125" bestFit="1" customWidth="1"/>
    <col min="5" max="5" width="69.08984375" customWidth="1"/>
  </cols>
  <sheetData>
    <row r="1" spans="1:3" ht="16.8">
      <c r="A1" s="798" t="s">
        <v>271</v>
      </c>
      <c r="B1" s="798"/>
      <c r="C1" s="798"/>
    </row>
    <row r="3" spans="1:3">
      <c r="A3" s="29" t="s">
        <v>152</v>
      </c>
      <c r="B3" s="29">
        <v>220</v>
      </c>
    </row>
    <row r="4" spans="1:3">
      <c r="A4" s="29" t="s">
        <v>153</v>
      </c>
      <c r="B4" s="29">
        <v>365.25</v>
      </c>
    </row>
    <row r="5" spans="1:3">
      <c r="A5" s="29" t="s">
        <v>154</v>
      </c>
      <c r="B5" s="88">
        <f>(365.25/12)/(7/5)</f>
        <v>21.741071428571431</v>
      </c>
    </row>
    <row r="6" spans="1:3">
      <c r="A6" s="49" t="s">
        <v>33</v>
      </c>
      <c r="B6" s="40">
        <f>+'Servente 44h 40% seg a sex'!D12</f>
        <v>0</v>
      </c>
    </row>
    <row r="7" spans="1:3">
      <c r="A7" s="49" t="s">
        <v>155</v>
      </c>
      <c r="B7" s="40">
        <f>+'Servente 44h 40% seg a sex'!D23</f>
        <v>0</v>
      </c>
    </row>
    <row r="9" spans="1:3">
      <c r="A9" s="765" t="s">
        <v>156</v>
      </c>
      <c r="B9" s="766"/>
      <c r="C9" s="767"/>
    </row>
    <row r="10" spans="1:3">
      <c r="A10" s="29" t="s">
        <v>157</v>
      </c>
      <c r="B10" s="29">
        <f>+$B$4</f>
        <v>365.25</v>
      </c>
      <c r="C10" s="65"/>
    </row>
    <row r="11" spans="1:3">
      <c r="A11" s="29" t="s">
        <v>158</v>
      </c>
      <c r="B11" s="49">
        <v>12</v>
      </c>
      <c r="C11" s="65"/>
    </row>
    <row r="12" spans="1:3">
      <c r="A12" s="29" t="s">
        <v>159</v>
      </c>
      <c r="B12" s="39">
        <v>1</v>
      </c>
      <c r="C12" s="65"/>
    </row>
    <row r="13" spans="1:3">
      <c r="A13" s="49" t="s">
        <v>160</v>
      </c>
      <c r="B13" s="89">
        <f>+B5</f>
        <v>21.741071428571431</v>
      </c>
      <c r="C13" s="65"/>
    </row>
    <row r="14" spans="1:3">
      <c r="A14" s="90" t="s">
        <v>161</v>
      </c>
      <c r="B14" s="91"/>
      <c r="C14" s="65"/>
    </row>
    <row r="15" spans="1:3">
      <c r="A15" s="29" t="s">
        <v>162</v>
      </c>
      <c r="B15" s="39">
        <v>0.06</v>
      </c>
      <c r="C15" s="65"/>
    </row>
    <row r="16" spans="1:3">
      <c r="A16" s="769" t="s">
        <v>163</v>
      </c>
      <c r="B16" s="770"/>
      <c r="C16" s="85">
        <f>ROUND((B13*(B14*2)-($B$6*B15)),2)</f>
        <v>0</v>
      </c>
    </row>
    <row r="18" spans="1:3">
      <c r="A18" s="765" t="s">
        <v>164</v>
      </c>
      <c r="B18" s="766"/>
      <c r="C18" s="767"/>
    </row>
    <row r="19" spans="1:3">
      <c r="A19" s="29" t="s">
        <v>157</v>
      </c>
      <c r="B19" s="29">
        <f>+$B$4</f>
        <v>365.25</v>
      </c>
      <c r="C19" s="65"/>
    </row>
    <row r="20" spans="1:3">
      <c r="A20" s="29" t="s">
        <v>158</v>
      </c>
      <c r="B20" s="49">
        <v>12</v>
      </c>
      <c r="C20" s="65"/>
    </row>
    <row r="21" spans="1:3">
      <c r="A21" s="29" t="s">
        <v>159</v>
      </c>
      <c r="B21" s="39">
        <v>1</v>
      </c>
      <c r="C21" s="65"/>
    </row>
    <row r="22" spans="1:3">
      <c r="A22" s="49" t="s">
        <v>160</v>
      </c>
      <c r="B22" s="89">
        <f>+B5</f>
        <v>21.741071428571431</v>
      </c>
      <c r="C22" s="65"/>
    </row>
    <row r="23" spans="1:3">
      <c r="A23" s="90" t="s">
        <v>165</v>
      </c>
      <c r="B23" s="91"/>
      <c r="C23" s="65"/>
    </row>
    <row r="24" spans="1:3">
      <c r="A24" s="29" t="s">
        <v>166</v>
      </c>
      <c r="B24" s="39">
        <v>0.1</v>
      </c>
      <c r="C24" s="65"/>
    </row>
    <row r="25" spans="1:3">
      <c r="A25" s="769" t="s">
        <v>165</v>
      </c>
      <c r="B25" s="770"/>
      <c r="C25" s="85">
        <f>ROUND((B22*(B23)-((B22*B23)*B24)),2)</f>
        <v>0</v>
      </c>
    </row>
    <row r="27" spans="1:3">
      <c r="A27" s="765" t="s">
        <v>167</v>
      </c>
      <c r="B27" s="766"/>
      <c r="C27" s="767"/>
    </row>
    <row r="28" spans="1:3">
      <c r="A28" s="29" t="s">
        <v>168</v>
      </c>
      <c r="B28" s="40">
        <f>+B7</f>
        <v>0</v>
      </c>
      <c r="C28" s="65"/>
    </row>
    <row r="29" spans="1:3">
      <c r="A29" s="29" t="s">
        <v>169</v>
      </c>
      <c r="B29" s="29">
        <v>12</v>
      </c>
      <c r="C29" s="65"/>
    </row>
    <row r="30" spans="1:3">
      <c r="A30" s="92" t="s">
        <v>170</v>
      </c>
      <c r="B30" s="93"/>
      <c r="C30" s="65"/>
    </row>
    <row r="31" spans="1:3">
      <c r="A31" s="769" t="s">
        <v>171</v>
      </c>
      <c r="B31" s="770"/>
      <c r="C31" s="85">
        <f>ROUND(+(B28/B29)*B30,2)</f>
        <v>0</v>
      </c>
    </row>
    <row r="33" spans="1:3">
      <c r="A33" s="771" t="s">
        <v>172</v>
      </c>
      <c r="B33" s="772"/>
      <c r="C33" s="773"/>
    </row>
    <row r="34" spans="1:3" s="51" customFormat="1">
      <c r="A34" s="94" t="s">
        <v>173</v>
      </c>
      <c r="B34" s="93">
        <f>+B30</f>
        <v>0</v>
      </c>
      <c r="C34" s="65"/>
    </row>
    <row r="35" spans="1:3">
      <c r="A35" s="29" t="s">
        <v>174</v>
      </c>
      <c r="B35" s="40">
        <f>+'Servente 44h 40% seg a sex'!$D$23</f>
        <v>0</v>
      </c>
      <c r="C35" s="65"/>
    </row>
    <row r="36" spans="1:3">
      <c r="A36" s="29" t="s">
        <v>55</v>
      </c>
      <c r="B36" s="40">
        <f>+'Servente 44h 40% seg a sex'!$D$29</f>
        <v>0</v>
      </c>
      <c r="C36" s="65"/>
    </row>
    <row r="37" spans="1:3">
      <c r="A37" s="95" t="s">
        <v>58</v>
      </c>
      <c r="B37" s="40">
        <f>+'Servente 44h 40% seg a sex'!$D$31</f>
        <v>0</v>
      </c>
      <c r="C37" s="65"/>
    </row>
    <row r="38" spans="1:3">
      <c r="A38" s="95" t="s">
        <v>60</v>
      </c>
      <c r="B38" s="40">
        <f>+'Servente 44h 40% seg a sex'!$D$32</f>
        <v>0</v>
      </c>
      <c r="C38" s="65"/>
    </row>
    <row r="39" spans="1:3">
      <c r="A39" s="96" t="s">
        <v>175</v>
      </c>
      <c r="B39" s="97">
        <f>SUM(B35:B38)</f>
        <v>0</v>
      </c>
      <c r="C39" s="65"/>
    </row>
    <row r="40" spans="1:3">
      <c r="A40" s="60" t="s">
        <v>176</v>
      </c>
      <c r="B40" s="39">
        <v>0.4</v>
      </c>
      <c r="C40" s="65"/>
    </row>
    <row r="41" spans="1:3">
      <c r="A41" s="60" t="s">
        <v>177</v>
      </c>
      <c r="B41" s="39">
        <f>+'Servente 44h 40% seg a sex'!$C$44</f>
        <v>0.08</v>
      </c>
      <c r="C41" s="65"/>
    </row>
    <row r="42" spans="1:3">
      <c r="A42" s="752" t="s">
        <v>178</v>
      </c>
      <c r="B42" s="753"/>
      <c r="C42" s="75">
        <f>ROUND(+B39*B40*B41*B34,2)</f>
        <v>0</v>
      </c>
    </row>
    <row r="43" spans="1:3">
      <c r="A43" s="60" t="s">
        <v>179</v>
      </c>
      <c r="B43" s="39"/>
      <c r="C43" s="65"/>
    </row>
    <row r="44" spans="1:3">
      <c r="A44" s="752" t="s">
        <v>180</v>
      </c>
      <c r="B44" s="753"/>
      <c r="C44" s="98">
        <f>ROUND(B43*B41*B39*B34,2)</f>
        <v>0</v>
      </c>
    </row>
    <row r="45" spans="1:3">
      <c r="A45" s="769" t="s">
        <v>181</v>
      </c>
      <c r="B45" s="770"/>
      <c r="C45" s="77">
        <f>+C44+C42</f>
        <v>0</v>
      </c>
    </row>
    <row r="47" spans="1:3">
      <c r="A47" s="765" t="s">
        <v>182</v>
      </c>
      <c r="B47" s="766"/>
      <c r="C47" s="767"/>
    </row>
    <row r="48" spans="1:3">
      <c r="A48" s="29" t="s">
        <v>168</v>
      </c>
      <c r="B48" s="40">
        <f>+B7</f>
        <v>0</v>
      </c>
      <c r="C48" s="65"/>
    </row>
    <row r="49" spans="1:3">
      <c r="A49" s="29" t="s">
        <v>183</v>
      </c>
      <c r="B49" s="99">
        <v>30</v>
      </c>
      <c r="C49" s="65"/>
    </row>
    <row r="50" spans="1:3">
      <c r="A50" s="29" t="s">
        <v>169</v>
      </c>
      <c r="B50" s="29">
        <v>12</v>
      </c>
      <c r="C50" s="65"/>
    </row>
    <row r="51" spans="1:3">
      <c r="A51" s="29" t="s">
        <v>184</v>
      </c>
      <c r="B51" s="29">
        <v>7</v>
      </c>
      <c r="C51" s="65"/>
    </row>
    <row r="52" spans="1:3">
      <c r="A52" s="92" t="s">
        <v>185</v>
      </c>
      <c r="B52" s="93"/>
      <c r="C52" s="65"/>
    </row>
    <row r="53" spans="1:3">
      <c r="A53" s="769" t="s">
        <v>186</v>
      </c>
      <c r="B53" s="770"/>
      <c r="C53" s="85">
        <f>+ROUND(((B48/B49/B50)*B51)*B52,2)</f>
        <v>0</v>
      </c>
    </row>
    <row r="55" spans="1:3">
      <c r="A55" s="771" t="s">
        <v>187</v>
      </c>
      <c r="B55" s="772"/>
      <c r="C55" s="773"/>
    </row>
    <row r="56" spans="1:3">
      <c r="A56" s="100" t="s">
        <v>188</v>
      </c>
      <c r="B56" s="93">
        <f>+B52</f>
        <v>0</v>
      </c>
      <c r="C56" s="65"/>
    </row>
    <row r="57" spans="1:3">
      <c r="A57" s="29" t="s">
        <v>174</v>
      </c>
      <c r="B57" s="40">
        <f>+'Servente 44h 40% seg a sex'!$D$23</f>
        <v>0</v>
      </c>
      <c r="C57" s="65"/>
    </row>
    <row r="58" spans="1:3">
      <c r="A58" s="29" t="s">
        <v>55</v>
      </c>
      <c r="B58" s="40">
        <f>+'Servente 44h 40% seg a sex'!$D$29</f>
        <v>0</v>
      </c>
      <c r="C58" s="65"/>
    </row>
    <row r="59" spans="1:3">
      <c r="A59" s="95" t="s">
        <v>58</v>
      </c>
      <c r="B59" s="40">
        <f>+'Servente 44h 40% seg a sex'!$D$31</f>
        <v>0</v>
      </c>
      <c r="C59" s="65"/>
    </row>
    <row r="60" spans="1:3">
      <c r="A60" s="95" t="s">
        <v>60</v>
      </c>
      <c r="B60" s="40">
        <f>+'Servente 44h 40% seg a sex'!$D$32</f>
        <v>0</v>
      </c>
      <c r="C60" s="65"/>
    </row>
    <row r="61" spans="1:3">
      <c r="A61" s="96" t="s">
        <v>175</v>
      </c>
      <c r="B61" s="97">
        <f>SUM(B57:B60)</f>
        <v>0</v>
      </c>
      <c r="C61" s="65"/>
    </row>
    <row r="62" spans="1:3">
      <c r="A62" s="60" t="s">
        <v>176</v>
      </c>
      <c r="B62" s="39">
        <v>0.4</v>
      </c>
      <c r="C62" s="65"/>
    </row>
    <row r="63" spans="1:3">
      <c r="A63" s="60" t="s">
        <v>177</v>
      </c>
      <c r="B63" s="39">
        <f>+'Servente 44h 40% seg a sex'!$C$44</f>
        <v>0.08</v>
      </c>
      <c r="C63" s="65"/>
    </row>
    <row r="64" spans="1:3">
      <c r="A64" s="752" t="s">
        <v>178</v>
      </c>
      <c r="B64" s="753"/>
      <c r="C64" s="75">
        <f>ROUND(+B61*B62*B63*B56,2)</f>
        <v>0</v>
      </c>
    </row>
    <row r="65" spans="1:3">
      <c r="A65" s="60" t="s">
        <v>179</v>
      </c>
      <c r="B65" s="39"/>
      <c r="C65" s="65"/>
    </row>
    <row r="66" spans="1:3">
      <c r="A66" s="752" t="s">
        <v>180</v>
      </c>
      <c r="B66" s="753"/>
      <c r="C66" s="98">
        <f>ROUND(B65*B63*B61*B56,2)</f>
        <v>0</v>
      </c>
    </row>
    <row r="67" spans="1:3">
      <c r="A67" s="769" t="s">
        <v>189</v>
      </c>
      <c r="B67" s="770"/>
      <c r="C67" s="77">
        <f>+C66+C64</f>
        <v>0</v>
      </c>
    </row>
    <row r="69" spans="1:3">
      <c r="A69" s="771" t="s">
        <v>190</v>
      </c>
      <c r="B69" s="772"/>
      <c r="C69" s="773"/>
    </row>
    <row r="70" spans="1:3">
      <c r="A70" s="774" t="s">
        <v>191</v>
      </c>
      <c r="B70" s="775"/>
      <c r="C70" s="776"/>
    </row>
    <row r="71" spans="1:3">
      <c r="A71" s="777"/>
      <c r="B71" s="778"/>
      <c r="C71" s="779"/>
    </row>
    <row r="72" spans="1:3">
      <c r="A72" s="777"/>
      <c r="B72" s="778"/>
      <c r="C72" s="779"/>
    </row>
    <row r="73" spans="1:3">
      <c r="A73" s="780"/>
      <c r="B73" s="781"/>
      <c r="C73" s="782"/>
    </row>
    <row r="74" spans="1:3">
      <c r="A74" s="101"/>
      <c r="B74" s="101"/>
      <c r="C74" s="101"/>
    </row>
    <row r="75" spans="1:3">
      <c r="A75" s="771" t="s">
        <v>192</v>
      </c>
      <c r="B75" s="772"/>
      <c r="C75" s="773"/>
    </row>
    <row r="76" spans="1:3">
      <c r="A76" s="29" t="s">
        <v>193</v>
      </c>
      <c r="B76" s="40">
        <f>+$B$7</f>
        <v>0</v>
      </c>
      <c r="C76" s="65"/>
    </row>
    <row r="77" spans="1:3">
      <c r="A77" s="29" t="s">
        <v>158</v>
      </c>
      <c r="B77" s="29">
        <v>30</v>
      </c>
      <c r="C77" s="65"/>
    </row>
    <row r="78" spans="1:3">
      <c r="A78" s="29" t="s">
        <v>194</v>
      </c>
      <c r="B78" s="29">
        <v>12</v>
      </c>
      <c r="C78" s="65"/>
    </row>
    <row r="79" spans="1:3">
      <c r="A79" s="92" t="s">
        <v>195</v>
      </c>
      <c r="B79" s="92"/>
      <c r="C79" s="65"/>
    </row>
    <row r="80" spans="1:3">
      <c r="A80" s="769" t="s">
        <v>196</v>
      </c>
      <c r="B80" s="770"/>
      <c r="C80" s="58">
        <f>+ROUND((B76/B77/B78)*B79,2)</f>
        <v>0</v>
      </c>
    </row>
    <row r="82" spans="1:3">
      <c r="A82" s="771" t="s">
        <v>197</v>
      </c>
      <c r="B82" s="772"/>
      <c r="C82" s="773"/>
    </row>
    <row r="83" spans="1:3">
      <c r="A83" s="29" t="s">
        <v>193</v>
      </c>
      <c r="B83" s="40">
        <f>+$B$7</f>
        <v>0</v>
      </c>
      <c r="C83" s="65"/>
    </row>
    <row r="84" spans="1:3">
      <c r="A84" s="29" t="s">
        <v>158</v>
      </c>
      <c r="B84" s="29">
        <v>30</v>
      </c>
      <c r="C84" s="65"/>
    </row>
    <row r="85" spans="1:3">
      <c r="A85" s="29" t="s">
        <v>194</v>
      </c>
      <c r="B85" s="29">
        <v>12</v>
      </c>
      <c r="C85" s="65"/>
    </row>
    <row r="86" spans="1:3">
      <c r="A86" s="49" t="s">
        <v>198</v>
      </c>
      <c r="B86" s="29">
        <v>5</v>
      </c>
      <c r="C86" s="65"/>
    </row>
    <row r="87" spans="1:3">
      <c r="A87" s="92" t="s">
        <v>199</v>
      </c>
      <c r="B87" s="93"/>
      <c r="C87" s="65"/>
    </row>
    <row r="88" spans="1:3">
      <c r="A88" s="92" t="s">
        <v>200</v>
      </c>
      <c r="B88" s="93"/>
      <c r="C88" s="65"/>
    </row>
    <row r="89" spans="1:3">
      <c r="A89" s="769" t="s">
        <v>201</v>
      </c>
      <c r="B89" s="770"/>
      <c r="C89" s="85">
        <f>ROUND(+B83/B84/B85*B86*B87*B88,2)</f>
        <v>0</v>
      </c>
    </row>
    <row r="91" spans="1:3">
      <c r="A91" s="771" t="s">
        <v>202</v>
      </c>
      <c r="B91" s="772"/>
      <c r="C91" s="773"/>
    </row>
    <row r="92" spans="1:3">
      <c r="A92" s="29" t="s">
        <v>193</v>
      </c>
      <c r="B92" s="40">
        <f>+$B$7</f>
        <v>0</v>
      </c>
      <c r="C92" s="65"/>
    </row>
    <row r="93" spans="1:3">
      <c r="A93" s="29" t="s">
        <v>158</v>
      </c>
      <c r="B93" s="29">
        <v>30</v>
      </c>
      <c r="C93" s="65"/>
    </row>
    <row r="94" spans="1:3">
      <c r="A94" s="29" t="s">
        <v>194</v>
      </c>
      <c r="B94" s="29">
        <v>12</v>
      </c>
      <c r="C94" s="65"/>
    </row>
    <row r="95" spans="1:3">
      <c r="A95" s="49" t="s">
        <v>203</v>
      </c>
      <c r="B95" s="29">
        <v>15</v>
      </c>
      <c r="C95" s="65"/>
    </row>
    <row r="96" spans="1:3">
      <c r="A96" s="92" t="s">
        <v>204</v>
      </c>
      <c r="B96" s="93"/>
      <c r="C96" s="65"/>
    </row>
    <row r="97" spans="1:3">
      <c r="A97" s="769" t="s">
        <v>205</v>
      </c>
      <c r="B97" s="770"/>
      <c r="C97" s="85">
        <f>ROUND(+B92/B93/B94*B95*B96,2)</f>
        <v>0</v>
      </c>
    </row>
    <row r="99" spans="1:3">
      <c r="A99" s="771" t="s">
        <v>206</v>
      </c>
      <c r="B99" s="772"/>
      <c r="C99" s="773"/>
    </row>
    <row r="100" spans="1:3">
      <c r="A100" s="29" t="s">
        <v>193</v>
      </c>
      <c r="B100" s="40">
        <f>+$B$7</f>
        <v>0</v>
      </c>
      <c r="C100" s="65"/>
    </row>
    <row r="101" spans="1:3">
      <c r="A101" s="29" t="s">
        <v>158</v>
      </c>
      <c r="B101" s="29">
        <v>30</v>
      </c>
      <c r="C101" s="65"/>
    </row>
    <row r="102" spans="1:3">
      <c r="A102" s="29" t="s">
        <v>194</v>
      </c>
      <c r="B102" s="29">
        <v>12</v>
      </c>
      <c r="C102" s="65"/>
    </row>
    <row r="103" spans="1:3">
      <c r="A103" s="49" t="s">
        <v>203</v>
      </c>
      <c r="B103" s="29">
        <v>5</v>
      </c>
      <c r="C103" s="65"/>
    </row>
    <row r="104" spans="1:3">
      <c r="A104" s="92" t="s">
        <v>207</v>
      </c>
      <c r="B104" s="93"/>
      <c r="C104" s="65"/>
    </row>
    <row r="105" spans="1:3">
      <c r="A105" s="769" t="s">
        <v>208</v>
      </c>
      <c r="B105" s="770"/>
      <c r="C105" s="85">
        <f>ROUND(+B100/B101/B102*B103*B104,2)</f>
        <v>0</v>
      </c>
    </row>
    <row r="107" spans="1:3">
      <c r="A107" s="771" t="s">
        <v>209</v>
      </c>
      <c r="B107" s="772"/>
      <c r="C107" s="773"/>
    </row>
    <row r="108" spans="1:3">
      <c r="A108" s="783" t="s">
        <v>210</v>
      </c>
      <c r="B108" s="784"/>
      <c r="C108" s="785"/>
    </row>
    <row r="109" spans="1:3">
      <c r="A109" s="29" t="s">
        <v>193</v>
      </c>
      <c r="B109" s="40">
        <f>+$B$7</f>
        <v>0</v>
      </c>
      <c r="C109" s="65"/>
    </row>
    <row r="110" spans="1:3">
      <c r="A110" s="29" t="s">
        <v>211</v>
      </c>
      <c r="B110" s="40">
        <f>+B109*(1/3)</f>
        <v>0</v>
      </c>
      <c r="C110" s="65"/>
    </row>
    <row r="111" spans="1:3">
      <c r="A111" s="96" t="s">
        <v>175</v>
      </c>
      <c r="B111" s="97">
        <f>SUM(B109:B110)</f>
        <v>0</v>
      </c>
      <c r="C111" s="65"/>
    </row>
    <row r="112" spans="1:3">
      <c r="A112" s="29" t="s">
        <v>212</v>
      </c>
      <c r="B112" s="29">
        <v>4</v>
      </c>
      <c r="C112" s="65"/>
    </row>
    <row r="113" spans="1:3">
      <c r="A113" s="29" t="s">
        <v>194</v>
      </c>
      <c r="B113" s="29">
        <v>12</v>
      </c>
      <c r="C113" s="65"/>
    </row>
    <row r="114" spans="1:3">
      <c r="A114" s="92" t="s">
        <v>213</v>
      </c>
      <c r="B114" s="93"/>
      <c r="C114" s="65"/>
    </row>
    <row r="115" spans="1:3">
      <c r="A115" s="92" t="s">
        <v>214</v>
      </c>
      <c r="B115" s="93"/>
      <c r="C115" s="65"/>
    </row>
    <row r="116" spans="1:3">
      <c r="A116" s="769" t="s">
        <v>215</v>
      </c>
      <c r="B116" s="770"/>
      <c r="C116" s="85">
        <f>ROUND((((+B111*(B112/B113)/B113)*B114)*B115),2)</f>
        <v>0</v>
      </c>
    </row>
    <row r="117" spans="1:3">
      <c r="A117" s="769" t="s">
        <v>216</v>
      </c>
      <c r="B117" s="786"/>
      <c r="C117" s="770"/>
    </row>
    <row r="118" spans="1:3">
      <c r="A118" s="29" t="s">
        <v>193</v>
      </c>
      <c r="B118" s="40">
        <f>+'Servente 44h 40% seg a sex'!D23</f>
        <v>0</v>
      </c>
      <c r="C118" s="65"/>
    </row>
    <row r="119" spans="1:3">
      <c r="A119" s="29" t="s">
        <v>55</v>
      </c>
      <c r="B119" s="40">
        <f>+'Servente 44h 40% seg a sex'!D29</f>
        <v>0</v>
      </c>
      <c r="C119" s="65"/>
    </row>
    <row r="120" spans="1:3">
      <c r="A120" s="96" t="s">
        <v>175</v>
      </c>
      <c r="B120" s="97">
        <f>SUM(B118:B119)</f>
        <v>0</v>
      </c>
      <c r="C120" s="65"/>
    </row>
    <row r="121" spans="1:3">
      <c r="A121" s="29" t="s">
        <v>212</v>
      </c>
      <c r="B121" s="29">
        <v>4</v>
      </c>
      <c r="C121" s="65"/>
    </row>
    <row r="122" spans="1:3">
      <c r="A122" s="29" t="s">
        <v>194</v>
      </c>
      <c r="B122" s="29">
        <v>12</v>
      </c>
      <c r="C122" s="65"/>
    </row>
    <row r="123" spans="1:3">
      <c r="A123" s="92" t="s">
        <v>213</v>
      </c>
      <c r="B123" s="93">
        <f>+B114</f>
        <v>0</v>
      </c>
      <c r="C123" s="65"/>
    </row>
    <row r="124" spans="1:3">
      <c r="A124" s="92" t="s">
        <v>214</v>
      </c>
      <c r="B124" s="93">
        <f>+B115</f>
        <v>0</v>
      </c>
      <c r="C124" s="65"/>
    </row>
    <row r="125" spans="1:3">
      <c r="A125" s="49" t="s">
        <v>217</v>
      </c>
      <c r="B125" s="39">
        <f>+'Servente 44h 40% seg a sex'!C45</f>
        <v>0.36800000000000005</v>
      </c>
      <c r="C125" s="65"/>
    </row>
    <row r="126" spans="1:3">
      <c r="A126" s="769" t="s">
        <v>218</v>
      </c>
      <c r="B126" s="770"/>
      <c r="C126" s="77">
        <f>ROUND((((B120*(B121/B122)*B123)*B124)*B125),2)</f>
        <v>0</v>
      </c>
    </row>
    <row r="128" spans="1:3" ht="30.75" customHeight="1">
      <c r="A128" s="787" t="s">
        <v>219</v>
      </c>
      <c r="B128" s="787"/>
      <c r="C128" s="787"/>
    </row>
    <row r="130" spans="1:3">
      <c r="A130" s="788" t="s">
        <v>220</v>
      </c>
      <c r="B130" s="788"/>
      <c r="C130" s="788"/>
    </row>
    <row r="131" spans="1:3">
      <c r="A131" s="29" t="s">
        <v>157</v>
      </c>
      <c r="B131" s="29">
        <v>365.25</v>
      </c>
      <c r="C131" s="65"/>
    </row>
    <row r="132" spans="1:3">
      <c r="A132" s="29" t="s">
        <v>158</v>
      </c>
      <c r="B132" s="49">
        <v>12</v>
      </c>
      <c r="C132" s="65"/>
    </row>
    <row r="133" spans="1:3">
      <c r="A133" s="29" t="s">
        <v>159</v>
      </c>
      <c r="B133" s="39">
        <v>0.5</v>
      </c>
      <c r="C133" s="65"/>
    </row>
    <row r="134" spans="1:3">
      <c r="A134" s="102" t="s">
        <v>221</v>
      </c>
      <c r="B134" s="49">
        <v>7</v>
      </c>
      <c r="C134" s="65"/>
    </row>
    <row r="135" spans="1:3">
      <c r="A135" s="49" t="s">
        <v>222</v>
      </c>
      <c r="B135" s="65"/>
      <c r="C135" s="40">
        <f>+'Servente 44h 40% seg a sex'!$D$12</f>
        <v>0</v>
      </c>
    </row>
    <row r="136" spans="1:3">
      <c r="A136" s="49" t="s">
        <v>34</v>
      </c>
      <c r="B136" s="65"/>
      <c r="C136" s="40">
        <f>+'Servente 44h 40% seg a sex'!$D$13</f>
        <v>0</v>
      </c>
    </row>
    <row r="137" spans="1:3">
      <c r="A137" s="49" t="s">
        <v>35</v>
      </c>
      <c r="B137" s="65"/>
      <c r="C137" s="40">
        <f>+'Servente 44h 40% seg a sex'!$D$14</f>
        <v>0</v>
      </c>
    </row>
    <row r="138" spans="1:3">
      <c r="A138" s="96" t="s">
        <v>223</v>
      </c>
      <c r="B138" s="65"/>
      <c r="C138" s="97">
        <f>SUM(C135:C137)</f>
        <v>0</v>
      </c>
    </row>
    <row r="139" spans="1:3">
      <c r="A139" s="29" t="s">
        <v>152</v>
      </c>
      <c r="B139" s="103">
        <f>+B3</f>
        <v>220</v>
      </c>
      <c r="C139" s="65"/>
    </row>
    <row r="140" spans="1:3">
      <c r="A140" s="49" t="s">
        <v>224</v>
      </c>
      <c r="B140" s="39">
        <v>0.2</v>
      </c>
      <c r="C140" s="65"/>
    </row>
    <row r="141" spans="1:3">
      <c r="A141" s="49" t="s">
        <v>225</v>
      </c>
      <c r="B141" s="65"/>
      <c r="C141" s="104">
        <f>ROUND((C138/B139)*B140,2)</f>
        <v>0</v>
      </c>
    </row>
    <row r="142" spans="1:3">
      <c r="A142" s="49" t="s">
        <v>226</v>
      </c>
      <c r="B142" s="29">
        <f>ROUND(+B131/B132*B133*B134,0)</f>
        <v>107</v>
      </c>
      <c r="C142" s="105"/>
    </row>
    <row r="143" spans="1:3">
      <c r="A143" s="789" t="s">
        <v>227</v>
      </c>
      <c r="B143" s="789"/>
      <c r="C143" s="68">
        <f>ROUND(+B142*C141,2)</f>
        <v>0</v>
      </c>
    </row>
    <row r="145" spans="1:3">
      <c r="A145" s="788" t="s">
        <v>228</v>
      </c>
      <c r="B145" s="788"/>
      <c r="C145" s="788"/>
    </row>
    <row r="146" spans="1:3">
      <c r="A146" s="29" t="s">
        <v>157</v>
      </c>
      <c r="B146" s="29">
        <f>+$B$4</f>
        <v>365.25</v>
      </c>
      <c r="C146" s="65"/>
    </row>
    <row r="147" spans="1:3">
      <c r="A147" s="29" t="s">
        <v>158</v>
      </c>
      <c r="B147" s="49">
        <v>12</v>
      </c>
      <c r="C147" s="65"/>
    </row>
    <row r="148" spans="1:3">
      <c r="A148" s="29" t="s">
        <v>159</v>
      </c>
      <c r="B148" s="39">
        <v>0.5</v>
      </c>
      <c r="C148" s="65"/>
    </row>
    <row r="149" spans="1:3">
      <c r="A149" s="102" t="s">
        <v>221</v>
      </c>
      <c r="B149" s="49">
        <v>7</v>
      </c>
      <c r="C149" s="65"/>
    </row>
    <row r="150" spans="1:3">
      <c r="A150" s="49" t="s">
        <v>229</v>
      </c>
      <c r="B150" s="88">
        <f>(365.25/12/2)/(7/7)</f>
        <v>15.21875</v>
      </c>
      <c r="C150" s="29"/>
    </row>
    <row r="151" spans="1:3">
      <c r="A151" s="49" t="s">
        <v>230</v>
      </c>
      <c r="B151" s="29">
        <f>ROUND(+B150*B149,2)</f>
        <v>106.53</v>
      </c>
      <c r="C151" s="29"/>
    </row>
    <row r="152" spans="1:3">
      <c r="A152" s="49" t="s">
        <v>222</v>
      </c>
      <c r="B152" s="65"/>
      <c r="C152" s="40">
        <f>+'Servente 44h 40% seg a sex'!$D$12</f>
        <v>0</v>
      </c>
    </row>
    <row r="153" spans="1:3">
      <c r="A153" s="49" t="s">
        <v>34</v>
      </c>
      <c r="B153" s="65"/>
      <c r="C153" s="40">
        <f>+'Servente 44h 40% seg a sex'!$D$13</f>
        <v>0</v>
      </c>
    </row>
    <row r="154" spans="1:3">
      <c r="A154" s="49" t="s">
        <v>35</v>
      </c>
      <c r="B154" s="65"/>
      <c r="C154" s="40">
        <f>+'Servente 44h 40% seg a sex'!$D$14</f>
        <v>0</v>
      </c>
    </row>
    <row r="155" spans="1:3">
      <c r="A155" s="96" t="s">
        <v>223</v>
      </c>
      <c r="B155" s="65"/>
      <c r="C155" s="97">
        <f>SUM(C152:C154)</f>
        <v>0</v>
      </c>
    </row>
    <row r="156" spans="1:3">
      <c r="A156" s="29" t="s">
        <v>152</v>
      </c>
      <c r="B156" s="103">
        <f>+B3</f>
        <v>220</v>
      </c>
      <c r="C156" s="65"/>
    </row>
    <row r="157" spans="1:3">
      <c r="A157" s="49" t="s">
        <v>224</v>
      </c>
      <c r="B157" s="39">
        <v>0.2</v>
      </c>
      <c r="C157" s="65"/>
    </row>
    <row r="158" spans="1:3">
      <c r="A158" s="49" t="s">
        <v>225</v>
      </c>
      <c r="B158" s="65"/>
      <c r="C158" s="104">
        <f>ROUND((C155/B156)*B157,2)</f>
        <v>0</v>
      </c>
    </row>
    <row r="159" spans="1:3">
      <c r="A159" s="49" t="s">
        <v>231</v>
      </c>
      <c r="B159" s="29">
        <v>60</v>
      </c>
      <c r="C159" s="65"/>
    </row>
    <row r="160" spans="1:3">
      <c r="A160" s="49" t="s">
        <v>232</v>
      </c>
      <c r="B160" s="29">
        <v>52.5</v>
      </c>
      <c r="C160" s="65"/>
    </row>
    <row r="161" spans="1:3">
      <c r="A161" s="49" t="s">
        <v>233</v>
      </c>
      <c r="B161" s="29">
        <f>+B159/B160</f>
        <v>1.1428571428571428</v>
      </c>
      <c r="C161" s="65"/>
    </row>
    <row r="162" spans="1:3">
      <c r="A162" s="49" t="s">
        <v>234</v>
      </c>
      <c r="B162" s="29">
        <f>ROUND(+B161*B151,2)</f>
        <v>121.75</v>
      </c>
      <c r="C162" s="65"/>
    </row>
    <row r="163" spans="1:3">
      <c r="A163" s="49" t="s">
        <v>235</v>
      </c>
      <c r="B163" s="29">
        <f>ROUND(B162-B151,2)</f>
        <v>15.22</v>
      </c>
      <c r="C163" s="105"/>
    </row>
    <row r="164" spans="1:3">
      <c r="A164" s="754" t="s">
        <v>236</v>
      </c>
      <c r="B164" s="754"/>
      <c r="C164" s="77">
        <f>+B163*C158</f>
        <v>0</v>
      </c>
    </row>
  </sheetData>
  <mergeCells count="37">
    <mergeCell ref="A164:B164"/>
    <mergeCell ref="A117:C117"/>
    <mergeCell ref="A126:B126"/>
    <mergeCell ref="A128:C128"/>
    <mergeCell ref="A130:C130"/>
    <mergeCell ref="A143:B143"/>
    <mergeCell ref="A145:C145"/>
    <mergeCell ref="A116:B116"/>
    <mergeCell ref="A70:C73"/>
    <mergeCell ref="A75:C75"/>
    <mergeCell ref="A80:B80"/>
    <mergeCell ref="A82:C82"/>
    <mergeCell ref="A89:B89"/>
    <mergeCell ref="A91:C91"/>
    <mergeCell ref="A97:B97"/>
    <mergeCell ref="A99:C99"/>
    <mergeCell ref="A105:B105"/>
    <mergeCell ref="A107:C107"/>
    <mergeCell ref="A108:C108"/>
    <mergeCell ref="A69:C69"/>
    <mergeCell ref="A31:B31"/>
    <mergeCell ref="A33:C33"/>
    <mergeCell ref="A42:B42"/>
    <mergeCell ref="A44:B44"/>
    <mergeCell ref="A45:B45"/>
    <mergeCell ref="A47:C47"/>
    <mergeCell ref="A53:B53"/>
    <mergeCell ref="A55:C55"/>
    <mergeCell ref="A64:B64"/>
    <mergeCell ref="A66:B66"/>
    <mergeCell ref="A67:B67"/>
    <mergeCell ref="A27:C27"/>
    <mergeCell ref="A1:C1"/>
    <mergeCell ref="A9:C9"/>
    <mergeCell ref="A16:B16"/>
    <mergeCell ref="A18:C18"/>
    <mergeCell ref="A25:B25"/>
  </mergeCells>
  <pageMargins left="1.07" right="0.16" top="0.39" bottom="0.78740157480314965" header="0.31496062992125984" footer="0.31496062992125984"/>
  <pageSetup paperSize="9" scale="85" orientation="portrait" r:id="rId1"/>
  <headerFoot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G174"/>
  <sheetViews>
    <sheetView topLeftCell="A153" workbookViewId="0">
      <selection activeCell="B177" sqref="B177"/>
    </sheetView>
  </sheetViews>
  <sheetFormatPr defaultRowHeight="13.2"/>
  <cols>
    <col min="1" max="1" width="5.6328125" customWidth="1"/>
    <col min="2" max="2" width="50.453125" customWidth="1"/>
    <col min="3" max="3" width="9.36328125" bestFit="1" customWidth="1"/>
    <col min="4" max="4" width="15.6328125" customWidth="1"/>
    <col min="5" max="5" width="11.7265625" bestFit="1" customWidth="1"/>
  </cols>
  <sheetData>
    <row r="1" spans="1:6">
      <c r="A1" s="718" t="s">
        <v>22</v>
      </c>
      <c r="B1" s="719"/>
      <c r="C1" s="719"/>
      <c r="D1" s="720"/>
      <c r="E1" s="6"/>
      <c r="F1" s="6"/>
    </row>
    <row r="3" spans="1:6">
      <c r="A3" s="721" t="s">
        <v>23</v>
      </c>
      <c r="B3" s="722"/>
      <c r="C3" s="722"/>
      <c r="D3" s="723"/>
    </row>
    <row r="4" spans="1:6" s="9" customFormat="1" ht="28.5" customHeight="1">
      <c r="A4" s="228">
        <v>1</v>
      </c>
      <c r="B4" s="229" t="s">
        <v>24</v>
      </c>
      <c r="C4" s="806" t="s">
        <v>354</v>
      </c>
      <c r="D4" s="807"/>
    </row>
    <row r="5" spans="1:6" s="9" customFormat="1">
      <c r="A5" s="228">
        <v>2</v>
      </c>
      <c r="B5" s="229" t="s">
        <v>25</v>
      </c>
      <c r="C5" s="808" t="s">
        <v>254</v>
      </c>
      <c r="D5" s="804"/>
      <c r="F5" s="132"/>
    </row>
    <row r="6" spans="1:6" s="9" customFormat="1">
      <c r="A6" s="228">
        <v>3</v>
      </c>
      <c r="B6" s="229" t="s">
        <v>255</v>
      </c>
      <c r="C6" s="805">
        <f>+Resumo!H19</f>
        <v>0</v>
      </c>
      <c r="D6" s="805"/>
      <c r="F6" s="132"/>
    </row>
    <row r="7" spans="1:6" s="9" customFormat="1">
      <c r="A7" s="228">
        <v>5</v>
      </c>
      <c r="B7" s="229" t="s">
        <v>26</v>
      </c>
      <c r="C7" s="805">
        <f>+Resumo!H21</f>
        <v>0</v>
      </c>
      <c r="D7" s="805"/>
      <c r="F7" s="133"/>
    </row>
    <row r="8" spans="1:6" s="9" customFormat="1">
      <c r="A8" s="228">
        <v>5</v>
      </c>
      <c r="B8" s="229" t="s">
        <v>27</v>
      </c>
      <c r="C8" s="801" t="s">
        <v>256</v>
      </c>
      <c r="D8" s="802"/>
    </row>
    <row r="9" spans="1:6" s="9" customFormat="1">
      <c r="A9" s="228">
        <v>6</v>
      </c>
      <c r="B9" s="229" t="s">
        <v>28</v>
      </c>
      <c r="C9" s="803">
        <v>43524</v>
      </c>
      <c r="D9" s="804"/>
    </row>
    <row r="10" spans="1:6">
      <c r="D10" s="10"/>
    </row>
    <row r="11" spans="1:6">
      <c r="A11" s="732" t="s">
        <v>29</v>
      </c>
      <c r="B11" s="733"/>
      <c r="C11" s="733"/>
      <c r="D11" s="733"/>
    </row>
    <row r="12" spans="1:6">
      <c r="A12" s="11">
        <v>1</v>
      </c>
      <c r="B12" s="12" t="s">
        <v>30</v>
      </c>
      <c r="C12" s="13" t="s">
        <v>31</v>
      </c>
      <c r="D12" s="14" t="s">
        <v>32</v>
      </c>
    </row>
    <row r="13" spans="1:6">
      <c r="A13" s="162" t="s">
        <v>4</v>
      </c>
      <c r="B13" s="734" t="s">
        <v>33</v>
      </c>
      <c r="C13" s="734"/>
      <c r="D13" s="17">
        <f>+C7</f>
        <v>0</v>
      </c>
    </row>
    <row r="14" spans="1:6">
      <c r="A14" s="162" t="s">
        <v>6</v>
      </c>
      <c r="B14" s="18" t="s">
        <v>34</v>
      </c>
      <c r="C14" s="19"/>
      <c r="D14" s="17"/>
      <c r="E14" s="20"/>
    </row>
    <row r="15" spans="1:6">
      <c r="A15" s="162" t="s">
        <v>9</v>
      </c>
      <c r="B15" s="18" t="s">
        <v>35</v>
      </c>
      <c r="C15" s="19"/>
      <c r="D15" s="17">
        <f>+C15*D13</f>
        <v>0</v>
      </c>
    </row>
    <row r="16" spans="1:6">
      <c r="A16" s="162" t="s">
        <v>11</v>
      </c>
      <c r="B16" s="734" t="s">
        <v>36</v>
      </c>
      <c r="C16" s="734"/>
      <c r="D16" s="17"/>
    </row>
    <row r="17" spans="1:6">
      <c r="A17" s="162" t="s">
        <v>37</v>
      </c>
      <c r="B17" s="734" t="s">
        <v>38</v>
      </c>
      <c r="C17" s="734"/>
      <c r="D17" s="17"/>
    </row>
    <row r="18" spans="1:6">
      <c r="A18" s="162" t="s">
        <v>39</v>
      </c>
      <c r="B18" s="716" t="s">
        <v>40</v>
      </c>
      <c r="C18" s="717"/>
      <c r="D18" s="17"/>
    </row>
    <row r="19" spans="1:6">
      <c r="A19" s="162" t="s">
        <v>41</v>
      </c>
      <c r="B19" s="734" t="s">
        <v>42</v>
      </c>
      <c r="C19" s="734"/>
      <c r="D19" s="17"/>
    </row>
    <row r="20" spans="1:6">
      <c r="A20" s="162" t="s">
        <v>43</v>
      </c>
      <c r="B20" s="716" t="s">
        <v>44</v>
      </c>
      <c r="C20" s="717"/>
      <c r="D20" s="21"/>
    </row>
    <row r="21" spans="1:6">
      <c r="A21" s="162" t="s">
        <v>45</v>
      </c>
      <c r="B21" s="18" t="s">
        <v>46</v>
      </c>
      <c r="C21" s="19">
        <v>0.25</v>
      </c>
      <c r="D21" s="17">
        <f>+C6*C21</f>
        <v>0</v>
      </c>
    </row>
    <row r="22" spans="1:6">
      <c r="A22" s="162" t="s">
        <v>47</v>
      </c>
      <c r="B22" s="734" t="s">
        <v>48</v>
      </c>
      <c r="C22" s="734"/>
      <c r="D22" s="22"/>
      <c r="F22" s="23"/>
    </row>
    <row r="23" spans="1:6">
      <c r="A23" s="162" t="s">
        <v>49</v>
      </c>
      <c r="B23" s="734" t="s">
        <v>50</v>
      </c>
      <c r="C23" s="734"/>
      <c r="D23" s="22"/>
    </row>
    <row r="24" spans="1:6">
      <c r="A24" s="736" t="s">
        <v>21</v>
      </c>
      <c r="B24" s="736"/>
      <c r="C24" s="736"/>
      <c r="D24" s="24">
        <f>SUM(D13:D23)</f>
        <v>0</v>
      </c>
    </row>
    <row r="26" spans="1:6">
      <c r="A26" s="732" t="s">
        <v>51</v>
      </c>
      <c r="B26" s="733"/>
      <c r="C26" s="733"/>
      <c r="D26" s="733"/>
    </row>
    <row r="28" spans="1:6">
      <c r="A28" s="732" t="s">
        <v>52</v>
      </c>
      <c r="B28" s="733"/>
      <c r="C28" s="733"/>
      <c r="D28" s="733"/>
    </row>
    <row r="29" spans="1:6">
      <c r="A29" s="25" t="s">
        <v>53</v>
      </c>
      <c r="B29" s="26" t="s">
        <v>54</v>
      </c>
      <c r="C29" s="27" t="s">
        <v>31</v>
      </c>
      <c r="D29" s="28" t="s">
        <v>32</v>
      </c>
    </row>
    <row r="30" spans="1:6">
      <c r="A30" s="162" t="s">
        <v>4</v>
      </c>
      <c r="B30" s="29" t="s">
        <v>55</v>
      </c>
      <c r="C30" s="30" t="e">
        <f>ROUND(+D30/$D$24,4)</f>
        <v>#DIV/0!</v>
      </c>
      <c r="D30" s="22">
        <f>ROUND(+D24/12,2)</f>
        <v>0</v>
      </c>
    </row>
    <row r="31" spans="1:6">
      <c r="A31" s="31" t="s">
        <v>6</v>
      </c>
      <c r="B31" s="32" t="s">
        <v>56</v>
      </c>
      <c r="C31" s="33" t="e">
        <f>ROUND(+D31/$D$24,4)</f>
        <v>#DIV/0!</v>
      </c>
      <c r="D31" s="34">
        <f>+D32+D33</f>
        <v>0</v>
      </c>
    </row>
    <row r="32" spans="1:6">
      <c r="A32" s="162" t="s">
        <v>57</v>
      </c>
      <c r="B32" s="35" t="s">
        <v>58</v>
      </c>
      <c r="C32" s="36" t="e">
        <f>ROUND(+D32/$D$24,4)</f>
        <v>#DIV/0!</v>
      </c>
      <c r="D32" s="37">
        <f>ROUND(+D24/12,2)</f>
        <v>0</v>
      </c>
    </row>
    <row r="33" spans="1:4">
      <c r="A33" s="162" t="s">
        <v>59</v>
      </c>
      <c r="B33" s="35" t="s">
        <v>60</v>
      </c>
      <c r="C33" s="36" t="e">
        <f>ROUND(+D33/$D$24,4)</f>
        <v>#DIV/0!</v>
      </c>
      <c r="D33" s="37">
        <f>ROUND(+(D24*1/3)/12,2)</f>
        <v>0</v>
      </c>
    </row>
    <row r="34" spans="1:4">
      <c r="A34" s="736" t="s">
        <v>21</v>
      </c>
      <c r="B34" s="736"/>
      <c r="C34" s="736"/>
      <c r="D34" s="24">
        <f>+D31+D30</f>
        <v>0</v>
      </c>
    </row>
    <row r="36" spans="1:4">
      <c r="A36" s="737" t="s">
        <v>61</v>
      </c>
      <c r="B36" s="738"/>
      <c r="C36" s="738"/>
      <c r="D36" s="738"/>
    </row>
    <row r="37" spans="1:4">
      <c r="A37" s="25" t="s">
        <v>62</v>
      </c>
      <c r="B37" s="38" t="s">
        <v>63</v>
      </c>
      <c r="C37" s="27" t="s">
        <v>31</v>
      </c>
      <c r="D37" s="28" t="s">
        <v>32</v>
      </c>
    </row>
    <row r="38" spans="1:4">
      <c r="A38" s="162" t="s">
        <v>4</v>
      </c>
      <c r="B38" s="29" t="s">
        <v>64</v>
      </c>
      <c r="C38" s="39">
        <v>0.2</v>
      </c>
      <c r="D38" s="40">
        <f>ROUND(C38*($D$24+$D$34),2)</f>
        <v>0</v>
      </c>
    </row>
    <row r="39" spans="1:4">
      <c r="A39" s="162" t="s">
        <v>6</v>
      </c>
      <c r="B39" s="29" t="s">
        <v>65</v>
      </c>
      <c r="C39" s="39">
        <v>2.5000000000000001E-2</v>
      </c>
      <c r="D39" s="40">
        <f t="shared" ref="D39:D44" si="0">ROUND(C39*($D$24+$D$34),2)</f>
        <v>0</v>
      </c>
    </row>
    <row r="40" spans="1:4">
      <c r="A40" s="162" t="s">
        <v>9</v>
      </c>
      <c r="B40" s="29" t="s">
        <v>66</v>
      </c>
      <c r="C40" s="39">
        <f>3%</f>
        <v>0.03</v>
      </c>
      <c r="D40" s="40">
        <f t="shared" si="0"/>
        <v>0</v>
      </c>
    </row>
    <row r="41" spans="1:4">
      <c r="A41" s="162" t="s">
        <v>11</v>
      </c>
      <c r="B41" s="29" t="s">
        <v>67</v>
      </c>
      <c r="C41" s="39">
        <v>1.4999999999999999E-2</v>
      </c>
      <c r="D41" s="40">
        <f t="shared" si="0"/>
        <v>0</v>
      </c>
    </row>
    <row r="42" spans="1:4">
      <c r="A42" s="162" t="s">
        <v>37</v>
      </c>
      <c r="B42" s="29" t="s">
        <v>68</v>
      </c>
      <c r="C42" s="39">
        <v>0.01</v>
      </c>
      <c r="D42" s="40">
        <f t="shared" si="0"/>
        <v>0</v>
      </c>
    </row>
    <row r="43" spans="1:4">
      <c r="A43" s="162" t="s">
        <v>39</v>
      </c>
      <c r="B43" s="29" t="s">
        <v>69</v>
      </c>
      <c r="C43" s="39">
        <v>6.0000000000000001E-3</v>
      </c>
      <c r="D43" s="40">
        <f t="shared" si="0"/>
        <v>0</v>
      </c>
    </row>
    <row r="44" spans="1:4">
      <c r="A44" s="162" t="s">
        <v>41</v>
      </c>
      <c r="B44" s="29" t="s">
        <v>70</v>
      </c>
      <c r="C44" s="39">
        <v>2E-3</v>
      </c>
      <c r="D44" s="40">
        <f t="shared" si="0"/>
        <v>0</v>
      </c>
    </row>
    <row r="45" spans="1:4">
      <c r="A45" s="162" t="s">
        <v>43</v>
      </c>
      <c r="B45" s="29" t="s">
        <v>71</v>
      </c>
      <c r="C45" s="39">
        <v>0.08</v>
      </c>
      <c r="D45" s="40">
        <f>ROUND(C45*($D$24+$D$34),2)</f>
        <v>0</v>
      </c>
    </row>
    <row r="46" spans="1:4">
      <c r="A46" s="160" t="s">
        <v>21</v>
      </c>
      <c r="B46" s="161"/>
      <c r="C46" s="43">
        <f>SUM(C38:C45)</f>
        <v>0.36800000000000005</v>
      </c>
      <c r="D46" s="44">
        <f>SUM(D38:D45)</f>
        <v>0</v>
      </c>
    </row>
    <row r="47" spans="1:4">
      <c r="A47" s="45"/>
      <c r="B47" s="45"/>
      <c r="C47" s="45"/>
      <c r="D47" s="45"/>
    </row>
    <row r="48" spans="1:4">
      <c r="A48" s="737" t="s">
        <v>72</v>
      </c>
      <c r="B48" s="738"/>
      <c r="C48" s="738"/>
      <c r="D48" s="738"/>
    </row>
    <row r="49" spans="1:6">
      <c r="A49" s="25" t="s">
        <v>73</v>
      </c>
      <c r="B49" s="38" t="s">
        <v>74</v>
      </c>
      <c r="C49" s="27"/>
      <c r="D49" s="28" t="s">
        <v>32</v>
      </c>
    </row>
    <row r="50" spans="1:6">
      <c r="A50" s="46" t="s">
        <v>4</v>
      </c>
      <c r="B50" s="29" t="s">
        <v>75</v>
      </c>
      <c r="C50" s="47"/>
      <c r="D50" s="40">
        <f>+'Men Cal Enc 44h seg sex '!C17</f>
        <v>0</v>
      </c>
    </row>
    <row r="51" spans="1:6" s="51" customFormat="1">
      <c r="A51" s="48" t="s">
        <v>76</v>
      </c>
      <c r="B51" s="49" t="s">
        <v>77</v>
      </c>
      <c r="C51" s="30">
        <f>+$C$136+$C$137</f>
        <v>9.2499999999999999E-2</v>
      </c>
      <c r="D51" s="50">
        <f>+(C51*D50)*-1</f>
        <v>0</v>
      </c>
      <c r="F51" s="52"/>
    </row>
    <row r="52" spans="1:6">
      <c r="A52" s="46" t="s">
        <v>6</v>
      </c>
      <c r="B52" s="29" t="s">
        <v>78</v>
      </c>
      <c r="C52" s="47"/>
      <c r="D52" s="40">
        <f>+'Men Cal Enc 44h seg sex '!C26</f>
        <v>0</v>
      </c>
      <c r="F52" s="53"/>
    </row>
    <row r="53" spans="1:6" s="51" customFormat="1">
      <c r="A53" s="48" t="s">
        <v>57</v>
      </c>
      <c r="B53" s="49" t="s">
        <v>77</v>
      </c>
      <c r="C53" s="30">
        <f>+$C$136+$C$137</f>
        <v>9.2499999999999999E-2</v>
      </c>
      <c r="D53" s="50">
        <f>+(C53*D52)*-1</f>
        <v>0</v>
      </c>
      <c r="F53" s="54"/>
    </row>
    <row r="54" spans="1:6">
      <c r="A54" s="92" t="s">
        <v>9</v>
      </c>
      <c r="B54" s="92" t="s">
        <v>79</v>
      </c>
      <c r="C54" s="47"/>
      <c r="D54" s="230"/>
      <c r="F54" s="53"/>
    </row>
    <row r="55" spans="1:6">
      <c r="A55" s="48" t="s">
        <v>80</v>
      </c>
      <c r="B55" s="49" t="s">
        <v>77</v>
      </c>
      <c r="C55" s="30">
        <f>+$C$136+$C$137</f>
        <v>9.2499999999999999E-2</v>
      </c>
      <c r="D55" s="50">
        <f>+(C55*D54)*-1</f>
        <v>0</v>
      </c>
      <c r="F55" s="53"/>
    </row>
    <row r="56" spans="1:6">
      <c r="A56" s="92" t="s">
        <v>11</v>
      </c>
      <c r="B56" s="90" t="s">
        <v>676</v>
      </c>
      <c r="C56" s="47"/>
      <c r="D56" s="230"/>
      <c r="F56" s="53"/>
    </row>
    <row r="57" spans="1:6">
      <c r="A57" s="48" t="s">
        <v>81</v>
      </c>
      <c r="B57" s="49" t="s">
        <v>77</v>
      </c>
      <c r="C57" s="30">
        <f>+$C$136+$C$137</f>
        <v>9.2499999999999999E-2</v>
      </c>
      <c r="D57" s="50">
        <f>+(C57*D56)*-1</f>
        <v>0</v>
      </c>
      <c r="F57" s="53"/>
    </row>
    <row r="58" spans="1:6" ht="30" customHeight="1">
      <c r="A58" s="92" t="s">
        <v>37</v>
      </c>
      <c r="B58" s="558" t="s">
        <v>677</v>
      </c>
      <c r="C58" s="47"/>
      <c r="D58" s="231"/>
      <c r="F58" s="55"/>
    </row>
    <row r="59" spans="1:6">
      <c r="A59" s="48" t="s">
        <v>82</v>
      </c>
      <c r="B59" s="49" t="s">
        <v>77</v>
      </c>
      <c r="C59" s="30">
        <f>+$C$136+$C$137</f>
        <v>9.2499999999999999E-2</v>
      </c>
      <c r="D59" s="50">
        <f>+(C59*D58)*-1</f>
        <v>0</v>
      </c>
    </row>
    <row r="60" spans="1:6">
      <c r="A60" s="92" t="s">
        <v>39</v>
      </c>
      <c r="B60" s="739" t="s">
        <v>83</v>
      </c>
      <c r="C60" s="739"/>
      <c r="D60" s="230"/>
    </row>
    <row r="61" spans="1:6">
      <c r="A61" s="48" t="s">
        <v>84</v>
      </c>
      <c r="B61" s="49" t="s">
        <v>77</v>
      </c>
      <c r="C61" s="30">
        <f>+$C$136+$C$137</f>
        <v>9.2499999999999999E-2</v>
      </c>
      <c r="D61" s="50">
        <f>+(C61*D60)*-1</f>
        <v>0</v>
      </c>
    </row>
    <row r="62" spans="1:6">
      <c r="A62" s="721" t="s">
        <v>21</v>
      </c>
      <c r="B62" s="723"/>
      <c r="C62" s="56"/>
      <c r="D62" s="57">
        <f>SUM(D50:D61)</f>
        <v>0</v>
      </c>
    </row>
    <row r="64" spans="1:6">
      <c r="A64" s="732" t="s">
        <v>85</v>
      </c>
      <c r="B64" s="733"/>
      <c r="C64" s="733"/>
      <c r="D64" s="733"/>
    </row>
    <row r="65" spans="1:4">
      <c r="A65" s="58">
        <v>2</v>
      </c>
      <c r="B65" s="742" t="s">
        <v>86</v>
      </c>
      <c r="C65" s="742"/>
      <c r="D65" s="59" t="s">
        <v>32</v>
      </c>
    </row>
    <row r="66" spans="1:4">
      <c r="A66" s="60" t="s">
        <v>53</v>
      </c>
      <c r="B66" s="743" t="s">
        <v>54</v>
      </c>
      <c r="C66" s="743"/>
      <c r="D66" s="40">
        <f>+D34</f>
        <v>0</v>
      </c>
    </row>
    <row r="67" spans="1:4">
      <c r="A67" s="60" t="s">
        <v>62</v>
      </c>
      <c r="B67" s="743" t="s">
        <v>63</v>
      </c>
      <c r="C67" s="743"/>
      <c r="D67" s="40">
        <f>+D46</f>
        <v>0</v>
      </c>
    </row>
    <row r="68" spans="1:4">
      <c r="A68" s="60" t="s">
        <v>73</v>
      </c>
      <c r="B68" s="743" t="s">
        <v>74</v>
      </c>
      <c r="C68" s="743"/>
      <c r="D68" s="61">
        <f>+D62</f>
        <v>0</v>
      </c>
    </row>
    <row r="69" spans="1:4">
      <c r="A69" s="742" t="s">
        <v>21</v>
      </c>
      <c r="B69" s="742"/>
      <c r="C69" s="742"/>
      <c r="D69" s="62">
        <f>SUM(D66:D68)</f>
        <v>0</v>
      </c>
    </row>
    <row r="71" spans="1:4">
      <c r="A71" s="732" t="s">
        <v>87</v>
      </c>
      <c r="B71" s="733"/>
      <c r="C71" s="733"/>
      <c r="D71" s="733"/>
    </row>
    <row r="73" spans="1:4">
      <c r="A73" s="63">
        <v>3</v>
      </c>
      <c r="B73" s="26" t="s">
        <v>88</v>
      </c>
      <c r="C73" s="13" t="s">
        <v>31</v>
      </c>
      <c r="D73" s="13" t="s">
        <v>32</v>
      </c>
    </row>
    <row r="74" spans="1:4">
      <c r="A74" s="162" t="s">
        <v>4</v>
      </c>
      <c r="B74" s="49" t="s">
        <v>89</v>
      </c>
      <c r="C74" s="30" t="e">
        <f>+D74/$D$24</f>
        <v>#DIV/0!</v>
      </c>
      <c r="D74" s="64">
        <f>+'Men Cal Enc 44h seg sex '!C32</f>
        <v>0</v>
      </c>
    </row>
    <row r="75" spans="1:4">
      <c r="A75" s="162" t="s">
        <v>6</v>
      </c>
      <c r="B75" s="29" t="s">
        <v>90</v>
      </c>
      <c r="C75" s="65"/>
      <c r="D75" s="22">
        <f>ROUND(+D74*$C$45,2)</f>
        <v>0</v>
      </c>
    </row>
    <row r="76" spans="1:4" ht="26.4">
      <c r="A76" s="162" t="s">
        <v>9</v>
      </c>
      <c r="B76" s="5" t="s">
        <v>91</v>
      </c>
      <c r="C76" s="39" t="e">
        <f>+D76/$D$24</f>
        <v>#DIV/0!</v>
      </c>
      <c r="D76" s="22">
        <f>+'Men Cal Enc 44h seg sex '!C46</f>
        <v>0</v>
      </c>
    </row>
    <row r="77" spans="1:4">
      <c r="A77" s="66" t="s">
        <v>11</v>
      </c>
      <c r="B77" s="29" t="s">
        <v>92</v>
      </c>
      <c r="C77" s="39" t="e">
        <f>+D77/$D$24</f>
        <v>#DIV/0!</v>
      </c>
      <c r="D77" s="22">
        <f>+'Men Cal Enc 44h seg sex '!C54</f>
        <v>0</v>
      </c>
    </row>
    <row r="78" spans="1:4" ht="26.4">
      <c r="A78" s="66" t="s">
        <v>37</v>
      </c>
      <c r="B78" s="5" t="s">
        <v>93</v>
      </c>
      <c r="C78" s="65"/>
      <c r="D78" s="67"/>
    </row>
    <row r="79" spans="1:4" ht="26.4">
      <c r="A79" s="66" t="s">
        <v>39</v>
      </c>
      <c r="B79" s="5" t="s">
        <v>94</v>
      </c>
      <c r="C79" s="39" t="e">
        <f>+D79/$D$24</f>
        <v>#DIV/0!</v>
      </c>
      <c r="D79" s="40">
        <f>+'Men Cal Enc 44h seg sex '!C68</f>
        <v>0</v>
      </c>
    </row>
    <row r="80" spans="1:4">
      <c r="A80" s="721" t="s">
        <v>21</v>
      </c>
      <c r="B80" s="722"/>
      <c r="C80" s="723"/>
      <c r="D80" s="68">
        <f>SUM(D74:D79)</f>
        <v>0</v>
      </c>
    </row>
    <row r="82" spans="1:4">
      <c r="A82" s="732" t="s">
        <v>95</v>
      </c>
      <c r="B82" s="733"/>
      <c r="C82" s="733"/>
      <c r="D82" s="733"/>
    </row>
    <row r="84" spans="1:4">
      <c r="A84" s="744" t="s">
        <v>96</v>
      </c>
      <c r="B84" s="744"/>
      <c r="C84" s="744"/>
      <c r="D84" s="744"/>
    </row>
    <row r="85" spans="1:4">
      <c r="A85" s="63" t="s">
        <v>97</v>
      </c>
      <c r="B85" s="721" t="s">
        <v>98</v>
      </c>
      <c r="C85" s="723"/>
      <c r="D85" s="13" t="s">
        <v>32</v>
      </c>
    </row>
    <row r="86" spans="1:4">
      <c r="A86" s="29" t="s">
        <v>4</v>
      </c>
      <c r="B86" s="740" t="s">
        <v>99</v>
      </c>
      <c r="C86" s="741"/>
      <c r="D86" s="22"/>
    </row>
    <row r="87" spans="1:4">
      <c r="A87" s="49" t="s">
        <v>6</v>
      </c>
      <c r="B87" s="747" t="s">
        <v>98</v>
      </c>
      <c r="C87" s="748"/>
      <c r="D87" s="69">
        <f>+'Men Cal Enc 44h seg sex '!C81</f>
        <v>0</v>
      </c>
    </row>
    <row r="88" spans="1:4" s="51" customFormat="1">
      <c r="A88" s="49" t="s">
        <v>9</v>
      </c>
      <c r="B88" s="747" t="s">
        <v>100</v>
      </c>
      <c r="C88" s="748"/>
      <c r="D88" s="69">
        <f>+'Men Cal Enc 44h seg sex '!C90</f>
        <v>0</v>
      </c>
    </row>
    <row r="89" spans="1:4" s="51" customFormat="1">
      <c r="A89" s="49" t="s">
        <v>11</v>
      </c>
      <c r="B89" s="747" t="s">
        <v>101</v>
      </c>
      <c r="C89" s="748"/>
      <c r="D89" s="69">
        <f>+'Men Cal Enc 44h seg sex '!C98</f>
        <v>0</v>
      </c>
    </row>
    <row r="90" spans="1:4" s="51" customFormat="1">
      <c r="A90" s="49" t="s">
        <v>37</v>
      </c>
      <c r="B90" s="747" t="s">
        <v>102</v>
      </c>
      <c r="C90" s="748"/>
      <c r="D90" s="69"/>
    </row>
    <row r="91" spans="1:4" s="51" customFormat="1">
      <c r="A91" s="49" t="s">
        <v>39</v>
      </c>
      <c r="B91" s="747" t="s">
        <v>103</v>
      </c>
      <c r="C91" s="748"/>
      <c r="D91" s="69">
        <f>+'Men Cal Enc 44h seg sex '!C106</f>
        <v>0</v>
      </c>
    </row>
    <row r="92" spans="1:4">
      <c r="A92" s="29" t="s">
        <v>41</v>
      </c>
      <c r="B92" s="740" t="s">
        <v>50</v>
      </c>
      <c r="C92" s="741"/>
      <c r="D92" s="22"/>
    </row>
    <row r="93" spans="1:4">
      <c r="A93" s="29" t="s">
        <v>43</v>
      </c>
      <c r="B93" s="740" t="s">
        <v>104</v>
      </c>
      <c r="C93" s="741"/>
      <c r="D93" s="67"/>
    </row>
    <row r="94" spans="1:4">
      <c r="A94" s="736" t="s">
        <v>21</v>
      </c>
      <c r="B94" s="736"/>
      <c r="C94" s="736"/>
      <c r="D94" s="24">
        <f>SUM(D86:D93)</f>
        <v>0</v>
      </c>
    </row>
    <row r="95" spans="1:4">
      <c r="D95" s="70"/>
    </row>
    <row r="96" spans="1:4">
      <c r="A96" s="63" t="s">
        <v>105</v>
      </c>
      <c r="B96" s="721" t="s">
        <v>106</v>
      </c>
      <c r="C96" s="723"/>
      <c r="D96" s="13" t="s">
        <v>32</v>
      </c>
    </row>
    <row r="97" spans="1:4" s="51" customFormat="1">
      <c r="A97" s="49" t="s">
        <v>4</v>
      </c>
      <c r="B97" s="749" t="s">
        <v>107</v>
      </c>
      <c r="C97" s="750"/>
      <c r="D97" s="69">
        <f>+'Men Cal Enc 44h seg sex '!C118</f>
        <v>0</v>
      </c>
    </row>
    <row r="98" spans="1:4" s="51" customFormat="1">
      <c r="A98" s="49" t="s">
        <v>6</v>
      </c>
      <c r="B98" s="745" t="s">
        <v>108</v>
      </c>
      <c r="C98" s="746"/>
      <c r="D98" s="67"/>
    </row>
    <row r="99" spans="1:4" s="51" customFormat="1">
      <c r="A99" s="49" t="s">
        <v>9</v>
      </c>
      <c r="B99" s="745" t="s">
        <v>109</v>
      </c>
      <c r="C99" s="746"/>
      <c r="D99" s="67"/>
    </row>
    <row r="100" spans="1:4">
      <c r="A100" s="29" t="s">
        <v>11</v>
      </c>
      <c r="B100" s="740" t="s">
        <v>50</v>
      </c>
      <c r="C100" s="741"/>
      <c r="D100" s="22"/>
    </row>
    <row r="101" spans="1:4">
      <c r="A101" s="736" t="s">
        <v>21</v>
      </c>
      <c r="B101" s="736"/>
      <c r="C101" s="736"/>
      <c r="D101" s="24">
        <f>SUM(D97:D100)</f>
        <v>0</v>
      </c>
    </row>
    <row r="102" spans="1:4">
      <c r="D102" s="70"/>
    </row>
    <row r="103" spans="1:4">
      <c r="A103" s="63" t="s">
        <v>110</v>
      </c>
      <c r="B103" s="736" t="s">
        <v>111</v>
      </c>
      <c r="C103" s="736"/>
      <c r="D103" s="13" t="s">
        <v>32</v>
      </c>
    </row>
    <row r="104" spans="1:4" s="72" customFormat="1">
      <c r="A104" s="66" t="s">
        <v>4</v>
      </c>
      <c r="B104" s="751" t="s">
        <v>112</v>
      </c>
      <c r="C104" s="751"/>
      <c r="D104" s="71"/>
    </row>
    <row r="105" spans="1:4">
      <c r="A105" s="736" t="s">
        <v>21</v>
      </c>
      <c r="B105" s="736"/>
      <c r="C105" s="736"/>
      <c r="D105" s="24">
        <f>SUM(D104:D104)</f>
        <v>0</v>
      </c>
    </row>
    <row r="107" spans="1:4">
      <c r="A107" s="163" t="s">
        <v>113</v>
      </c>
      <c r="B107" s="163"/>
      <c r="C107" s="163"/>
      <c r="D107" s="163"/>
    </row>
    <row r="108" spans="1:4">
      <c r="A108" s="29" t="s">
        <v>97</v>
      </c>
      <c r="B108" s="740" t="s">
        <v>98</v>
      </c>
      <c r="C108" s="741"/>
      <c r="D108" s="40">
        <f>+D94</f>
        <v>0</v>
      </c>
    </row>
    <row r="109" spans="1:4">
      <c r="A109" s="29" t="s">
        <v>105</v>
      </c>
      <c r="B109" s="740" t="s">
        <v>106</v>
      </c>
      <c r="C109" s="741"/>
      <c r="D109" s="40">
        <f>+D101</f>
        <v>0</v>
      </c>
    </row>
    <row r="110" spans="1:4">
      <c r="A110" s="74"/>
      <c r="B110" s="752" t="s">
        <v>114</v>
      </c>
      <c r="C110" s="753"/>
      <c r="D110" s="75">
        <f>+D109+D108</f>
        <v>0</v>
      </c>
    </row>
    <row r="111" spans="1:4">
      <c r="A111" s="29" t="s">
        <v>110</v>
      </c>
      <c r="B111" s="740" t="s">
        <v>111</v>
      </c>
      <c r="C111" s="741"/>
      <c r="D111" s="40">
        <f>+D105</f>
        <v>0</v>
      </c>
    </row>
    <row r="112" spans="1:4">
      <c r="A112" s="754" t="s">
        <v>21</v>
      </c>
      <c r="B112" s="754"/>
      <c r="C112" s="754"/>
      <c r="D112" s="77">
        <f>+D111+D110</f>
        <v>0</v>
      </c>
    </row>
    <row r="114" spans="1:4">
      <c r="A114" s="732" t="s">
        <v>115</v>
      </c>
      <c r="B114" s="733"/>
      <c r="C114" s="733"/>
      <c r="D114" s="733"/>
    </row>
    <row r="116" spans="1:4">
      <c r="A116" s="63">
        <v>5</v>
      </c>
      <c r="B116" s="721" t="s">
        <v>116</v>
      </c>
      <c r="C116" s="723"/>
      <c r="D116" s="13" t="s">
        <v>32</v>
      </c>
    </row>
    <row r="117" spans="1:4">
      <c r="A117" s="29" t="s">
        <v>4</v>
      </c>
      <c r="B117" s="734" t="s">
        <v>117</v>
      </c>
      <c r="C117" s="734"/>
      <c r="D117" s="22">
        <f>+Uniforme!F17</f>
        <v>0</v>
      </c>
    </row>
    <row r="118" spans="1:4">
      <c r="A118" s="29" t="s">
        <v>76</v>
      </c>
      <c r="B118" s="49" t="s">
        <v>77</v>
      </c>
      <c r="C118" s="30">
        <f>+$C$136+$C$137</f>
        <v>9.2499999999999999E-2</v>
      </c>
      <c r="D118" s="50">
        <f>+(C118*D117)*-1</f>
        <v>0</v>
      </c>
    </row>
    <row r="119" spans="1:4">
      <c r="A119" s="29" t="s">
        <v>6</v>
      </c>
      <c r="B119" s="734" t="s">
        <v>118</v>
      </c>
      <c r="C119" s="734"/>
      <c r="D119" s="22"/>
    </row>
    <row r="120" spans="1:4">
      <c r="A120" s="29" t="s">
        <v>57</v>
      </c>
      <c r="B120" s="49" t="s">
        <v>77</v>
      </c>
      <c r="C120" s="30">
        <f>+$C$136+$C$137</f>
        <v>9.2499999999999999E-2</v>
      </c>
      <c r="D120" s="50">
        <f>+(C120*D119)*-1</f>
        <v>0</v>
      </c>
    </row>
    <row r="121" spans="1:4">
      <c r="A121" s="29" t="s">
        <v>9</v>
      </c>
      <c r="B121" s="734" t="s">
        <v>119</v>
      </c>
      <c r="C121" s="734"/>
      <c r="D121" s="22"/>
    </row>
    <row r="122" spans="1:4">
      <c r="A122" s="29" t="s">
        <v>80</v>
      </c>
      <c r="B122" s="49" t="s">
        <v>77</v>
      </c>
      <c r="C122" s="30">
        <f>+$C$136+$C$137</f>
        <v>9.2499999999999999E-2</v>
      </c>
      <c r="D122" s="50">
        <f>+(C122*D121)*-1</f>
        <v>0</v>
      </c>
    </row>
    <row r="123" spans="1:4">
      <c r="A123" s="29" t="s">
        <v>11</v>
      </c>
      <c r="B123" s="734" t="s">
        <v>50</v>
      </c>
      <c r="C123" s="734"/>
      <c r="D123" s="22"/>
    </row>
    <row r="124" spans="1:4">
      <c r="A124" s="29" t="s">
        <v>81</v>
      </c>
      <c r="B124" s="49" t="s">
        <v>77</v>
      </c>
      <c r="C124" s="30">
        <f>+$C$136+$C$137</f>
        <v>9.2499999999999999E-2</v>
      </c>
      <c r="D124" s="50">
        <f>+(C124*D123)*-1</f>
        <v>0</v>
      </c>
    </row>
    <row r="125" spans="1:4">
      <c r="A125" s="736" t="s">
        <v>21</v>
      </c>
      <c r="B125" s="736"/>
      <c r="C125" s="736"/>
      <c r="D125" s="24">
        <f>SUM(D117:D123)</f>
        <v>0</v>
      </c>
    </row>
    <row r="127" spans="1:4">
      <c r="A127" s="732" t="s">
        <v>120</v>
      </c>
      <c r="B127" s="733"/>
      <c r="C127" s="733"/>
      <c r="D127" s="733"/>
    </row>
    <row r="129" spans="1:7">
      <c r="A129" s="63">
        <v>6</v>
      </c>
      <c r="B129" s="26" t="s">
        <v>121</v>
      </c>
      <c r="C129" s="159" t="s">
        <v>31</v>
      </c>
      <c r="D129" s="13" t="s">
        <v>32</v>
      </c>
    </row>
    <row r="130" spans="1:7">
      <c r="A130" s="322" t="s">
        <v>4</v>
      </c>
      <c r="B130" s="322" t="s">
        <v>122</v>
      </c>
      <c r="C130" s="323">
        <v>0.03</v>
      </c>
      <c r="D130" s="324">
        <f>($D$125+$D$112+$D$80+$D$69+$D$24)*C130</f>
        <v>0</v>
      </c>
    </row>
    <row r="131" spans="1:7">
      <c r="A131" s="322" t="s">
        <v>6</v>
      </c>
      <c r="B131" s="322" t="s">
        <v>123</v>
      </c>
      <c r="C131" s="323">
        <v>0.03</v>
      </c>
      <c r="D131" s="324">
        <f>($D$125+$D$112+$D$80+$D$69+$D$24+D130)*C131</f>
        <v>0</v>
      </c>
    </row>
    <row r="132" spans="1:7" s="80" customFormat="1">
      <c r="A132" s="756" t="s">
        <v>124</v>
      </c>
      <c r="B132" s="757"/>
      <c r="C132" s="758"/>
      <c r="D132" s="79">
        <f>++D131+D130+D125+D112+D80+D69+D24</f>
        <v>0</v>
      </c>
    </row>
    <row r="133" spans="1:7" s="80" customFormat="1">
      <c r="A133" s="759" t="s">
        <v>125</v>
      </c>
      <c r="B133" s="760"/>
      <c r="C133" s="761"/>
      <c r="D133" s="79">
        <f>ROUND(D132/(1-(C136+C137+C139+C141+C142)),2)</f>
        <v>0</v>
      </c>
    </row>
    <row r="134" spans="1:7">
      <c r="A134" s="29" t="s">
        <v>9</v>
      </c>
      <c r="B134" s="29" t="s">
        <v>126</v>
      </c>
      <c r="C134" s="39"/>
      <c r="D134" s="29"/>
    </row>
    <row r="135" spans="1:7">
      <c r="A135" s="29" t="s">
        <v>80</v>
      </c>
      <c r="B135" s="29" t="s">
        <v>127</v>
      </c>
      <c r="C135" s="39"/>
      <c r="D135" s="29"/>
    </row>
    <row r="136" spans="1:7">
      <c r="A136" s="322" t="s">
        <v>128</v>
      </c>
      <c r="B136" s="322" t="s">
        <v>129</v>
      </c>
      <c r="C136" s="323">
        <v>1.6500000000000001E-2</v>
      </c>
      <c r="D136" s="324">
        <f>ROUND(C136*$D$133,2)</f>
        <v>0</v>
      </c>
      <c r="G136" s="81"/>
    </row>
    <row r="137" spans="1:7">
      <c r="A137" s="322" t="s">
        <v>130</v>
      </c>
      <c r="B137" s="322" t="s">
        <v>131</v>
      </c>
      <c r="C137" s="323">
        <v>7.5999999999999998E-2</v>
      </c>
      <c r="D137" s="324">
        <f>ROUND(C137*$D$133,2)</f>
        <v>0</v>
      </c>
      <c r="G137" s="81"/>
    </row>
    <row r="138" spans="1:7">
      <c r="A138" s="29" t="s">
        <v>132</v>
      </c>
      <c r="B138" s="29" t="s">
        <v>133</v>
      </c>
      <c r="C138" s="39"/>
      <c r="D138" s="40"/>
      <c r="G138" s="81"/>
    </row>
    <row r="139" spans="1:7">
      <c r="A139" s="29" t="s">
        <v>134</v>
      </c>
      <c r="B139" s="29" t="s">
        <v>135</v>
      </c>
      <c r="C139" s="39"/>
      <c r="D139" s="29"/>
      <c r="G139" s="81"/>
    </row>
    <row r="140" spans="1:7">
      <c r="A140" s="29" t="s">
        <v>136</v>
      </c>
      <c r="B140" s="29" t="s">
        <v>137</v>
      </c>
      <c r="C140" s="39"/>
      <c r="D140" s="29"/>
    </row>
    <row r="141" spans="1:7">
      <c r="A141" s="322" t="s">
        <v>138</v>
      </c>
      <c r="B141" s="322" t="s">
        <v>139</v>
      </c>
      <c r="C141" s="323">
        <v>0.05</v>
      </c>
      <c r="D141" s="324">
        <f>ROUND(C141*$D$133,2)</f>
        <v>0</v>
      </c>
    </row>
    <row r="142" spans="1:7">
      <c r="A142" s="29" t="s">
        <v>140</v>
      </c>
      <c r="B142" s="29" t="s">
        <v>141</v>
      </c>
      <c r="C142" s="39"/>
      <c r="D142" s="29"/>
    </row>
    <row r="143" spans="1:7">
      <c r="A143" s="721" t="s">
        <v>21</v>
      </c>
      <c r="B143" s="722"/>
      <c r="C143" s="82">
        <f>+C142+C141+C139+C137+C136+C131+C130</f>
        <v>0.20250000000000001</v>
      </c>
      <c r="D143" s="24">
        <f>+D141+D139+D137+D136+D131+D130</f>
        <v>0</v>
      </c>
    </row>
    <row r="145" spans="1:5">
      <c r="A145" s="762" t="s">
        <v>142</v>
      </c>
      <c r="B145" s="762"/>
      <c r="C145" s="762"/>
      <c r="D145" s="762"/>
    </row>
    <row r="146" spans="1:5">
      <c r="A146" s="29" t="s">
        <v>4</v>
      </c>
      <c r="B146" s="755" t="s">
        <v>143</v>
      </c>
      <c r="C146" s="755"/>
      <c r="D146" s="22">
        <f>+D24</f>
        <v>0</v>
      </c>
    </row>
    <row r="147" spans="1:5">
      <c r="A147" s="29" t="s">
        <v>144</v>
      </c>
      <c r="B147" s="755" t="s">
        <v>145</v>
      </c>
      <c r="C147" s="755"/>
      <c r="D147" s="22">
        <f>+D69</f>
        <v>0</v>
      </c>
    </row>
    <row r="148" spans="1:5">
      <c r="A148" s="29" t="s">
        <v>9</v>
      </c>
      <c r="B148" s="755" t="s">
        <v>146</v>
      </c>
      <c r="C148" s="755"/>
      <c r="D148" s="22">
        <f>+D80</f>
        <v>0</v>
      </c>
    </row>
    <row r="149" spans="1:5">
      <c r="A149" s="29" t="s">
        <v>11</v>
      </c>
      <c r="B149" s="755" t="s">
        <v>147</v>
      </c>
      <c r="C149" s="755"/>
      <c r="D149" s="22">
        <f>+D112</f>
        <v>0</v>
      </c>
    </row>
    <row r="150" spans="1:5">
      <c r="A150" s="29" t="s">
        <v>37</v>
      </c>
      <c r="B150" s="755" t="s">
        <v>148</v>
      </c>
      <c r="C150" s="755"/>
      <c r="D150" s="22">
        <f>+D125</f>
        <v>0</v>
      </c>
    </row>
    <row r="151" spans="1:5">
      <c r="B151" s="763" t="s">
        <v>149</v>
      </c>
      <c r="C151" s="763"/>
      <c r="D151" s="83">
        <f>SUM(D146:D150)</f>
        <v>0</v>
      </c>
    </row>
    <row r="152" spans="1:5">
      <c r="A152" s="29" t="s">
        <v>39</v>
      </c>
      <c r="B152" s="755" t="s">
        <v>150</v>
      </c>
      <c r="C152" s="755"/>
      <c r="D152" s="22">
        <f>+D143</f>
        <v>0</v>
      </c>
    </row>
    <row r="154" spans="1:5">
      <c r="A154" s="764" t="s">
        <v>151</v>
      </c>
      <c r="B154" s="764"/>
      <c r="C154" s="764"/>
      <c r="D154" s="84">
        <f>ROUND(+D152+D151,2)</f>
        <v>0</v>
      </c>
    </row>
    <row r="156" spans="1:5">
      <c r="B156" s="86"/>
      <c r="C156" s="86"/>
      <c r="D156" s="86"/>
    </row>
    <row r="157" spans="1:5" s="135" customFormat="1">
      <c r="A157" s="800"/>
      <c r="B157" s="800"/>
      <c r="C157" s="800"/>
      <c r="D157" s="800"/>
      <c r="E157" s="134"/>
    </row>
    <row r="158" spans="1:5">
      <c r="A158" s="87"/>
      <c r="B158" s="87"/>
      <c r="C158" s="87"/>
      <c r="D158" s="87"/>
      <c r="E158" s="87"/>
    </row>
    <row r="159" spans="1:5">
      <c r="A159" s="787"/>
      <c r="B159" s="787"/>
      <c r="C159" s="787"/>
      <c r="D159" s="787"/>
      <c r="E159" s="87"/>
    </row>
    <row r="160" spans="1:5">
      <c r="A160" s="87"/>
      <c r="B160" s="87"/>
      <c r="C160" s="87"/>
      <c r="D160" s="87"/>
      <c r="E160" s="87"/>
    </row>
    <row r="161" spans="1:5">
      <c r="A161" s="799"/>
      <c r="B161" s="799"/>
      <c r="C161" s="799"/>
      <c r="D161" s="799"/>
      <c r="E161" s="87"/>
    </row>
    <row r="162" spans="1:5">
      <c r="A162" s="87"/>
      <c r="B162" s="87"/>
      <c r="C162" s="87"/>
      <c r="D162" s="87"/>
      <c r="E162" s="87"/>
    </row>
    <row r="163" spans="1:5">
      <c r="A163" s="87"/>
      <c r="B163" s="87"/>
      <c r="C163" s="87"/>
      <c r="D163" s="87"/>
      <c r="E163" s="87"/>
    </row>
    <row r="164" spans="1:5">
      <c r="A164" s="87"/>
      <c r="B164" s="87"/>
      <c r="C164" s="87"/>
      <c r="D164" s="87"/>
      <c r="E164" s="87"/>
    </row>
    <row r="165" spans="1:5">
      <c r="A165" s="87"/>
      <c r="B165" s="87"/>
      <c r="C165" s="87"/>
      <c r="D165" s="87"/>
      <c r="E165" s="87"/>
    </row>
    <row r="166" spans="1:5">
      <c r="A166" s="87"/>
      <c r="B166" s="87"/>
      <c r="C166" s="87"/>
      <c r="D166" s="87"/>
      <c r="E166" s="87"/>
    </row>
    <row r="167" spans="1:5">
      <c r="A167" s="87"/>
      <c r="B167" s="87"/>
      <c r="C167" s="87"/>
      <c r="D167" s="87"/>
      <c r="E167" s="87"/>
    </row>
    <row r="168" spans="1:5">
      <c r="A168" s="87"/>
      <c r="B168" s="87"/>
      <c r="C168" s="87"/>
      <c r="D168" s="87"/>
      <c r="E168" s="87"/>
    </row>
    <row r="169" spans="1:5">
      <c r="A169" s="87"/>
      <c r="B169" s="87"/>
      <c r="C169" s="87"/>
      <c r="D169" s="87"/>
      <c r="E169" s="87"/>
    </row>
    <row r="170" spans="1:5">
      <c r="A170" s="87"/>
      <c r="B170" s="87"/>
      <c r="C170" s="87"/>
      <c r="D170" s="87"/>
      <c r="E170" s="87"/>
    </row>
    <row r="171" spans="1:5">
      <c r="A171" s="87"/>
      <c r="B171" s="87"/>
      <c r="C171" s="87"/>
      <c r="D171" s="87"/>
      <c r="E171" s="87"/>
    </row>
    <row r="172" spans="1:5">
      <c r="A172" s="87"/>
      <c r="B172" s="87"/>
      <c r="C172" s="87"/>
      <c r="D172" s="87"/>
      <c r="E172" s="87"/>
    </row>
    <row r="173" spans="1:5">
      <c r="A173" s="87"/>
      <c r="B173" s="87"/>
      <c r="C173" s="87"/>
      <c r="D173" s="87"/>
      <c r="E173" s="87"/>
    </row>
    <row r="174" spans="1:5">
      <c r="A174" s="87"/>
      <c r="B174" s="87"/>
      <c r="C174" s="87"/>
      <c r="D174" s="87"/>
      <c r="E174" s="87"/>
    </row>
  </sheetData>
  <mergeCells count="82">
    <mergeCell ref="C7:D7"/>
    <mergeCell ref="A1:D1"/>
    <mergeCell ref="A3:D3"/>
    <mergeCell ref="C4:D4"/>
    <mergeCell ref="C5:D5"/>
    <mergeCell ref="C6:D6"/>
    <mergeCell ref="A24:C24"/>
    <mergeCell ref="C8:D8"/>
    <mergeCell ref="C9:D9"/>
    <mergeCell ref="A11:D11"/>
    <mergeCell ref="B13:C13"/>
    <mergeCell ref="B16:C16"/>
    <mergeCell ref="B17:C17"/>
    <mergeCell ref="B18:C18"/>
    <mergeCell ref="B19:C19"/>
    <mergeCell ref="B20:C20"/>
    <mergeCell ref="B22:C22"/>
    <mergeCell ref="B23:C23"/>
    <mergeCell ref="B68:C68"/>
    <mergeCell ref="A26:D26"/>
    <mergeCell ref="A28:D28"/>
    <mergeCell ref="A34:C34"/>
    <mergeCell ref="A36:D36"/>
    <mergeCell ref="A48:D48"/>
    <mergeCell ref="B60:C60"/>
    <mergeCell ref="A62:B62"/>
    <mergeCell ref="A64:D64"/>
    <mergeCell ref="B65:C65"/>
    <mergeCell ref="B66:C66"/>
    <mergeCell ref="B67:C67"/>
    <mergeCell ref="B91:C91"/>
    <mergeCell ref="A69:C69"/>
    <mergeCell ref="A71:D71"/>
    <mergeCell ref="A80:C80"/>
    <mergeCell ref="A82:D82"/>
    <mergeCell ref="A84:D84"/>
    <mergeCell ref="B85:C85"/>
    <mergeCell ref="B86:C86"/>
    <mergeCell ref="B87:C87"/>
    <mergeCell ref="B88:C88"/>
    <mergeCell ref="B89:C89"/>
    <mergeCell ref="B90:C90"/>
    <mergeCell ref="A105:C105"/>
    <mergeCell ref="B92:C92"/>
    <mergeCell ref="B93:C93"/>
    <mergeCell ref="A94:C94"/>
    <mergeCell ref="B96:C96"/>
    <mergeCell ref="B97:C97"/>
    <mergeCell ref="B98:C98"/>
    <mergeCell ref="B99:C99"/>
    <mergeCell ref="B100:C100"/>
    <mergeCell ref="A101:C101"/>
    <mergeCell ref="B103:C103"/>
    <mergeCell ref="B104:C104"/>
    <mergeCell ref="B151:C151"/>
    <mergeCell ref="A125:C125"/>
    <mergeCell ref="B108:C108"/>
    <mergeCell ref="B109:C109"/>
    <mergeCell ref="B110:C110"/>
    <mergeCell ref="B111:C111"/>
    <mergeCell ref="A112:C112"/>
    <mergeCell ref="A114:D114"/>
    <mergeCell ref="B116:C116"/>
    <mergeCell ref="B117:C117"/>
    <mergeCell ref="B119:C119"/>
    <mergeCell ref="B121:C121"/>
    <mergeCell ref="B123:C123"/>
    <mergeCell ref="B146:C146"/>
    <mergeCell ref="B147:C147"/>
    <mergeCell ref="B148:C148"/>
    <mergeCell ref="B149:C149"/>
    <mergeCell ref="B150:C150"/>
    <mergeCell ref="A127:D127"/>
    <mergeCell ref="A132:C132"/>
    <mergeCell ref="A133:C133"/>
    <mergeCell ref="A143:B143"/>
    <mergeCell ref="A145:D145"/>
    <mergeCell ref="A161:D161"/>
    <mergeCell ref="A154:C154"/>
    <mergeCell ref="A157:D157"/>
    <mergeCell ref="A159:D159"/>
    <mergeCell ref="B152:C152"/>
  </mergeCells>
  <pageMargins left="1.47" right="0.16" top="0.37" bottom="0.78740157480314965" header="0.31496062992125984" footer="0.31496062992125984"/>
  <pageSetup paperSize="9" scale="85" orientation="portrait" r:id="rId1"/>
  <headerFooter>
    <oddFoote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C130"/>
  <sheetViews>
    <sheetView workbookViewId="0">
      <selection activeCell="B11" sqref="B11"/>
    </sheetView>
  </sheetViews>
  <sheetFormatPr defaultRowHeight="13.2"/>
  <cols>
    <col min="1" max="1" width="64.453125" customWidth="1"/>
    <col min="2" max="2" width="12.26953125" bestFit="1" customWidth="1"/>
    <col min="3" max="3" width="12" bestFit="1" customWidth="1"/>
    <col min="4" max="4" width="9.36328125" bestFit="1" customWidth="1"/>
    <col min="5" max="5" width="69.08984375" customWidth="1"/>
  </cols>
  <sheetData>
    <row r="1" spans="1:3" ht="16.8">
      <c r="A1" s="809" t="s">
        <v>258</v>
      </c>
      <c r="B1" s="809"/>
      <c r="C1" s="809"/>
    </row>
    <row r="3" spans="1:3">
      <c r="A3" s="29" t="s">
        <v>152</v>
      </c>
      <c r="B3" s="29">
        <v>220</v>
      </c>
    </row>
    <row r="4" spans="1:3">
      <c r="A4" s="29" t="s">
        <v>153</v>
      </c>
      <c r="B4" s="29">
        <v>365.25</v>
      </c>
    </row>
    <row r="5" spans="1:3">
      <c r="A5" s="29" t="s">
        <v>154</v>
      </c>
      <c r="B5" s="88">
        <f>(365.25/12)/(7/5)</f>
        <v>21.741071428571431</v>
      </c>
    </row>
    <row r="6" spans="1:3">
      <c r="A6" s="49" t="s">
        <v>33</v>
      </c>
      <c r="B6" s="40">
        <f>+'Encarregado 44h Seg Sex'!D13</f>
        <v>0</v>
      </c>
    </row>
    <row r="7" spans="1:3">
      <c r="A7" s="49" t="s">
        <v>155</v>
      </c>
      <c r="B7" s="40">
        <f>+'Encarregado 44h Seg Sex'!D24</f>
        <v>0</v>
      </c>
    </row>
    <row r="10" spans="1:3">
      <c r="A10" s="765" t="s">
        <v>156</v>
      </c>
      <c r="B10" s="766"/>
      <c r="C10" s="767"/>
    </row>
    <row r="11" spans="1:3">
      <c r="A11" s="29" t="s">
        <v>157</v>
      </c>
      <c r="B11" s="29">
        <f>+$B$4</f>
        <v>365.25</v>
      </c>
      <c r="C11" s="65"/>
    </row>
    <row r="12" spans="1:3">
      <c r="A12" s="29" t="s">
        <v>158</v>
      </c>
      <c r="B12" s="49">
        <v>12</v>
      </c>
      <c r="C12" s="65"/>
    </row>
    <row r="13" spans="1:3">
      <c r="A13" s="29" t="s">
        <v>159</v>
      </c>
      <c r="B13" s="39">
        <v>1</v>
      </c>
      <c r="C13" s="65"/>
    </row>
    <row r="14" spans="1:3">
      <c r="A14" s="49" t="s">
        <v>160</v>
      </c>
      <c r="B14" s="88">
        <f>+B5</f>
        <v>21.741071428571431</v>
      </c>
      <c r="C14" s="65"/>
    </row>
    <row r="15" spans="1:3">
      <c r="A15" s="90" t="s">
        <v>161</v>
      </c>
      <c r="B15" s="91"/>
      <c r="C15" s="65"/>
    </row>
    <row r="16" spans="1:3">
      <c r="A16" s="29" t="s">
        <v>162</v>
      </c>
      <c r="B16" s="39">
        <v>0.06</v>
      </c>
      <c r="C16" s="65"/>
    </row>
    <row r="17" spans="1:3">
      <c r="A17" s="769" t="s">
        <v>163</v>
      </c>
      <c r="B17" s="770"/>
      <c r="C17" s="85">
        <f>ROUND((B14*(B15*2)-($B$6*B16)),2)</f>
        <v>0</v>
      </c>
    </row>
    <row r="19" spans="1:3">
      <c r="A19" s="765" t="s">
        <v>164</v>
      </c>
      <c r="B19" s="766"/>
      <c r="C19" s="767"/>
    </row>
    <row r="20" spans="1:3">
      <c r="A20" s="29" t="s">
        <v>157</v>
      </c>
      <c r="B20" s="29">
        <f>+$B$4</f>
        <v>365.25</v>
      </c>
      <c r="C20" s="65"/>
    </row>
    <row r="21" spans="1:3">
      <c r="A21" s="29" t="s">
        <v>158</v>
      </c>
      <c r="B21" s="49">
        <v>12</v>
      </c>
      <c r="C21" s="65"/>
    </row>
    <row r="22" spans="1:3">
      <c r="A22" s="29" t="s">
        <v>159</v>
      </c>
      <c r="B22" s="39">
        <v>1</v>
      </c>
      <c r="C22" s="65"/>
    </row>
    <row r="23" spans="1:3">
      <c r="A23" s="49" t="s">
        <v>160</v>
      </c>
      <c r="B23" s="88">
        <f>+B5</f>
        <v>21.741071428571431</v>
      </c>
      <c r="C23" s="65"/>
    </row>
    <row r="24" spans="1:3">
      <c r="A24" s="90" t="s">
        <v>165</v>
      </c>
      <c r="B24" s="91"/>
      <c r="C24" s="65"/>
    </row>
    <row r="25" spans="1:3">
      <c r="A25" s="29" t="s">
        <v>166</v>
      </c>
      <c r="B25" s="39">
        <v>0.1</v>
      </c>
      <c r="C25" s="65"/>
    </row>
    <row r="26" spans="1:3">
      <c r="A26" s="769" t="s">
        <v>165</v>
      </c>
      <c r="B26" s="770"/>
      <c r="C26" s="85">
        <f>ROUND((B23*(B24)-((B23*B24)*B25)),2)</f>
        <v>0</v>
      </c>
    </row>
    <row r="28" spans="1:3">
      <c r="A28" s="765" t="s">
        <v>167</v>
      </c>
      <c r="B28" s="766"/>
      <c r="C28" s="767"/>
    </row>
    <row r="29" spans="1:3">
      <c r="A29" s="29" t="s">
        <v>168</v>
      </c>
      <c r="B29" s="40">
        <f>+B7</f>
        <v>0</v>
      </c>
      <c r="C29" s="65"/>
    </row>
    <row r="30" spans="1:3">
      <c r="A30" s="29" t="s">
        <v>169</v>
      </c>
      <c r="B30" s="29">
        <v>12</v>
      </c>
      <c r="C30" s="65"/>
    </row>
    <row r="31" spans="1:3">
      <c r="A31" s="92" t="s">
        <v>170</v>
      </c>
      <c r="B31" s="93"/>
      <c r="C31" s="65"/>
    </row>
    <row r="32" spans="1:3">
      <c r="A32" s="769" t="s">
        <v>171</v>
      </c>
      <c r="B32" s="770"/>
      <c r="C32" s="85">
        <f>ROUND(+(B29/B30)*B31,2)</f>
        <v>0</v>
      </c>
    </row>
    <row r="34" spans="1:3">
      <c r="A34" s="771" t="s">
        <v>172</v>
      </c>
      <c r="B34" s="772"/>
      <c r="C34" s="773"/>
    </row>
    <row r="35" spans="1:3" s="51" customFormat="1">
      <c r="A35" s="94" t="s">
        <v>173</v>
      </c>
      <c r="B35" s="93">
        <f>+B31</f>
        <v>0</v>
      </c>
      <c r="C35" s="65"/>
    </row>
    <row r="36" spans="1:3">
      <c r="A36" s="29" t="s">
        <v>174</v>
      </c>
      <c r="B36" s="40">
        <f>+'Encarregado 44h Seg Sex'!$D$24</f>
        <v>0</v>
      </c>
      <c r="C36" s="65"/>
    </row>
    <row r="37" spans="1:3">
      <c r="A37" s="29" t="s">
        <v>55</v>
      </c>
      <c r="B37" s="40">
        <f>+'Encarregado 44h Seg Sex'!$D$30</f>
        <v>0</v>
      </c>
      <c r="C37" s="65"/>
    </row>
    <row r="38" spans="1:3">
      <c r="A38" s="95" t="s">
        <v>58</v>
      </c>
      <c r="B38" s="40">
        <f>+'Encarregado 44h Seg Sex'!$D$32</f>
        <v>0</v>
      </c>
      <c r="C38" s="65"/>
    </row>
    <row r="39" spans="1:3">
      <c r="A39" s="95" t="s">
        <v>60</v>
      </c>
      <c r="B39" s="40">
        <f>+'Encarregado 44h Seg Sex'!$D$33</f>
        <v>0</v>
      </c>
      <c r="C39" s="65"/>
    </row>
    <row r="40" spans="1:3">
      <c r="A40" s="96" t="s">
        <v>175</v>
      </c>
      <c r="B40" s="97">
        <f>SUM(B36:B39)</f>
        <v>0</v>
      </c>
      <c r="C40" s="65"/>
    </row>
    <row r="41" spans="1:3">
      <c r="A41" s="60" t="s">
        <v>176</v>
      </c>
      <c r="B41" s="39">
        <v>0.4</v>
      </c>
      <c r="C41" s="65"/>
    </row>
    <row r="42" spans="1:3">
      <c r="A42" s="60" t="s">
        <v>177</v>
      </c>
      <c r="B42" s="39">
        <f>+'Encarregado 44h Seg Sex'!$C$45</f>
        <v>0.08</v>
      </c>
      <c r="C42" s="65"/>
    </row>
    <row r="43" spans="1:3">
      <c r="A43" s="752" t="s">
        <v>178</v>
      </c>
      <c r="B43" s="753"/>
      <c r="C43" s="75">
        <f>ROUND(+B40*B41*B42*B35,2)</f>
        <v>0</v>
      </c>
    </row>
    <row r="44" spans="1:3">
      <c r="A44" s="60" t="s">
        <v>179</v>
      </c>
      <c r="B44" s="39"/>
      <c r="C44" s="65"/>
    </row>
    <row r="45" spans="1:3">
      <c r="A45" s="752" t="s">
        <v>180</v>
      </c>
      <c r="B45" s="753"/>
      <c r="C45" s="98">
        <f>ROUND(B44*B42*B40*B35,2)</f>
        <v>0</v>
      </c>
    </row>
    <row r="46" spans="1:3">
      <c r="A46" s="769" t="s">
        <v>181</v>
      </c>
      <c r="B46" s="770"/>
      <c r="C46" s="77">
        <f>+C45+C43</f>
        <v>0</v>
      </c>
    </row>
    <row r="48" spans="1:3">
      <c r="A48" s="765" t="s">
        <v>182</v>
      </c>
      <c r="B48" s="766"/>
      <c r="C48" s="767"/>
    </row>
    <row r="49" spans="1:3">
      <c r="A49" s="29" t="s">
        <v>168</v>
      </c>
      <c r="B49" s="40">
        <f>+B7</f>
        <v>0</v>
      </c>
      <c r="C49" s="65"/>
    </row>
    <row r="50" spans="1:3">
      <c r="A50" s="29" t="s">
        <v>183</v>
      </c>
      <c r="B50" s="99">
        <v>30</v>
      </c>
      <c r="C50" s="65"/>
    </row>
    <row r="51" spans="1:3">
      <c r="A51" s="29" t="s">
        <v>169</v>
      </c>
      <c r="B51" s="29">
        <v>12</v>
      </c>
      <c r="C51" s="65"/>
    </row>
    <row r="52" spans="1:3">
      <c r="A52" s="29" t="s">
        <v>184</v>
      </c>
      <c r="B52" s="29">
        <v>7</v>
      </c>
      <c r="C52" s="65"/>
    </row>
    <row r="53" spans="1:3">
      <c r="A53" s="92" t="s">
        <v>185</v>
      </c>
      <c r="B53" s="93"/>
      <c r="C53" s="65"/>
    </row>
    <row r="54" spans="1:3">
      <c r="A54" s="769" t="s">
        <v>186</v>
      </c>
      <c r="B54" s="770"/>
      <c r="C54" s="85">
        <f>+ROUND(((B49/B50/B51)*B52)*B53,2)</f>
        <v>0</v>
      </c>
    </row>
    <row r="56" spans="1:3">
      <c r="A56" s="771" t="s">
        <v>187</v>
      </c>
      <c r="B56" s="772"/>
      <c r="C56" s="773"/>
    </row>
    <row r="57" spans="1:3">
      <c r="A57" s="100" t="s">
        <v>188</v>
      </c>
      <c r="B57" s="93">
        <f>+B53</f>
        <v>0</v>
      </c>
      <c r="C57" s="65"/>
    </row>
    <row r="58" spans="1:3">
      <c r="A58" s="29" t="s">
        <v>174</v>
      </c>
      <c r="B58" s="40">
        <f>+'Encarregado 44h Seg Sex'!$D$24</f>
        <v>0</v>
      </c>
      <c r="C58" s="65"/>
    </row>
    <row r="59" spans="1:3">
      <c r="A59" s="29" t="s">
        <v>55</v>
      </c>
      <c r="B59" s="40">
        <f>+'Encarregado 44h Seg Sex'!$D$30</f>
        <v>0</v>
      </c>
      <c r="C59" s="65"/>
    </row>
    <row r="60" spans="1:3">
      <c r="A60" s="95" t="s">
        <v>58</v>
      </c>
      <c r="B60" s="40">
        <f>+'Encarregado 44h Seg Sex'!$D$32</f>
        <v>0</v>
      </c>
      <c r="C60" s="65"/>
    </row>
    <row r="61" spans="1:3">
      <c r="A61" s="95" t="s">
        <v>60</v>
      </c>
      <c r="B61" s="40">
        <f>+'Encarregado 44h Seg Sex'!$D$33</f>
        <v>0</v>
      </c>
      <c r="C61" s="65"/>
    </row>
    <row r="62" spans="1:3">
      <c r="A62" s="96" t="s">
        <v>175</v>
      </c>
      <c r="B62" s="97">
        <f>SUM(B58:B61)</f>
        <v>0</v>
      </c>
      <c r="C62" s="65"/>
    </row>
    <row r="63" spans="1:3">
      <c r="A63" s="60" t="s">
        <v>176</v>
      </c>
      <c r="B63" s="39">
        <v>0.4</v>
      </c>
      <c r="C63" s="65"/>
    </row>
    <row r="64" spans="1:3">
      <c r="A64" s="60" t="s">
        <v>177</v>
      </c>
      <c r="B64" s="39">
        <f>+'Encarregado 44h Seg Sex'!$C$45</f>
        <v>0.08</v>
      </c>
      <c r="C64" s="65"/>
    </row>
    <row r="65" spans="1:3">
      <c r="A65" s="752" t="s">
        <v>178</v>
      </c>
      <c r="B65" s="753"/>
      <c r="C65" s="75">
        <f>ROUND(+B62*B63*B64*B57,2)</f>
        <v>0</v>
      </c>
    </row>
    <row r="66" spans="1:3">
      <c r="A66" s="60" t="s">
        <v>179</v>
      </c>
      <c r="B66" s="39"/>
      <c r="C66" s="65"/>
    </row>
    <row r="67" spans="1:3">
      <c r="A67" s="752" t="s">
        <v>180</v>
      </c>
      <c r="B67" s="753"/>
      <c r="C67" s="98">
        <f>ROUND(B66*B64*B62*B57,2)</f>
        <v>0</v>
      </c>
    </row>
    <row r="68" spans="1:3">
      <c r="A68" s="769" t="s">
        <v>189</v>
      </c>
      <c r="B68" s="770"/>
      <c r="C68" s="77">
        <f>+C67+C65</f>
        <v>0</v>
      </c>
    </row>
    <row r="70" spans="1:3">
      <c r="A70" s="771" t="s">
        <v>190</v>
      </c>
      <c r="B70" s="772"/>
      <c r="C70" s="773"/>
    </row>
    <row r="71" spans="1:3">
      <c r="A71" s="774" t="s">
        <v>191</v>
      </c>
      <c r="B71" s="775"/>
      <c r="C71" s="776"/>
    </row>
    <row r="72" spans="1:3">
      <c r="A72" s="777"/>
      <c r="B72" s="778"/>
      <c r="C72" s="779"/>
    </row>
    <row r="73" spans="1:3">
      <c r="A73" s="777"/>
      <c r="B73" s="778"/>
      <c r="C73" s="779"/>
    </row>
    <row r="74" spans="1:3">
      <c r="A74" s="780"/>
      <c r="B74" s="781"/>
      <c r="C74" s="782"/>
    </row>
    <row r="75" spans="1:3">
      <c r="A75" s="101"/>
      <c r="B75" s="101"/>
      <c r="C75" s="101"/>
    </row>
    <row r="76" spans="1:3">
      <c r="A76" s="771" t="s">
        <v>192</v>
      </c>
      <c r="B76" s="772"/>
      <c r="C76" s="773"/>
    </row>
    <row r="77" spans="1:3">
      <c r="A77" s="29" t="s">
        <v>193</v>
      </c>
      <c r="B77" s="40">
        <f>+$B$7</f>
        <v>0</v>
      </c>
      <c r="C77" s="65"/>
    </row>
    <row r="78" spans="1:3">
      <c r="A78" s="29" t="s">
        <v>158</v>
      </c>
      <c r="B78" s="29">
        <v>30</v>
      </c>
      <c r="C78" s="65"/>
    </row>
    <row r="79" spans="1:3">
      <c r="A79" s="29" t="s">
        <v>194</v>
      </c>
      <c r="B79" s="29">
        <v>12</v>
      </c>
      <c r="C79" s="65"/>
    </row>
    <row r="80" spans="1:3">
      <c r="A80" s="92" t="s">
        <v>195</v>
      </c>
      <c r="B80" s="92"/>
      <c r="C80" s="65"/>
    </row>
    <row r="81" spans="1:3">
      <c r="A81" s="769" t="s">
        <v>196</v>
      </c>
      <c r="B81" s="770"/>
      <c r="C81" s="58">
        <f>+ROUND((B77/B78/B79)*B80,2)</f>
        <v>0</v>
      </c>
    </row>
    <row r="83" spans="1:3">
      <c r="A83" s="771" t="s">
        <v>197</v>
      </c>
      <c r="B83" s="772"/>
      <c r="C83" s="773"/>
    </row>
    <row r="84" spans="1:3">
      <c r="A84" s="29" t="s">
        <v>193</v>
      </c>
      <c r="B84" s="40">
        <f>+$B$7</f>
        <v>0</v>
      </c>
      <c r="C84" s="65"/>
    </row>
    <row r="85" spans="1:3">
      <c r="A85" s="29" t="s">
        <v>158</v>
      </c>
      <c r="B85" s="29">
        <v>30</v>
      </c>
      <c r="C85" s="65"/>
    </row>
    <row r="86" spans="1:3">
      <c r="A86" s="29" t="s">
        <v>194</v>
      </c>
      <c r="B86" s="29">
        <v>12</v>
      </c>
      <c r="C86" s="65"/>
    </row>
    <row r="87" spans="1:3">
      <c r="A87" s="49" t="s">
        <v>198</v>
      </c>
      <c r="B87" s="29">
        <v>5</v>
      </c>
      <c r="C87" s="65"/>
    </row>
    <row r="88" spans="1:3">
      <c r="A88" s="92" t="s">
        <v>199</v>
      </c>
      <c r="B88" s="93"/>
      <c r="C88" s="65"/>
    </row>
    <row r="89" spans="1:3">
      <c r="A89" s="92" t="s">
        <v>200</v>
      </c>
      <c r="B89" s="93"/>
      <c r="C89" s="65"/>
    </row>
    <row r="90" spans="1:3">
      <c r="A90" s="769" t="s">
        <v>201</v>
      </c>
      <c r="B90" s="770"/>
      <c r="C90" s="85">
        <f>ROUND(+B84/B85/B86*B87*B88*B89,2)</f>
        <v>0</v>
      </c>
    </row>
    <row r="92" spans="1:3">
      <c r="A92" s="771" t="s">
        <v>202</v>
      </c>
      <c r="B92" s="772"/>
      <c r="C92" s="773"/>
    </row>
    <row r="93" spans="1:3">
      <c r="A93" s="29" t="s">
        <v>193</v>
      </c>
      <c r="B93" s="40">
        <f>+$B$7</f>
        <v>0</v>
      </c>
      <c r="C93" s="65"/>
    </row>
    <row r="94" spans="1:3">
      <c r="A94" s="29" t="s">
        <v>158</v>
      </c>
      <c r="B94" s="29">
        <v>30</v>
      </c>
      <c r="C94" s="65"/>
    </row>
    <row r="95" spans="1:3">
      <c r="A95" s="29" t="s">
        <v>194</v>
      </c>
      <c r="B95" s="29">
        <v>12</v>
      </c>
      <c r="C95" s="65"/>
    </row>
    <row r="96" spans="1:3">
      <c r="A96" s="49" t="s">
        <v>203</v>
      </c>
      <c r="B96" s="29">
        <v>15</v>
      </c>
      <c r="C96" s="65"/>
    </row>
    <row r="97" spans="1:3">
      <c r="A97" s="92" t="s">
        <v>204</v>
      </c>
      <c r="B97" s="93"/>
      <c r="C97" s="65"/>
    </row>
    <row r="98" spans="1:3">
      <c r="A98" s="769" t="s">
        <v>205</v>
      </c>
      <c r="B98" s="770"/>
      <c r="C98" s="85">
        <f>ROUND(+B93/B94/B95*B96*B97,2)</f>
        <v>0</v>
      </c>
    </row>
    <row r="100" spans="1:3">
      <c r="A100" s="771" t="s">
        <v>206</v>
      </c>
      <c r="B100" s="772"/>
      <c r="C100" s="773"/>
    </row>
    <row r="101" spans="1:3">
      <c r="A101" s="29" t="s">
        <v>193</v>
      </c>
      <c r="B101" s="40">
        <f>+$B$7</f>
        <v>0</v>
      </c>
      <c r="C101" s="65"/>
    </row>
    <row r="102" spans="1:3">
      <c r="A102" s="29" t="s">
        <v>158</v>
      </c>
      <c r="B102" s="29">
        <v>30</v>
      </c>
      <c r="C102" s="65"/>
    </row>
    <row r="103" spans="1:3">
      <c r="A103" s="29" t="s">
        <v>194</v>
      </c>
      <c r="B103" s="29">
        <v>12</v>
      </c>
      <c r="C103" s="65"/>
    </row>
    <row r="104" spans="1:3">
      <c r="A104" s="49" t="s">
        <v>203</v>
      </c>
      <c r="B104" s="29">
        <v>5</v>
      </c>
      <c r="C104" s="65"/>
    </row>
    <row r="105" spans="1:3">
      <c r="A105" s="92" t="s">
        <v>207</v>
      </c>
      <c r="B105" s="93"/>
      <c r="C105" s="65"/>
    </row>
    <row r="106" spans="1:3">
      <c r="A106" s="769" t="s">
        <v>208</v>
      </c>
      <c r="B106" s="770"/>
      <c r="C106" s="85">
        <f>ROUND(+B101/B102/B103*B104*B105,2)</f>
        <v>0</v>
      </c>
    </row>
    <row r="109" spans="1:3">
      <c r="A109" s="771" t="s">
        <v>209</v>
      </c>
      <c r="B109" s="772"/>
      <c r="C109" s="773"/>
    </row>
    <row r="110" spans="1:3">
      <c r="A110" s="783" t="s">
        <v>210</v>
      </c>
      <c r="B110" s="784"/>
      <c r="C110" s="785"/>
    </row>
    <row r="111" spans="1:3">
      <c r="A111" s="29" t="s">
        <v>193</v>
      </c>
      <c r="B111" s="40">
        <f>+$B$7</f>
        <v>0</v>
      </c>
      <c r="C111" s="65"/>
    </row>
    <row r="112" spans="1:3">
      <c r="A112" s="29" t="s">
        <v>211</v>
      </c>
      <c r="B112" s="40">
        <f>+B111*(1/3)</f>
        <v>0</v>
      </c>
      <c r="C112" s="65"/>
    </row>
    <row r="113" spans="1:3">
      <c r="A113" s="96" t="s">
        <v>175</v>
      </c>
      <c r="B113" s="97">
        <f>SUM(B111:B112)</f>
        <v>0</v>
      </c>
      <c r="C113" s="65"/>
    </row>
    <row r="114" spans="1:3">
      <c r="A114" s="29" t="s">
        <v>212</v>
      </c>
      <c r="B114" s="29">
        <v>4</v>
      </c>
      <c r="C114" s="65"/>
    </row>
    <row r="115" spans="1:3">
      <c r="A115" s="29" t="s">
        <v>194</v>
      </c>
      <c r="B115" s="29">
        <v>12</v>
      </c>
      <c r="C115" s="65"/>
    </row>
    <row r="116" spans="1:3">
      <c r="A116" s="92" t="s">
        <v>213</v>
      </c>
      <c r="B116" s="93"/>
      <c r="C116" s="65"/>
    </row>
    <row r="117" spans="1:3">
      <c r="A117" s="92" t="s">
        <v>214</v>
      </c>
      <c r="B117" s="93"/>
      <c r="C117" s="65"/>
    </row>
    <row r="118" spans="1:3">
      <c r="A118" s="769" t="s">
        <v>215</v>
      </c>
      <c r="B118" s="770"/>
      <c r="C118" s="85">
        <f>ROUND((((+B113*(B114/B115)/B115)*B116)*B117),2)</f>
        <v>0</v>
      </c>
    </row>
    <row r="119" spans="1:3">
      <c r="A119" s="769" t="s">
        <v>216</v>
      </c>
      <c r="B119" s="786"/>
      <c r="C119" s="770"/>
    </row>
    <row r="120" spans="1:3">
      <c r="A120" s="29" t="s">
        <v>193</v>
      </c>
      <c r="B120" s="40">
        <f>+'Encarregado 44h Seg Sex'!D24</f>
        <v>0</v>
      </c>
      <c r="C120" s="65"/>
    </row>
    <row r="121" spans="1:3">
      <c r="A121" s="29" t="s">
        <v>55</v>
      </c>
      <c r="B121" s="40">
        <f>+'Encarregado 44h Seg Sex'!D30</f>
        <v>0</v>
      </c>
      <c r="C121" s="65"/>
    </row>
    <row r="122" spans="1:3">
      <c r="A122" s="96" t="s">
        <v>175</v>
      </c>
      <c r="B122" s="97">
        <f>SUM(B120:B121)</f>
        <v>0</v>
      </c>
      <c r="C122" s="65"/>
    </row>
    <row r="123" spans="1:3">
      <c r="A123" s="29" t="s">
        <v>212</v>
      </c>
      <c r="B123" s="29">
        <v>4</v>
      </c>
      <c r="C123" s="65"/>
    </row>
    <row r="124" spans="1:3">
      <c r="A124" s="29" t="s">
        <v>194</v>
      </c>
      <c r="B124" s="29">
        <v>12</v>
      </c>
      <c r="C124" s="65"/>
    </row>
    <row r="125" spans="1:3">
      <c r="A125" s="92" t="s">
        <v>213</v>
      </c>
      <c r="B125" s="93">
        <f>+B116</f>
        <v>0</v>
      </c>
      <c r="C125" s="65"/>
    </row>
    <row r="126" spans="1:3">
      <c r="A126" s="92" t="s">
        <v>214</v>
      </c>
      <c r="B126" s="93">
        <f>+B117</f>
        <v>0</v>
      </c>
      <c r="C126" s="65"/>
    </row>
    <row r="127" spans="1:3">
      <c r="A127" s="49" t="s">
        <v>217</v>
      </c>
      <c r="B127" s="39">
        <f>+'Encarregado 44h Seg Sex'!C46</f>
        <v>0.36800000000000005</v>
      </c>
      <c r="C127" s="65"/>
    </row>
    <row r="128" spans="1:3">
      <c r="A128" s="769" t="s">
        <v>218</v>
      </c>
      <c r="B128" s="770"/>
      <c r="C128" s="77">
        <f>ROUND((((B122*(B123/B124)*B125)*B126)*B127),2)</f>
        <v>0</v>
      </c>
    </row>
    <row r="130" spans="1:3" ht="39.75" customHeight="1">
      <c r="A130" s="787" t="s">
        <v>257</v>
      </c>
      <c r="B130" s="787"/>
      <c r="C130" s="787"/>
    </row>
  </sheetData>
  <mergeCells count="33">
    <mergeCell ref="A48:C48"/>
    <mergeCell ref="A1:C1"/>
    <mergeCell ref="A10:C10"/>
    <mergeCell ref="A17:B17"/>
    <mergeCell ref="A19:C19"/>
    <mergeCell ref="A26:B26"/>
    <mergeCell ref="A28:C28"/>
    <mergeCell ref="A32:B32"/>
    <mergeCell ref="A34:C34"/>
    <mergeCell ref="A43:B43"/>
    <mergeCell ref="A45:B45"/>
    <mergeCell ref="A46:B46"/>
    <mergeCell ref="A92:C92"/>
    <mergeCell ref="A54:B54"/>
    <mergeCell ref="A56:C56"/>
    <mergeCell ref="A65:B65"/>
    <mergeCell ref="A67:B67"/>
    <mergeCell ref="A68:B68"/>
    <mergeCell ref="A70:C70"/>
    <mergeCell ref="A71:C74"/>
    <mergeCell ref="A76:C76"/>
    <mergeCell ref="A81:B81"/>
    <mergeCell ref="A83:C83"/>
    <mergeCell ref="A90:B90"/>
    <mergeCell ref="A119:C119"/>
    <mergeCell ref="A128:B128"/>
    <mergeCell ref="A130:C130"/>
    <mergeCell ref="A98:B98"/>
    <mergeCell ref="A100:C100"/>
    <mergeCell ref="A106:B106"/>
    <mergeCell ref="A109:C109"/>
    <mergeCell ref="A110:C110"/>
    <mergeCell ref="A118:B118"/>
  </mergeCells>
  <pageMargins left="0.93" right="0.16" top="0.42" bottom="0.78740157480314965" header="0.31496062992125984" footer="0.31496062992125984"/>
  <pageSetup paperSize="9" scale="85" orientation="portrait" r:id="rId1"/>
  <headerFooter>
    <oddFoote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A1:G168"/>
  <sheetViews>
    <sheetView topLeftCell="A131" workbookViewId="0">
      <selection activeCell="B172" sqref="B172"/>
    </sheetView>
  </sheetViews>
  <sheetFormatPr defaultRowHeight="13.2"/>
  <cols>
    <col min="1" max="1" width="5.6328125" customWidth="1"/>
    <col min="2" max="2" width="50.453125" customWidth="1"/>
    <col min="3" max="3" width="9.36328125" bestFit="1" customWidth="1"/>
    <col min="4" max="4" width="15.6328125" customWidth="1"/>
    <col min="5" max="5" width="11.7265625" bestFit="1" customWidth="1"/>
  </cols>
  <sheetData>
    <row r="1" spans="1:6">
      <c r="A1" s="718" t="s">
        <v>22</v>
      </c>
      <c r="B1" s="719"/>
      <c r="C1" s="719"/>
      <c r="D1" s="720"/>
      <c r="E1" s="6"/>
      <c r="F1" s="6"/>
    </row>
    <row r="3" spans="1:6">
      <c r="A3" s="721" t="s">
        <v>23</v>
      </c>
      <c r="B3" s="722"/>
      <c r="C3" s="722"/>
      <c r="D3" s="723"/>
    </row>
    <row r="4" spans="1:6" s="9" customFormat="1" ht="27" customHeight="1">
      <c r="A4" s="114">
        <v>1</v>
      </c>
      <c r="B4" s="115" t="s">
        <v>24</v>
      </c>
      <c r="C4" s="810" t="s">
        <v>273</v>
      </c>
      <c r="D4" s="811"/>
    </row>
    <row r="5" spans="1:6" s="9" customFormat="1">
      <c r="A5" s="114">
        <v>2</v>
      </c>
      <c r="B5" s="115" t="s">
        <v>25</v>
      </c>
      <c r="C5" s="812" t="s">
        <v>270</v>
      </c>
      <c r="D5" s="813"/>
    </row>
    <row r="6" spans="1:6" s="9" customFormat="1">
      <c r="A6" s="114">
        <v>3</v>
      </c>
      <c r="B6" s="115" t="s">
        <v>26</v>
      </c>
      <c r="C6" s="814">
        <f>+Resumo!H19</f>
        <v>0</v>
      </c>
      <c r="D6" s="814"/>
    </row>
    <row r="7" spans="1:6" s="9" customFormat="1">
      <c r="A7" s="114">
        <v>4</v>
      </c>
      <c r="B7" s="115" t="s">
        <v>27</v>
      </c>
      <c r="C7" s="815" t="s">
        <v>256</v>
      </c>
      <c r="D7" s="816"/>
    </row>
    <row r="8" spans="1:6" s="9" customFormat="1">
      <c r="A8" s="114">
        <v>5</v>
      </c>
      <c r="B8" s="115" t="s">
        <v>28</v>
      </c>
      <c r="C8" s="817">
        <v>43524</v>
      </c>
      <c r="D8" s="813"/>
    </row>
    <row r="9" spans="1:6">
      <c r="D9" s="10"/>
    </row>
    <row r="10" spans="1:6">
      <c r="A10" s="732" t="s">
        <v>29</v>
      </c>
      <c r="B10" s="733"/>
      <c r="C10" s="733"/>
      <c r="D10" s="733"/>
    </row>
    <row r="11" spans="1:6">
      <c r="A11" s="11">
        <v>1</v>
      </c>
      <c r="B11" s="12" t="s">
        <v>30</v>
      </c>
      <c r="C11" s="13" t="s">
        <v>31</v>
      </c>
      <c r="D11" s="14" t="s">
        <v>32</v>
      </c>
    </row>
    <row r="12" spans="1:6">
      <c r="A12" s="16" t="s">
        <v>4</v>
      </c>
      <c r="B12" s="734" t="s">
        <v>33</v>
      </c>
      <c r="C12" s="734"/>
      <c r="D12" s="17">
        <f>+C6</f>
        <v>0</v>
      </c>
    </row>
    <row r="13" spans="1:6">
      <c r="A13" s="16" t="s">
        <v>6</v>
      </c>
      <c r="B13" s="18" t="s">
        <v>34</v>
      </c>
      <c r="C13" s="19"/>
      <c r="D13" s="17"/>
      <c r="E13" s="20"/>
    </row>
    <row r="14" spans="1:6">
      <c r="A14" s="114" t="s">
        <v>9</v>
      </c>
      <c r="B14" s="142" t="s">
        <v>35</v>
      </c>
      <c r="C14" s="143">
        <v>0.2</v>
      </c>
      <c r="D14" s="144">
        <f>+C14*D12</f>
        <v>0</v>
      </c>
    </row>
    <row r="15" spans="1:6">
      <c r="A15" s="16" t="s">
        <v>11</v>
      </c>
      <c r="B15" s="734" t="s">
        <v>36</v>
      </c>
      <c r="C15" s="734"/>
      <c r="D15" s="17"/>
    </row>
    <row r="16" spans="1:6">
      <c r="A16" s="16" t="s">
        <v>37</v>
      </c>
      <c r="B16" s="734" t="s">
        <v>38</v>
      </c>
      <c r="C16" s="734"/>
      <c r="D16" s="17"/>
    </row>
    <row r="17" spans="1:6">
      <c r="A17" s="16" t="s">
        <v>39</v>
      </c>
      <c r="B17" s="716" t="s">
        <v>40</v>
      </c>
      <c r="C17" s="717"/>
      <c r="D17" s="17"/>
    </row>
    <row r="18" spans="1:6">
      <c r="A18" s="16" t="s">
        <v>41</v>
      </c>
      <c r="B18" s="734" t="s">
        <v>42</v>
      </c>
      <c r="C18" s="734"/>
      <c r="D18" s="17"/>
    </row>
    <row r="19" spans="1:6">
      <c r="A19" s="16" t="s">
        <v>43</v>
      </c>
      <c r="B19" s="716" t="s">
        <v>44</v>
      </c>
      <c r="C19" s="717"/>
      <c r="D19" s="21"/>
    </row>
    <row r="20" spans="1:6">
      <c r="A20" s="16" t="s">
        <v>45</v>
      </c>
      <c r="B20" s="18" t="s">
        <v>46</v>
      </c>
      <c r="C20" s="19"/>
      <c r="D20" s="17"/>
    </row>
    <row r="21" spans="1:6">
      <c r="A21" s="16" t="s">
        <v>47</v>
      </c>
      <c r="B21" s="735" t="s">
        <v>48</v>
      </c>
      <c r="C21" s="653"/>
      <c r="D21" s="22"/>
      <c r="F21" s="23"/>
    </row>
    <row r="22" spans="1:6">
      <c r="A22" s="16" t="s">
        <v>49</v>
      </c>
      <c r="B22" s="734" t="s">
        <v>50</v>
      </c>
      <c r="C22" s="734"/>
      <c r="D22" s="22"/>
    </row>
    <row r="23" spans="1:6">
      <c r="A23" s="736" t="s">
        <v>21</v>
      </c>
      <c r="B23" s="736"/>
      <c r="C23" s="736"/>
      <c r="D23" s="24">
        <f>SUM(D12:D22)</f>
        <v>0</v>
      </c>
    </row>
    <row r="25" spans="1:6">
      <c r="A25" s="732" t="s">
        <v>51</v>
      </c>
      <c r="B25" s="733"/>
      <c r="C25" s="733"/>
      <c r="D25" s="733"/>
    </row>
    <row r="27" spans="1:6">
      <c r="A27" s="732" t="s">
        <v>52</v>
      </c>
      <c r="B27" s="733"/>
      <c r="C27" s="733"/>
      <c r="D27" s="733"/>
    </row>
    <row r="28" spans="1:6">
      <c r="A28" s="25" t="s">
        <v>53</v>
      </c>
      <c r="B28" s="26" t="s">
        <v>54</v>
      </c>
      <c r="C28" s="27" t="s">
        <v>31</v>
      </c>
      <c r="D28" s="28" t="s">
        <v>32</v>
      </c>
    </row>
    <row r="29" spans="1:6">
      <c r="A29" s="16" t="s">
        <v>4</v>
      </c>
      <c r="B29" s="29" t="s">
        <v>55</v>
      </c>
      <c r="C29" s="30" t="e">
        <f>ROUND(+D29/$D$23,4)</f>
        <v>#DIV/0!</v>
      </c>
      <c r="D29" s="22">
        <f>ROUND(+D23/12,2)</f>
        <v>0</v>
      </c>
    </row>
    <row r="30" spans="1:6">
      <c r="A30" s="31" t="s">
        <v>6</v>
      </c>
      <c r="B30" s="32" t="s">
        <v>56</v>
      </c>
      <c r="C30" s="33" t="e">
        <f>ROUND(+D30/$D$23,4)</f>
        <v>#DIV/0!</v>
      </c>
      <c r="D30" s="34">
        <f>+D31+D32</f>
        <v>0</v>
      </c>
    </row>
    <row r="31" spans="1:6">
      <c r="A31" s="16" t="s">
        <v>57</v>
      </c>
      <c r="B31" s="35" t="s">
        <v>58</v>
      </c>
      <c r="C31" s="36" t="e">
        <f>ROUND(+D31/$D$23,4)</f>
        <v>#DIV/0!</v>
      </c>
      <c r="D31" s="37">
        <f>ROUND(+D23/12,2)</f>
        <v>0</v>
      </c>
    </row>
    <row r="32" spans="1:6">
      <c r="A32" s="16" t="s">
        <v>59</v>
      </c>
      <c r="B32" s="35" t="s">
        <v>60</v>
      </c>
      <c r="C32" s="36" t="e">
        <f>ROUND(+D32/$D$23,4)</f>
        <v>#DIV/0!</v>
      </c>
      <c r="D32" s="37">
        <f>ROUND(+(D23*1/3)/12,2)</f>
        <v>0</v>
      </c>
    </row>
    <row r="33" spans="1:4">
      <c r="A33" s="736" t="s">
        <v>21</v>
      </c>
      <c r="B33" s="736"/>
      <c r="C33" s="736"/>
      <c r="D33" s="24">
        <f>+D30+D29</f>
        <v>0</v>
      </c>
    </row>
    <row r="35" spans="1:4">
      <c r="A35" s="737" t="s">
        <v>61</v>
      </c>
      <c r="B35" s="738"/>
      <c r="C35" s="738"/>
      <c r="D35" s="738"/>
    </row>
    <row r="36" spans="1:4">
      <c r="A36" s="25" t="s">
        <v>62</v>
      </c>
      <c r="B36" s="38" t="s">
        <v>63</v>
      </c>
      <c r="C36" s="27" t="s">
        <v>31</v>
      </c>
      <c r="D36" s="28" t="s">
        <v>32</v>
      </c>
    </row>
    <row r="37" spans="1:4">
      <c r="A37" s="16" t="s">
        <v>4</v>
      </c>
      <c r="B37" s="29" t="s">
        <v>64</v>
      </c>
      <c r="C37" s="39">
        <v>0.2</v>
      </c>
      <c r="D37" s="40">
        <f>ROUND(C37*($D$23+$D$33),2)</f>
        <v>0</v>
      </c>
    </row>
    <row r="38" spans="1:4">
      <c r="A38" s="16" t="s">
        <v>6</v>
      </c>
      <c r="B38" s="29" t="s">
        <v>65</v>
      </c>
      <c r="C38" s="39">
        <v>2.5000000000000001E-2</v>
      </c>
      <c r="D38" s="40">
        <f>ROUND(C38*($D$23+$D$33),2)</f>
        <v>0</v>
      </c>
    </row>
    <row r="39" spans="1:4">
      <c r="A39" s="16" t="s">
        <v>9</v>
      </c>
      <c r="B39" s="29" t="s">
        <v>66</v>
      </c>
      <c r="C39" s="39">
        <f>3%</f>
        <v>0.03</v>
      </c>
      <c r="D39" s="40">
        <f t="shared" ref="D39:D43" si="0">ROUND(C39*($D$23+$D$33),2)</f>
        <v>0</v>
      </c>
    </row>
    <row r="40" spans="1:4">
      <c r="A40" s="16" t="s">
        <v>11</v>
      </c>
      <c r="B40" s="29" t="s">
        <v>67</v>
      </c>
      <c r="C40" s="39">
        <v>1.4999999999999999E-2</v>
      </c>
      <c r="D40" s="40">
        <f t="shared" si="0"/>
        <v>0</v>
      </c>
    </row>
    <row r="41" spans="1:4">
      <c r="A41" s="16" t="s">
        <v>37</v>
      </c>
      <c r="B41" s="29" t="s">
        <v>68</v>
      </c>
      <c r="C41" s="39">
        <v>0.01</v>
      </c>
      <c r="D41" s="40">
        <f t="shared" si="0"/>
        <v>0</v>
      </c>
    </row>
    <row r="42" spans="1:4">
      <c r="A42" s="16" t="s">
        <v>39</v>
      </c>
      <c r="B42" s="29" t="s">
        <v>69</v>
      </c>
      <c r="C42" s="39">
        <v>6.0000000000000001E-3</v>
      </c>
      <c r="D42" s="40">
        <f t="shared" si="0"/>
        <v>0</v>
      </c>
    </row>
    <row r="43" spans="1:4">
      <c r="A43" s="16" t="s">
        <v>41</v>
      </c>
      <c r="B43" s="29" t="s">
        <v>70</v>
      </c>
      <c r="C43" s="39">
        <v>2E-3</v>
      </c>
      <c r="D43" s="40">
        <f t="shared" si="0"/>
        <v>0</v>
      </c>
    </row>
    <row r="44" spans="1:4">
      <c r="A44" s="16" t="s">
        <v>43</v>
      </c>
      <c r="B44" s="29" t="s">
        <v>71</v>
      </c>
      <c r="C44" s="39">
        <v>0.08</v>
      </c>
      <c r="D44" s="40">
        <f>ROUND(C44*($D$23+$D$33),2)</f>
        <v>0</v>
      </c>
    </row>
    <row r="45" spans="1:4">
      <c r="A45" s="41" t="s">
        <v>21</v>
      </c>
      <c r="B45" s="42"/>
      <c r="C45" s="43">
        <f>SUM(C37:C44)</f>
        <v>0.36800000000000005</v>
      </c>
      <c r="D45" s="44">
        <f>SUM(D37:D44)</f>
        <v>0</v>
      </c>
    </row>
    <row r="46" spans="1:4">
      <c r="A46" s="45"/>
      <c r="B46" s="45"/>
      <c r="C46" s="45"/>
      <c r="D46" s="45"/>
    </row>
    <row r="47" spans="1:4">
      <c r="A47" s="737" t="s">
        <v>72</v>
      </c>
      <c r="B47" s="738"/>
      <c r="C47" s="738"/>
      <c r="D47" s="738"/>
    </row>
    <row r="48" spans="1:4">
      <c r="A48" s="25" t="s">
        <v>73</v>
      </c>
      <c r="B48" s="38" t="s">
        <v>74</v>
      </c>
      <c r="C48" s="27"/>
      <c r="D48" s="28" t="s">
        <v>32</v>
      </c>
    </row>
    <row r="49" spans="1:6">
      <c r="A49" s="46" t="s">
        <v>4</v>
      </c>
      <c r="B49" s="29" t="s">
        <v>75</v>
      </c>
      <c r="C49" s="47"/>
      <c r="D49" s="40">
        <f>+'MenCal Servente 12 36 20%Diurno'!C16</f>
        <v>0</v>
      </c>
    </row>
    <row r="50" spans="1:6" s="51" customFormat="1">
      <c r="A50" s="48" t="s">
        <v>76</v>
      </c>
      <c r="B50" s="49" t="s">
        <v>77</v>
      </c>
      <c r="C50" s="30">
        <f>+$C$135+$C$136</f>
        <v>9.2499999999999999E-2</v>
      </c>
      <c r="D50" s="50">
        <f>+(C50*D49)*-1</f>
        <v>0</v>
      </c>
      <c r="F50" s="52"/>
    </row>
    <row r="51" spans="1:6">
      <c r="A51" s="46" t="s">
        <v>6</v>
      </c>
      <c r="B51" s="29" t="s">
        <v>78</v>
      </c>
      <c r="C51" s="47"/>
      <c r="D51" s="40">
        <f>+'MenCal Servente 12 36 20%Diurno'!C25</f>
        <v>0</v>
      </c>
      <c r="F51" s="53"/>
    </row>
    <row r="52" spans="1:6" s="51" customFormat="1">
      <c r="A52" s="48" t="s">
        <v>57</v>
      </c>
      <c r="B52" s="49" t="s">
        <v>77</v>
      </c>
      <c r="C52" s="30">
        <f>+$C$135+$C$136</f>
        <v>9.2499999999999999E-2</v>
      </c>
      <c r="D52" s="50">
        <f>+(C52*D51)*-1</f>
        <v>0</v>
      </c>
      <c r="F52" s="54"/>
    </row>
    <row r="53" spans="1:6">
      <c r="A53" s="92" t="s">
        <v>9</v>
      </c>
      <c r="B53" s="92" t="s">
        <v>79</v>
      </c>
      <c r="C53" s="47"/>
      <c r="D53" s="230"/>
      <c r="F53" s="53"/>
    </row>
    <row r="54" spans="1:6">
      <c r="A54" s="48" t="s">
        <v>80</v>
      </c>
      <c r="B54" s="49" t="s">
        <v>77</v>
      </c>
      <c r="C54" s="30">
        <f>+$C$135+$C$136</f>
        <v>9.2499999999999999E-2</v>
      </c>
      <c r="D54" s="50">
        <f>+(C54*D53)*-1</f>
        <v>0</v>
      </c>
      <c r="F54" s="53"/>
    </row>
    <row r="55" spans="1:6">
      <c r="A55" s="92" t="s">
        <v>11</v>
      </c>
      <c r="B55" s="90" t="s">
        <v>676</v>
      </c>
      <c r="C55" s="47"/>
      <c r="D55" s="230"/>
      <c r="F55" s="53"/>
    </row>
    <row r="56" spans="1:6">
      <c r="A56" s="48" t="s">
        <v>81</v>
      </c>
      <c r="B56" s="49" t="s">
        <v>77</v>
      </c>
      <c r="C56" s="30">
        <f>+$C$135+$C$136</f>
        <v>9.2499999999999999E-2</v>
      </c>
      <c r="D56" s="50">
        <f>+(C56*D55)*-1</f>
        <v>0</v>
      </c>
      <c r="F56" s="53"/>
    </row>
    <row r="57" spans="1:6" ht="26.4">
      <c r="A57" s="92" t="s">
        <v>37</v>
      </c>
      <c r="B57" s="558" t="s">
        <v>677</v>
      </c>
      <c r="C57" s="47"/>
      <c r="D57" s="231"/>
      <c r="F57" s="55"/>
    </row>
    <row r="58" spans="1:6">
      <c r="A58" s="48" t="s">
        <v>82</v>
      </c>
      <c r="B58" s="49" t="s">
        <v>77</v>
      </c>
      <c r="C58" s="30">
        <f>+$C$135+$C$136</f>
        <v>9.2499999999999999E-2</v>
      </c>
      <c r="D58" s="50">
        <f>+(C58*D57)*-1</f>
        <v>0</v>
      </c>
    </row>
    <row r="59" spans="1:6">
      <c r="A59" s="92" t="s">
        <v>39</v>
      </c>
      <c r="B59" s="739" t="s">
        <v>83</v>
      </c>
      <c r="C59" s="739"/>
      <c r="D59" s="230"/>
    </row>
    <row r="60" spans="1:6">
      <c r="A60" s="48" t="s">
        <v>84</v>
      </c>
      <c r="B60" s="49" t="s">
        <v>77</v>
      </c>
      <c r="C60" s="30">
        <f>+$C$135+$C$136</f>
        <v>9.2499999999999999E-2</v>
      </c>
      <c r="D60" s="50">
        <f>+(C60*D59)*-1</f>
        <v>0</v>
      </c>
    </row>
    <row r="61" spans="1:6">
      <c r="A61" s="721" t="s">
        <v>21</v>
      </c>
      <c r="B61" s="723"/>
      <c r="C61" s="56"/>
      <c r="D61" s="57">
        <f>SUM(D49:D60)</f>
        <v>0</v>
      </c>
    </row>
    <row r="63" spans="1:6">
      <c r="A63" s="732" t="s">
        <v>85</v>
      </c>
      <c r="B63" s="733"/>
      <c r="C63" s="733"/>
      <c r="D63" s="733"/>
    </row>
    <row r="64" spans="1:6">
      <c r="A64" s="58">
        <v>2</v>
      </c>
      <c r="B64" s="742" t="s">
        <v>86</v>
      </c>
      <c r="C64" s="742"/>
      <c r="D64" s="59" t="s">
        <v>32</v>
      </c>
    </row>
    <row r="65" spans="1:4">
      <c r="A65" s="60" t="s">
        <v>53</v>
      </c>
      <c r="B65" s="743" t="s">
        <v>54</v>
      </c>
      <c r="C65" s="743"/>
      <c r="D65" s="40">
        <f>+D33</f>
        <v>0</v>
      </c>
    </row>
    <row r="66" spans="1:4">
      <c r="A66" s="60" t="s">
        <v>62</v>
      </c>
      <c r="B66" s="743" t="s">
        <v>63</v>
      </c>
      <c r="C66" s="743"/>
      <c r="D66" s="40">
        <f>+D45</f>
        <v>0</v>
      </c>
    </row>
    <row r="67" spans="1:4">
      <c r="A67" s="60" t="s">
        <v>73</v>
      </c>
      <c r="B67" s="743" t="s">
        <v>74</v>
      </c>
      <c r="C67" s="743"/>
      <c r="D67" s="61">
        <f>+D61</f>
        <v>0</v>
      </c>
    </row>
    <row r="68" spans="1:4">
      <c r="A68" s="742" t="s">
        <v>21</v>
      </c>
      <c r="B68" s="742"/>
      <c r="C68" s="742"/>
      <c r="D68" s="62">
        <f>SUM(D65:D67)</f>
        <v>0</v>
      </c>
    </row>
    <row r="70" spans="1:4">
      <c r="A70" s="732" t="s">
        <v>87</v>
      </c>
      <c r="B70" s="733"/>
      <c r="C70" s="733"/>
      <c r="D70" s="733"/>
    </row>
    <row r="72" spans="1:4">
      <c r="A72" s="63">
        <v>3</v>
      </c>
      <c r="B72" s="26" t="s">
        <v>88</v>
      </c>
      <c r="C72" s="13" t="s">
        <v>31</v>
      </c>
      <c r="D72" s="13" t="s">
        <v>32</v>
      </c>
    </row>
    <row r="73" spans="1:4">
      <c r="A73" s="16" t="s">
        <v>4</v>
      </c>
      <c r="B73" s="49" t="s">
        <v>89</v>
      </c>
      <c r="C73" s="30" t="e">
        <f>+D73/$D$23</f>
        <v>#DIV/0!</v>
      </c>
      <c r="D73" s="64">
        <f>+'MenCal Servente 12 36 20%Diurno'!C31</f>
        <v>0</v>
      </c>
    </row>
    <row r="74" spans="1:4">
      <c r="A74" s="16" t="s">
        <v>6</v>
      </c>
      <c r="B74" s="29" t="s">
        <v>90</v>
      </c>
      <c r="C74" s="65"/>
      <c r="D74" s="22">
        <f>ROUND(+D73*$C$44,2)</f>
        <v>0</v>
      </c>
    </row>
    <row r="75" spans="1:4" ht="26.4">
      <c r="A75" s="16" t="s">
        <v>9</v>
      </c>
      <c r="B75" s="5" t="s">
        <v>91</v>
      </c>
      <c r="C75" s="39" t="e">
        <f>+D75/$D$23</f>
        <v>#DIV/0!</v>
      </c>
      <c r="D75" s="22">
        <f>+'MenCal Servente 12 36 20%Diurno'!C45</f>
        <v>0</v>
      </c>
    </row>
    <row r="76" spans="1:4">
      <c r="A76" s="66" t="s">
        <v>11</v>
      </c>
      <c r="B76" s="29" t="s">
        <v>92</v>
      </c>
      <c r="C76" s="39" t="e">
        <f>+D76/$D$23</f>
        <v>#DIV/0!</v>
      </c>
      <c r="D76" s="22">
        <f>+'MenCal Servente 12 36 20%Diurno'!C53</f>
        <v>0</v>
      </c>
    </row>
    <row r="77" spans="1:4" ht="26.4">
      <c r="A77" s="66" t="s">
        <v>37</v>
      </c>
      <c r="B77" s="5" t="s">
        <v>93</v>
      </c>
      <c r="C77" s="65"/>
      <c r="D77" s="67"/>
    </row>
    <row r="78" spans="1:4" ht="26.4">
      <c r="A78" s="66" t="s">
        <v>39</v>
      </c>
      <c r="B78" s="5" t="s">
        <v>94</v>
      </c>
      <c r="C78" s="39" t="e">
        <f>+D78/$D$23</f>
        <v>#DIV/0!</v>
      </c>
      <c r="D78" s="40">
        <f>+'MenCal Servente 12 36 20%Diurno'!C67</f>
        <v>0</v>
      </c>
    </row>
    <row r="79" spans="1:4">
      <c r="A79" s="721" t="s">
        <v>21</v>
      </c>
      <c r="B79" s="722"/>
      <c r="C79" s="723"/>
      <c r="D79" s="68">
        <f>SUM(D73:D78)</f>
        <v>0</v>
      </c>
    </row>
    <row r="81" spans="1:4">
      <c r="A81" s="732" t="s">
        <v>95</v>
      </c>
      <c r="B81" s="733"/>
      <c r="C81" s="733"/>
      <c r="D81" s="733"/>
    </row>
    <row r="83" spans="1:4">
      <c r="A83" s="744" t="s">
        <v>96</v>
      </c>
      <c r="B83" s="744"/>
      <c r="C83" s="744"/>
      <c r="D83" s="744"/>
    </row>
    <row r="84" spans="1:4">
      <c r="A84" s="63" t="s">
        <v>97</v>
      </c>
      <c r="B84" s="721" t="s">
        <v>98</v>
      </c>
      <c r="C84" s="723"/>
      <c r="D84" s="13" t="s">
        <v>32</v>
      </c>
    </row>
    <row r="85" spans="1:4">
      <c r="A85" s="29" t="s">
        <v>4</v>
      </c>
      <c r="B85" s="740" t="s">
        <v>99</v>
      </c>
      <c r="C85" s="741"/>
      <c r="D85" s="22"/>
    </row>
    <row r="86" spans="1:4">
      <c r="A86" s="49" t="s">
        <v>6</v>
      </c>
      <c r="B86" s="747" t="s">
        <v>98</v>
      </c>
      <c r="C86" s="748"/>
      <c r="D86" s="69">
        <f>+'MenCal Servente 12 36 20%Diurno'!C80</f>
        <v>0</v>
      </c>
    </row>
    <row r="87" spans="1:4" s="51" customFormat="1">
      <c r="A87" s="49" t="s">
        <v>9</v>
      </c>
      <c r="B87" s="747" t="s">
        <v>100</v>
      </c>
      <c r="C87" s="748"/>
      <c r="D87" s="69">
        <f>+'MenCal Servente 12 36 20%Diurno'!C89</f>
        <v>0</v>
      </c>
    </row>
    <row r="88" spans="1:4" s="51" customFormat="1">
      <c r="A88" s="49" t="s">
        <v>11</v>
      </c>
      <c r="B88" s="747" t="s">
        <v>101</v>
      </c>
      <c r="C88" s="748"/>
      <c r="D88" s="69">
        <f>+'MenCal Servente 12 36 20%Diurno'!C97</f>
        <v>0</v>
      </c>
    </row>
    <row r="89" spans="1:4" s="51" customFormat="1">
      <c r="A89" s="49" t="s">
        <v>37</v>
      </c>
      <c r="B89" s="747" t="s">
        <v>102</v>
      </c>
      <c r="C89" s="748"/>
      <c r="D89" s="69"/>
    </row>
    <row r="90" spans="1:4" s="51" customFormat="1">
      <c r="A90" s="49" t="s">
        <v>39</v>
      </c>
      <c r="B90" s="747" t="s">
        <v>103</v>
      </c>
      <c r="C90" s="748"/>
      <c r="D90" s="69">
        <f>+'MenCal Servente 12 36 20%Diurno'!C105</f>
        <v>0</v>
      </c>
    </row>
    <row r="91" spans="1:4">
      <c r="A91" s="29" t="s">
        <v>41</v>
      </c>
      <c r="B91" s="740" t="s">
        <v>50</v>
      </c>
      <c r="C91" s="741"/>
      <c r="D91" s="22"/>
    </row>
    <row r="92" spans="1:4">
      <c r="A92" s="29" t="s">
        <v>43</v>
      </c>
      <c r="B92" s="740" t="s">
        <v>104</v>
      </c>
      <c r="C92" s="741"/>
      <c r="D92" s="67"/>
    </row>
    <row r="93" spans="1:4">
      <c r="A93" s="736" t="s">
        <v>21</v>
      </c>
      <c r="B93" s="736"/>
      <c r="C93" s="736"/>
      <c r="D93" s="24">
        <f>SUM(D85:D92)</f>
        <v>0</v>
      </c>
    </row>
    <row r="94" spans="1:4">
      <c r="D94" s="70"/>
    </row>
    <row r="95" spans="1:4">
      <c r="A95" s="63" t="s">
        <v>105</v>
      </c>
      <c r="B95" s="721" t="s">
        <v>106</v>
      </c>
      <c r="C95" s="723"/>
      <c r="D95" s="13" t="s">
        <v>32</v>
      </c>
    </row>
    <row r="96" spans="1:4" s="51" customFormat="1">
      <c r="A96" s="49" t="s">
        <v>4</v>
      </c>
      <c r="B96" s="749" t="s">
        <v>107</v>
      </c>
      <c r="C96" s="750"/>
      <c r="D96" s="69">
        <f>+'MenCal Servente 12 36 20%Diurno'!C116</f>
        <v>0</v>
      </c>
    </row>
    <row r="97" spans="1:4" s="51" customFormat="1">
      <c r="A97" s="49" t="s">
        <v>6</v>
      </c>
      <c r="B97" s="745" t="s">
        <v>108</v>
      </c>
      <c r="C97" s="746"/>
      <c r="D97" s="67"/>
    </row>
    <row r="98" spans="1:4" s="51" customFormat="1">
      <c r="A98" s="49" t="s">
        <v>9</v>
      </c>
      <c r="B98" s="745" t="s">
        <v>109</v>
      </c>
      <c r="C98" s="746"/>
      <c r="D98" s="67"/>
    </row>
    <row r="99" spans="1:4">
      <c r="A99" s="29" t="s">
        <v>11</v>
      </c>
      <c r="B99" s="740" t="s">
        <v>50</v>
      </c>
      <c r="C99" s="741"/>
      <c r="D99" s="22"/>
    </row>
    <row r="100" spans="1:4">
      <c r="A100" s="736" t="s">
        <v>21</v>
      </c>
      <c r="B100" s="736"/>
      <c r="C100" s="736"/>
      <c r="D100" s="24">
        <f>SUM(D96:D99)</f>
        <v>0</v>
      </c>
    </row>
    <row r="101" spans="1:4">
      <c r="D101" s="70"/>
    </row>
    <row r="102" spans="1:4">
      <c r="A102" s="63" t="s">
        <v>110</v>
      </c>
      <c r="B102" s="736" t="s">
        <v>111</v>
      </c>
      <c r="C102" s="736"/>
      <c r="D102" s="13" t="s">
        <v>32</v>
      </c>
    </row>
    <row r="103" spans="1:4" s="72" customFormat="1">
      <c r="A103" s="66" t="s">
        <v>4</v>
      </c>
      <c r="B103" s="751" t="s">
        <v>112</v>
      </c>
      <c r="C103" s="751"/>
      <c r="D103" s="71"/>
    </row>
    <row r="104" spans="1:4">
      <c r="A104" s="736" t="s">
        <v>21</v>
      </c>
      <c r="B104" s="736"/>
      <c r="C104" s="736"/>
      <c r="D104" s="24">
        <f>SUM(D103:D103)</f>
        <v>0</v>
      </c>
    </row>
    <row r="106" spans="1:4">
      <c r="A106" s="76" t="s">
        <v>113</v>
      </c>
      <c r="B106" s="76"/>
      <c r="C106" s="76"/>
      <c r="D106" s="76"/>
    </row>
    <row r="107" spans="1:4">
      <c r="A107" s="29" t="s">
        <v>97</v>
      </c>
      <c r="B107" s="740" t="s">
        <v>98</v>
      </c>
      <c r="C107" s="741"/>
      <c r="D107" s="40">
        <f>+D93</f>
        <v>0</v>
      </c>
    </row>
    <row r="108" spans="1:4">
      <c r="A108" s="29" t="s">
        <v>105</v>
      </c>
      <c r="B108" s="740" t="s">
        <v>106</v>
      </c>
      <c r="C108" s="741"/>
      <c r="D108" s="40">
        <f>+D100</f>
        <v>0</v>
      </c>
    </row>
    <row r="109" spans="1:4">
      <c r="A109" s="74"/>
      <c r="B109" s="752" t="s">
        <v>114</v>
      </c>
      <c r="C109" s="753"/>
      <c r="D109" s="75">
        <f>+D108+D107</f>
        <v>0</v>
      </c>
    </row>
    <row r="110" spans="1:4">
      <c r="A110" s="29" t="s">
        <v>110</v>
      </c>
      <c r="B110" s="740" t="s">
        <v>111</v>
      </c>
      <c r="C110" s="741"/>
      <c r="D110" s="40">
        <f>+D104</f>
        <v>0</v>
      </c>
    </row>
    <row r="111" spans="1:4">
      <c r="A111" s="754" t="s">
        <v>21</v>
      </c>
      <c r="B111" s="754"/>
      <c r="C111" s="754"/>
      <c r="D111" s="77">
        <f>+D110+D109</f>
        <v>0</v>
      </c>
    </row>
    <row r="113" spans="1:4">
      <c r="A113" s="732" t="s">
        <v>115</v>
      </c>
      <c r="B113" s="733"/>
      <c r="C113" s="733"/>
      <c r="D113" s="733"/>
    </row>
    <row r="115" spans="1:4">
      <c r="A115" s="63">
        <v>5</v>
      </c>
      <c r="B115" s="721" t="s">
        <v>116</v>
      </c>
      <c r="C115" s="723"/>
      <c r="D115" s="13" t="s">
        <v>32</v>
      </c>
    </row>
    <row r="116" spans="1:4">
      <c r="A116" s="29" t="s">
        <v>4</v>
      </c>
      <c r="B116" s="734" t="s">
        <v>117</v>
      </c>
      <c r="C116" s="734"/>
      <c r="D116" s="22">
        <f>+Uniforme!F8</f>
        <v>0</v>
      </c>
    </row>
    <row r="117" spans="1:4">
      <c r="A117" s="29" t="s">
        <v>76</v>
      </c>
      <c r="B117" s="49" t="s">
        <v>77</v>
      </c>
      <c r="C117" s="30">
        <f>+$C$135+$C$136</f>
        <v>9.2499999999999999E-2</v>
      </c>
      <c r="D117" s="50">
        <f>+(C117*D116)*-1</f>
        <v>0</v>
      </c>
    </row>
    <row r="118" spans="1:4">
      <c r="A118" s="29" t="s">
        <v>6</v>
      </c>
      <c r="B118" s="734" t="s">
        <v>118</v>
      </c>
      <c r="C118" s="734"/>
      <c r="D118" s="22"/>
    </row>
    <row r="119" spans="1:4">
      <c r="A119" s="29" t="s">
        <v>57</v>
      </c>
      <c r="B119" s="49" t="s">
        <v>77</v>
      </c>
      <c r="C119" s="30">
        <f>+$C$135+$C$136</f>
        <v>9.2499999999999999E-2</v>
      </c>
      <c r="D119" s="50">
        <f>+(C119*D118)*-1</f>
        <v>0</v>
      </c>
    </row>
    <row r="120" spans="1:4">
      <c r="A120" s="29" t="s">
        <v>9</v>
      </c>
      <c r="B120" s="734" t="s">
        <v>119</v>
      </c>
      <c r="C120" s="734"/>
      <c r="D120" s="22"/>
    </row>
    <row r="121" spans="1:4">
      <c r="A121" s="29" t="s">
        <v>80</v>
      </c>
      <c r="B121" s="49" t="s">
        <v>77</v>
      </c>
      <c r="C121" s="30">
        <f>+$C$135+$C$136</f>
        <v>9.2499999999999999E-2</v>
      </c>
      <c r="D121" s="50">
        <f>+(C121*D120)*-1</f>
        <v>0</v>
      </c>
    </row>
    <row r="122" spans="1:4">
      <c r="A122" s="29" t="s">
        <v>11</v>
      </c>
      <c r="B122" s="734" t="s">
        <v>50</v>
      </c>
      <c r="C122" s="734"/>
      <c r="D122" s="22"/>
    </row>
    <row r="123" spans="1:4">
      <c r="A123" s="29" t="s">
        <v>81</v>
      </c>
      <c r="B123" s="49" t="s">
        <v>77</v>
      </c>
      <c r="C123" s="30">
        <f>+$C$135+$C$136</f>
        <v>9.2499999999999999E-2</v>
      </c>
      <c r="D123" s="50">
        <f>+(C123*D122)*-1</f>
        <v>0</v>
      </c>
    </row>
    <row r="124" spans="1:4">
      <c r="A124" s="736" t="s">
        <v>21</v>
      </c>
      <c r="B124" s="736"/>
      <c r="C124" s="736"/>
      <c r="D124" s="24">
        <f>SUM(D116:D122)</f>
        <v>0</v>
      </c>
    </row>
    <row r="126" spans="1:4">
      <c r="A126" s="732" t="s">
        <v>120</v>
      </c>
      <c r="B126" s="733"/>
      <c r="C126" s="733"/>
      <c r="D126" s="733"/>
    </row>
    <row r="128" spans="1:4">
      <c r="A128" s="63">
        <v>6</v>
      </c>
      <c r="B128" s="26" t="s">
        <v>121</v>
      </c>
      <c r="C128" s="78" t="s">
        <v>31</v>
      </c>
      <c r="D128" s="13" t="s">
        <v>32</v>
      </c>
    </row>
    <row r="129" spans="1:7">
      <c r="A129" s="322" t="s">
        <v>4</v>
      </c>
      <c r="B129" s="322" t="s">
        <v>122</v>
      </c>
      <c r="C129" s="323">
        <v>0.03</v>
      </c>
      <c r="D129" s="324">
        <f>($D$124+$D$111+$D$79+$D$68+$D$23)*C129</f>
        <v>0</v>
      </c>
    </row>
    <row r="130" spans="1:7">
      <c r="A130" s="322" t="s">
        <v>6</v>
      </c>
      <c r="B130" s="322" t="s">
        <v>123</v>
      </c>
      <c r="C130" s="323">
        <v>0.03</v>
      </c>
      <c r="D130" s="324">
        <f>($D$124+$D$111+$D$79+$D$68+$D$23+D129)*C130</f>
        <v>0</v>
      </c>
    </row>
    <row r="131" spans="1:7" s="80" customFormat="1">
      <c r="A131" s="756" t="s">
        <v>124</v>
      </c>
      <c r="B131" s="757"/>
      <c r="C131" s="758"/>
      <c r="D131" s="79">
        <f>++D130+D129+D124+D111+D79+D68+D23</f>
        <v>0</v>
      </c>
    </row>
    <row r="132" spans="1:7" s="80" customFormat="1" ht="33" customHeight="1">
      <c r="A132" s="759" t="s">
        <v>125</v>
      </c>
      <c r="B132" s="760"/>
      <c r="C132" s="761"/>
      <c r="D132" s="79">
        <f>ROUND(D131/(1-(C135+C136+C138+C140+C141)),2)</f>
        <v>0</v>
      </c>
    </row>
    <row r="133" spans="1:7">
      <c r="A133" s="29" t="s">
        <v>9</v>
      </c>
      <c r="B133" s="29" t="s">
        <v>126</v>
      </c>
      <c r="C133" s="39"/>
      <c r="D133" s="29"/>
    </row>
    <row r="134" spans="1:7">
      <c r="A134" s="29" t="s">
        <v>80</v>
      </c>
      <c r="B134" s="29" t="s">
        <v>127</v>
      </c>
      <c r="C134" s="39"/>
      <c r="D134" s="29"/>
    </row>
    <row r="135" spans="1:7">
      <c r="A135" s="322" t="s">
        <v>128</v>
      </c>
      <c r="B135" s="322" t="s">
        <v>129</v>
      </c>
      <c r="C135" s="323">
        <v>1.6500000000000001E-2</v>
      </c>
      <c r="D135" s="324">
        <f>ROUND(C135*$D$132,2)</f>
        <v>0</v>
      </c>
      <c r="G135" s="81"/>
    </row>
    <row r="136" spans="1:7">
      <c r="A136" s="322" t="s">
        <v>130</v>
      </c>
      <c r="B136" s="322" t="s">
        <v>131</v>
      </c>
      <c r="C136" s="323">
        <v>7.5999999999999998E-2</v>
      </c>
      <c r="D136" s="324">
        <f>ROUND(C136*$D$132,2)</f>
        <v>0</v>
      </c>
      <c r="G136" s="81"/>
    </row>
    <row r="137" spans="1:7">
      <c r="A137" s="29" t="s">
        <v>132</v>
      </c>
      <c r="B137" s="29" t="s">
        <v>133</v>
      </c>
      <c r="C137" s="39"/>
      <c r="D137" s="40"/>
      <c r="G137" s="81"/>
    </row>
    <row r="138" spans="1:7">
      <c r="A138" s="29" t="s">
        <v>134</v>
      </c>
      <c r="B138" s="29" t="s">
        <v>135</v>
      </c>
      <c r="C138" s="39"/>
      <c r="D138" s="29"/>
      <c r="G138" s="81"/>
    </row>
    <row r="139" spans="1:7">
      <c r="A139" s="29" t="s">
        <v>136</v>
      </c>
      <c r="B139" s="29" t="s">
        <v>137</v>
      </c>
      <c r="C139" s="39"/>
      <c r="D139" s="29"/>
    </row>
    <row r="140" spans="1:7">
      <c r="A140" s="322" t="s">
        <v>138</v>
      </c>
      <c r="B140" s="322" t="s">
        <v>139</v>
      </c>
      <c r="C140" s="323">
        <v>0.05</v>
      </c>
      <c r="D140" s="324">
        <f>ROUND(C140*$D$132,2)</f>
        <v>0</v>
      </c>
    </row>
    <row r="141" spans="1:7">
      <c r="A141" s="29" t="s">
        <v>140</v>
      </c>
      <c r="B141" s="29" t="s">
        <v>141</v>
      </c>
      <c r="C141" s="39"/>
      <c r="D141" s="29"/>
    </row>
    <row r="142" spans="1:7">
      <c r="A142" s="721" t="s">
        <v>21</v>
      </c>
      <c r="B142" s="722"/>
      <c r="C142" s="82">
        <f>+C141+C140+C138+C136+C135+C130+C129</f>
        <v>0.20250000000000001</v>
      </c>
      <c r="D142" s="24">
        <f>+D140+D138+D136+D135+D130+D129</f>
        <v>0</v>
      </c>
    </row>
    <row r="144" spans="1:7">
      <c r="A144" s="762" t="s">
        <v>142</v>
      </c>
      <c r="B144" s="762"/>
      <c r="C144" s="762"/>
      <c r="D144" s="762"/>
    </row>
    <row r="145" spans="1:5">
      <c r="A145" s="29" t="s">
        <v>4</v>
      </c>
      <c r="B145" s="755" t="s">
        <v>143</v>
      </c>
      <c r="C145" s="755"/>
      <c r="D145" s="22">
        <f>+D23</f>
        <v>0</v>
      </c>
    </row>
    <row r="146" spans="1:5">
      <c r="A146" s="29" t="s">
        <v>144</v>
      </c>
      <c r="B146" s="755" t="s">
        <v>145</v>
      </c>
      <c r="C146" s="755"/>
      <c r="D146" s="22">
        <f>+D68</f>
        <v>0</v>
      </c>
    </row>
    <row r="147" spans="1:5">
      <c r="A147" s="29" t="s">
        <v>9</v>
      </c>
      <c r="B147" s="755" t="s">
        <v>146</v>
      </c>
      <c r="C147" s="755"/>
      <c r="D147" s="22">
        <f>+D79</f>
        <v>0</v>
      </c>
    </row>
    <row r="148" spans="1:5">
      <c r="A148" s="29" t="s">
        <v>11</v>
      </c>
      <c r="B148" s="755" t="s">
        <v>147</v>
      </c>
      <c r="C148" s="755"/>
      <c r="D148" s="22">
        <f>+D111</f>
        <v>0</v>
      </c>
    </row>
    <row r="149" spans="1:5">
      <c r="A149" s="29" t="s">
        <v>37</v>
      </c>
      <c r="B149" s="755" t="s">
        <v>148</v>
      </c>
      <c r="C149" s="755"/>
      <c r="D149" s="22">
        <f>+D124</f>
        <v>0</v>
      </c>
    </row>
    <row r="150" spans="1:5">
      <c r="B150" s="763" t="s">
        <v>149</v>
      </c>
      <c r="C150" s="763"/>
      <c r="D150" s="83">
        <f>SUM(D145:D149)</f>
        <v>0</v>
      </c>
    </row>
    <row r="151" spans="1:5">
      <c r="A151" s="29" t="s">
        <v>39</v>
      </c>
      <c r="B151" s="755" t="s">
        <v>150</v>
      </c>
      <c r="C151" s="755"/>
      <c r="D151" s="22">
        <f>+D142</f>
        <v>0</v>
      </c>
    </row>
    <row r="153" spans="1:5">
      <c r="A153" s="764" t="s">
        <v>151</v>
      </c>
      <c r="B153" s="764"/>
      <c r="C153" s="764"/>
      <c r="D153" s="84">
        <f>ROUND(+D151+D150,2)</f>
        <v>0</v>
      </c>
    </row>
    <row r="155" spans="1:5">
      <c r="B155" s="86"/>
      <c r="C155" s="86"/>
      <c r="D155" s="86"/>
    </row>
    <row r="156" spans="1:5">
      <c r="A156" s="87"/>
      <c r="B156" s="87"/>
      <c r="C156" s="87"/>
      <c r="D156" s="87"/>
      <c r="E156" s="87"/>
    </row>
    <row r="157" spans="1:5">
      <c r="A157" s="87"/>
      <c r="B157" s="87"/>
      <c r="C157" s="87"/>
      <c r="D157" s="87"/>
      <c r="E157" s="87"/>
    </row>
    <row r="158" spans="1:5">
      <c r="A158" s="87"/>
      <c r="B158" s="87"/>
      <c r="C158" s="87"/>
      <c r="D158" s="87"/>
      <c r="E158" s="87"/>
    </row>
    <row r="159" spans="1:5">
      <c r="A159" s="87"/>
      <c r="B159" s="87"/>
      <c r="C159" s="87"/>
      <c r="D159" s="87"/>
      <c r="E159" s="87"/>
    </row>
    <row r="160" spans="1:5">
      <c r="A160" s="87"/>
      <c r="B160" s="87"/>
      <c r="C160" s="87"/>
      <c r="D160" s="87"/>
      <c r="E160" s="87"/>
    </row>
    <row r="161" spans="1:5">
      <c r="A161" s="87"/>
      <c r="B161" s="87"/>
      <c r="C161" s="87"/>
      <c r="D161" s="87"/>
      <c r="E161" s="87"/>
    </row>
    <row r="162" spans="1:5">
      <c r="A162" s="87"/>
      <c r="B162" s="87"/>
      <c r="C162" s="87"/>
      <c r="D162" s="87"/>
      <c r="E162" s="87"/>
    </row>
    <row r="163" spans="1:5">
      <c r="A163" s="87"/>
      <c r="B163" s="87"/>
      <c r="C163" s="87"/>
      <c r="D163" s="87"/>
      <c r="E163" s="87"/>
    </row>
    <row r="164" spans="1:5">
      <c r="A164" s="87"/>
      <c r="B164" s="87"/>
      <c r="C164" s="87"/>
      <c r="D164" s="87"/>
      <c r="E164" s="87"/>
    </row>
    <row r="165" spans="1:5">
      <c r="A165" s="87"/>
      <c r="B165" s="87"/>
      <c r="C165" s="87"/>
      <c r="D165" s="87"/>
      <c r="E165" s="87"/>
    </row>
    <row r="166" spans="1:5">
      <c r="A166" s="87"/>
      <c r="B166" s="87"/>
      <c r="C166" s="87"/>
      <c r="D166" s="87"/>
      <c r="E166" s="87"/>
    </row>
    <row r="167" spans="1:5">
      <c r="A167" s="87"/>
      <c r="B167" s="87"/>
      <c r="C167" s="87"/>
      <c r="D167" s="87"/>
      <c r="E167" s="87"/>
    </row>
    <row r="168" spans="1:5">
      <c r="A168" s="87"/>
      <c r="B168" s="87"/>
      <c r="C168" s="87"/>
      <c r="D168" s="87"/>
      <c r="E168" s="87"/>
    </row>
  </sheetData>
  <mergeCells count="78">
    <mergeCell ref="B17:C17"/>
    <mergeCell ref="A1:D1"/>
    <mergeCell ref="A3:D3"/>
    <mergeCell ref="C4:D4"/>
    <mergeCell ref="C5:D5"/>
    <mergeCell ref="C6:D6"/>
    <mergeCell ref="C7:D7"/>
    <mergeCell ref="C8:D8"/>
    <mergeCell ref="A10:D10"/>
    <mergeCell ref="B12:C12"/>
    <mergeCell ref="B15:C15"/>
    <mergeCell ref="B16:C16"/>
    <mergeCell ref="A61:B61"/>
    <mergeCell ref="B18:C18"/>
    <mergeCell ref="B19:C19"/>
    <mergeCell ref="B21:C21"/>
    <mergeCell ref="B22:C22"/>
    <mergeCell ref="A23:C23"/>
    <mergeCell ref="A25:D25"/>
    <mergeCell ref="A27:D27"/>
    <mergeCell ref="A33:C33"/>
    <mergeCell ref="A35:D35"/>
    <mergeCell ref="A47:D47"/>
    <mergeCell ref="B59:C59"/>
    <mergeCell ref="B85:C85"/>
    <mergeCell ref="A63:D63"/>
    <mergeCell ref="B64:C64"/>
    <mergeCell ref="B65:C65"/>
    <mergeCell ref="B66:C66"/>
    <mergeCell ref="B67:C67"/>
    <mergeCell ref="A68:C68"/>
    <mergeCell ref="A70:D70"/>
    <mergeCell ref="A79:C79"/>
    <mergeCell ref="A81:D81"/>
    <mergeCell ref="A83:D83"/>
    <mergeCell ref="B84:C84"/>
    <mergeCell ref="B98:C98"/>
    <mergeCell ref="B86:C86"/>
    <mergeCell ref="B87:C87"/>
    <mergeCell ref="B88:C88"/>
    <mergeCell ref="B89:C89"/>
    <mergeCell ref="B90:C90"/>
    <mergeCell ref="B91:C91"/>
    <mergeCell ref="B92:C92"/>
    <mergeCell ref="A93:C93"/>
    <mergeCell ref="B95:C95"/>
    <mergeCell ref="B96:C96"/>
    <mergeCell ref="B97:C97"/>
    <mergeCell ref="B115:C115"/>
    <mergeCell ref="B99:C99"/>
    <mergeCell ref="A100:C100"/>
    <mergeCell ref="B102:C102"/>
    <mergeCell ref="B103:C103"/>
    <mergeCell ref="A104:C104"/>
    <mergeCell ref="B107:C107"/>
    <mergeCell ref="B108:C108"/>
    <mergeCell ref="B109:C109"/>
    <mergeCell ref="B110:C110"/>
    <mergeCell ref="A111:C111"/>
    <mergeCell ref="A113:D113"/>
    <mergeCell ref="A153:C153"/>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47:C147"/>
    <mergeCell ref="B148:C148"/>
    <mergeCell ref="B149:C149"/>
    <mergeCell ref="B150:C150"/>
    <mergeCell ref="B151:C151"/>
  </mergeCells>
  <pageMargins left="1.22" right="0.13" top="0.44" bottom="0.56999999999999995" header="0.31496062992125984" footer="0.31496062992125984"/>
  <pageSetup paperSize="9" scale="85" orientation="portrait" r:id="rId1"/>
  <headerFoot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26</vt:i4>
      </vt:variant>
      <vt:variant>
        <vt:lpstr>Intervalos nomeados</vt:lpstr>
      </vt:variant>
      <vt:variant>
        <vt:i4>26</vt:i4>
      </vt:variant>
    </vt:vector>
  </HeadingPairs>
  <TitlesOfParts>
    <vt:vector size="52" baseType="lpstr">
      <vt:lpstr>Resumo</vt:lpstr>
      <vt:lpstr>Custo Limpeza</vt:lpstr>
      <vt:lpstr>Servente 44h seg a sex</vt:lpstr>
      <vt:lpstr>Men Cal Servente 44h</vt:lpstr>
      <vt:lpstr>Servente 44h 40% seg a sex</vt:lpstr>
      <vt:lpstr>Men Cal Servente 44h 40%</vt:lpstr>
      <vt:lpstr>Encarregado 44h Seg Sex</vt:lpstr>
      <vt:lpstr>Men Cal Enc 44h seg sex </vt:lpstr>
      <vt:lpstr>Servente 12 36 20% Diurno</vt:lpstr>
      <vt:lpstr>MenCal Servente 12 36 20%Diurno</vt:lpstr>
      <vt:lpstr>Servente 12 36 40% Diurno</vt:lpstr>
      <vt:lpstr>MenCal Servente 12 36 40%Diurno</vt:lpstr>
      <vt:lpstr>Servente 12 36 40% Noturno</vt:lpstr>
      <vt:lpstr>MenCal Servente 12 36 40% Not</vt:lpstr>
      <vt:lpstr>Encarregado 12 36 Diurno</vt:lpstr>
      <vt:lpstr>Men Cal Enc 12 36 Diurno</vt:lpstr>
      <vt:lpstr>Encarregado 12 36 Noturno</vt:lpstr>
      <vt:lpstr>Men Cal Enc 12 36 Noturno</vt:lpstr>
      <vt:lpstr>Limpador de  Vidro 44h </vt:lpstr>
      <vt:lpstr>Men Cal Limpador 44h</vt:lpstr>
      <vt:lpstr>Uniforme</vt:lpstr>
      <vt:lpstr>Custo do Insumo</vt:lpstr>
      <vt:lpstr>Controle de Material</vt:lpstr>
      <vt:lpstr>IMR</vt:lpstr>
      <vt:lpstr>Controle Area Física</vt:lpstr>
      <vt:lpstr>Consolidador</vt:lpstr>
      <vt:lpstr>Consolidador!Area_de_impressao</vt:lpstr>
      <vt:lpstr>'Controle Area Física'!Area_de_impressao</vt:lpstr>
      <vt:lpstr>'Controle de Material'!Area_de_impressao</vt:lpstr>
      <vt:lpstr>'Custo do Insumo'!Area_de_impressao</vt:lpstr>
      <vt:lpstr>'Custo Limpeza'!Area_de_impressao</vt:lpstr>
      <vt:lpstr>'Encarregado 12 36 Diurno'!Area_de_impressao</vt:lpstr>
      <vt:lpstr>'Encarregado 12 36 Noturno'!Area_de_impressao</vt:lpstr>
      <vt:lpstr>'Encarregado 44h Seg Sex'!Area_de_impressao</vt:lpstr>
      <vt:lpstr>IMR!Area_de_impressao</vt:lpstr>
      <vt:lpstr>'Limpador de  Vidro 44h '!Area_de_impressao</vt:lpstr>
      <vt:lpstr>'Men Cal Enc 12 36 Diurno'!Area_de_impressao</vt:lpstr>
      <vt:lpstr>'Men Cal Enc 12 36 Noturno'!Area_de_impressao</vt:lpstr>
      <vt:lpstr>'Men Cal Enc 44h seg sex '!Area_de_impressao</vt:lpstr>
      <vt:lpstr>'Men Cal Limpador 44h'!Area_de_impressao</vt:lpstr>
      <vt:lpstr>'Men Cal Servente 44h'!Area_de_impressao</vt:lpstr>
      <vt:lpstr>'Men Cal Servente 44h 40%'!Area_de_impressao</vt:lpstr>
      <vt:lpstr>'MenCal Servente 12 36 20%Diurno'!Area_de_impressao</vt:lpstr>
      <vt:lpstr>'MenCal Servente 12 36 40% Not'!Area_de_impressao</vt:lpstr>
      <vt:lpstr>'MenCal Servente 12 36 40%Diurno'!Area_de_impressao</vt:lpstr>
      <vt:lpstr>Resumo!Area_de_impressao</vt:lpstr>
      <vt:lpstr>'Servente 12 36 20% Diurno'!Area_de_impressao</vt:lpstr>
      <vt:lpstr>'Servente 12 36 40% Diurno'!Area_de_impressao</vt:lpstr>
      <vt:lpstr>'Servente 12 36 40% Noturno'!Area_de_impressao</vt:lpstr>
      <vt:lpstr>'Servente 44h 40% seg a sex'!Area_de_impressao</vt:lpstr>
      <vt:lpstr>'Servente 44h seg a sex'!Area_de_impressao</vt:lpstr>
      <vt:lpstr>Uniforme!Area_de_impressao</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marcelao</dc:creator>
  <cp:lastModifiedBy>ufrj</cp:lastModifiedBy>
  <cp:lastPrinted>2020-05-20T16:10:58Z</cp:lastPrinted>
  <dcterms:created xsi:type="dcterms:W3CDTF">2019-03-20T19:09:53Z</dcterms:created>
  <dcterms:modified xsi:type="dcterms:W3CDTF">2020-06-01T15:55:35Z</dcterms:modified>
</cp:coreProperties>
</file>