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ORDENAÇÃO GERAL DE LICITAÇÕES\LICITACOES\LICITACOES 2020\EDITAIS\MINUTAS OBJETO DEFINIDO\PREGAO\PE-XX-SRP-SERV-AUX-PROC-DADOS-AMPLA-PART-HAB-COMP-033364-19-86\"/>
    </mc:Choice>
  </mc:AlternateContent>
  <bookViews>
    <workbookView xWindow="0" yWindow="0" windowWidth="28800" windowHeight="12435" activeTab="2"/>
  </bookViews>
  <sheets>
    <sheet name="Apresentacao" sheetId="2" r:id="rId1"/>
    <sheet name="Demanda" sheetId="1" r:id="rId2"/>
    <sheet name="Aux Processamento 44h" sheetId="3" r:id="rId3"/>
    <sheet name="Men Cal Aux Processamento" sheetId="4" r:id="rId4"/>
    <sheet name="Uniforme" sheetId="5" r:id="rId5"/>
  </sheets>
  <definedNames>
    <definedName name="_xlnm.Print_Area" localSheetId="2">'Aux Processamento 44h'!$A$1:$D$154</definedName>
    <definedName name="_xlnm.Print_Area" localSheetId="1">Demanda!$A$1:$B$19</definedName>
    <definedName name="_xlnm.Print_Area" localSheetId="3">'Men Cal Aux Processamento'!$A$1:$C$128</definedName>
    <definedName name="_xlnm.Print_Area" localSheetId="4">Uniforme!$A$1:$F$7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123" i="4" l="1"/>
  <c r="B124" i="4"/>
  <c r="E6" i="5" l="1"/>
  <c r="E5" i="5"/>
  <c r="E4" i="5"/>
  <c r="E3" i="5"/>
  <c r="B63" i="4"/>
  <c r="B41" i="4"/>
  <c r="C6" i="3"/>
  <c r="D12" i="3" s="1"/>
  <c r="B6" i="4" s="1"/>
  <c r="F6" i="5"/>
  <c r="F5" i="5"/>
  <c r="F4" i="5"/>
  <c r="F3" i="5"/>
  <c r="F7" i="5" s="1"/>
  <c r="B56" i="4"/>
  <c r="B34" i="4"/>
  <c r="B22" i="4"/>
  <c r="C25" i="4" s="1"/>
  <c r="D51" i="3" s="1"/>
  <c r="B19" i="4"/>
  <c r="B13" i="4"/>
  <c r="B10" i="4"/>
  <c r="B5" i="4"/>
  <c r="C142" i="3"/>
  <c r="C123" i="3"/>
  <c r="D123" i="3" s="1"/>
  <c r="C121" i="3"/>
  <c r="D121" i="3" s="1"/>
  <c r="C119" i="3"/>
  <c r="D119" i="3" s="1"/>
  <c r="C117" i="3"/>
  <c r="D104" i="3"/>
  <c r="D110" i="3" s="1"/>
  <c r="C60" i="3"/>
  <c r="D60" i="3" s="1"/>
  <c r="C58" i="3"/>
  <c r="D58" i="3" s="1"/>
  <c r="C56" i="3"/>
  <c r="D56" i="3" s="1"/>
  <c r="C54" i="3"/>
  <c r="D54" i="3" s="1"/>
  <c r="C52" i="3"/>
  <c r="C50" i="3"/>
  <c r="C39" i="3"/>
  <c r="C45" i="3" s="1"/>
  <c r="B125" i="4" s="1"/>
  <c r="D52" i="3" l="1"/>
  <c r="C16" i="4"/>
  <c r="D49" i="3" s="1"/>
  <c r="D116" i="3"/>
  <c r="D117" i="3" s="1"/>
  <c r="D124" i="3" s="1"/>
  <c r="D149" i="3" s="1"/>
  <c r="D14" i="3"/>
  <c r="D23" i="3" s="1"/>
  <c r="B35" i="4" l="1"/>
  <c r="B7" i="4"/>
  <c r="B118" i="4"/>
  <c r="B57" i="4"/>
  <c r="D50" i="3"/>
  <c r="D61" i="3" s="1"/>
  <c r="D67" i="3" s="1"/>
  <c r="D32" i="3"/>
  <c r="D31" i="3"/>
  <c r="D29" i="3"/>
  <c r="D145" i="3"/>
  <c r="B38" i="4" l="1"/>
  <c r="B60" i="4"/>
  <c r="B58" i="4"/>
  <c r="B36" i="4"/>
  <c r="B39" i="4" s="1"/>
  <c r="B119" i="4"/>
  <c r="B120" i="4" s="1"/>
  <c r="B100" i="4"/>
  <c r="C105" i="4" s="1"/>
  <c r="D90" i="3" s="1"/>
  <c r="B109" i="4"/>
  <c r="B110" i="4" s="1"/>
  <c r="B111" i="4" s="1"/>
  <c r="C116" i="4" s="1"/>
  <c r="D96" i="3" s="1"/>
  <c r="D100" i="3" s="1"/>
  <c r="D108" i="3" s="1"/>
  <c r="B48" i="4"/>
  <c r="C53" i="4" s="1"/>
  <c r="D76" i="3" s="1"/>
  <c r="C76" i="3" s="1"/>
  <c r="B92" i="4"/>
  <c r="C97" i="4" s="1"/>
  <c r="D88" i="3" s="1"/>
  <c r="B28" i="4"/>
  <c r="C31" i="4" s="1"/>
  <c r="D73" i="3" s="1"/>
  <c r="B76" i="4"/>
  <c r="C80" i="4" s="1"/>
  <c r="D86" i="3" s="1"/>
  <c r="B83" i="4"/>
  <c r="C89" i="4" s="1"/>
  <c r="D87" i="3" s="1"/>
  <c r="B37" i="4"/>
  <c r="B59" i="4"/>
  <c r="C31" i="3"/>
  <c r="D30" i="3"/>
  <c r="C29" i="3"/>
  <c r="C32" i="3"/>
  <c r="B61" i="4" l="1"/>
  <c r="D93" i="3"/>
  <c r="D107" i="3" s="1"/>
  <c r="D109" i="3" s="1"/>
  <c r="D111" i="3" s="1"/>
  <c r="D148" i="3" s="1"/>
  <c r="D74" i="3"/>
  <c r="C73" i="3"/>
  <c r="C30" i="3"/>
  <c r="D33" i="3"/>
  <c r="D65" i="3" l="1"/>
  <c r="D43" i="3"/>
  <c r="D42" i="3"/>
  <c r="D37" i="3"/>
  <c r="D41" i="3"/>
  <c r="D38" i="3"/>
  <c r="D39" i="3"/>
  <c r="D44" i="3"/>
  <c r="D40" i="3"/>
  <c r="D45" i="3" l="1"/>
  <c r="D66" i="3" s="1"/>
  <c r="D68" i="3" s="1"/>
  <c r="D146" i="3" l="1"/>
  <c r="E25" i="2" l="1"/>
  <c r="C64" i="4" l="1"/>
  <c r="C42" i="4"/>
  <c r="C66" i="4"/>
  <c r="C67" i="4" s="1"/>
  <c r="D78" i="3" s="1"/>
  <c r="C44" i="4"/>
  <c r="C45" i="4" s="1"/>
  <c r="D75" i="3" s="1"/>
  <c r="C126" i="4"/>
  <c r="C78" i="3" l="1"/>
  <c r="C75" i="3"/>
  <c r="D79" i="3"/>
  <c r="D147" i="3" l="1"/>
  <c r="D150" i="3" s="1"/>
  <c r="D129" i="3"/>
  <c r="D130" i="3" s="1"/>
  <c r="D131" i="3" s="1"/>
  <c r="D132" i="3" s="1"/>
  <c r="D140" i="3" l="1"/>
  <c r="D135" i="3"/>
  <c r="D136" i="3"/>
  <c r="D142" i="3" l="1"/>
  <c r="D151" i="3" s="1"/>
  <c r="D153" i="3" s="1"/>
  <c r="F25" i="2" s="1"/>
  <c r="F27" i="2" s="1"/>
  <c r="F28" i="2" s="1"/>
</calcChain>
</file>

<file path=xl/sharedStrings.xml><?xml version="1.0" encoding="utf-8"?>
<sst xmlns="http://schemas.openxmlformats.org/spreadsheetml/2006/main" count="421" uniqueCount="268">
  <si>
    <t>Auxiliar de processamento de dados 44 horas de segunda a sexta</t>
  </si>
  <si>
    <t>Unidade</t>
  </si>
  <si>
    <t>Hospital Escola São Francisco de Assis</t>
  </si>
  <si>
    <t>Instituto de Psiquiatria</t>
  </si>
  <si>
    <t>Instituto de Ginecologia</t>
  </si>
  <si>
    <t>Editora da UFRJ</t>
  </si>
  <si>
    <t>Gabinete do Reitor</t>
  </si>
  <si>
    <t>Pró-Reitoria de Gestão e Governança</t>
  </si>
  <si>
    <t>Arquivo Central - Gabinete do Reitor</t>
  </si>
  <si>
    <t>Divisão de Registro de Estudante (DRE) - PR-1</t>
  </si>
  <si>
    <t>Prefeitura Universitária</t>
  </si>
  <si>
    <t>Qtd.</t>
  </si>
  <si>
    <t>Pró-Reitoria de Pessoal</t>
  </si>
  <si>
    <t>CATSER</t>
  </si>
  <si>
    <t>CBO</t>
  </si>
  <si>
    <t>Processo Administrativo nº.</t>
  </si>
  <si>
    <t>Licitação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</si>
  <si>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</si>
  <si>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</si>
  <si>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</si>
  <si>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</si>
  <si>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</si>
  <si>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</si>
  <si>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</si>
  <si>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</si>
  <si>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</si>
  <si>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</si>
  <si>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</si>
  <si>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</si>
  <si>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</si>
  <si>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QTD</t>
  </si>
  <si>
    <t>Valor mensal total estimado para o contrato</t>
  </si>
  <si>
    <t>Valor total estimado para o contrato</t>
  </si>
  <si>
    <t>23079.033364/2019-86</t>
  </si>
  <si>
    <t>4151-15</t>
  </si>
  <si>
    <t xml:space="preserve">Auxiliar de processamento de dados / Codificador de dados </t>
  </si>
  <si>
    <r>
      <t xml:space="preserve">PISO SALARIAL </t>
    </r>
    <r>
      <rPr>
        <b/>
        <vertAlign val="superscript"/>
        <sz val="8"/>
        <rFont val="Spranq eco sans"/>
        <family val="2"/>
      </rPr>
      <t>(*)</t>
    </r>
  </si>
  <si>
    <t xml:space="preserve">Valor Mensal por Posto 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</si>
  <si>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</si>
  <si>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</si>
  <si>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</si>
  <si>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</si>
  <si>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</si>
  <si>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</si>
  <si>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>Trabalhadores nas Empresas de Asseio e Conservação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</si>
  <si>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</si>
  <si>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</si>
  <si>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</si>
  <si>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</si>
  <si>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</si>
  <si>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</si>
  <si>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</si>
  <si>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</si>
  <si>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</si>
  <si>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</si>
  <si>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</si>
  <si>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</si>
  <si>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</si>
  <si>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</si>
  <si>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</si>
  <si>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</si>
  <si>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</si>
  <si>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</si>
  <si>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</si>
  <si>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</si>
  <si>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</si>
  <si>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</si>
  <si>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</si>
  <si>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</si>
  <si>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</si>
  <si>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</si>
  <si>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</si>
  <si>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</si>
  <si>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</si>
  <si>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</si>
  <si>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</si>
  <si>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</si>
  <si>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</si>
  <si>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</si>
  <si>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</si>
  <si>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</si>
  <si>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</si>
  <si>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</si>
  <si>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</si>
  <si>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</si>
  <si>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</si>
  <si>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</si>
  <si>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</si>
  <si>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</si>
  <si>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</si>
  <si>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</si>
  <si>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</si>
  <si>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</si>
  <si>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</si>
  <si>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</si>
  <si>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</si>
  <si>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</si>
  <si>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</si>
  <si>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</si>
  <si>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</si>
  <si>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E.1</t>
  </si>
  <si>
    <t>Outros (Seguro de Vida / Invalidez / Auxílio Funeral)</t>
  </si>
  <si>
    <t>F.1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</si>
  <si>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</si>
  <si>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</si>
  <si>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</si>
  <si>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</si>
  <si>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</si>
  <si>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</si>
  <si>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</si>
  <si>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</si>
  <si>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</si>
  <si>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</si>
  <si>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</si>
  <si>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</si>
  <si>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</si>
  <si>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</si>
  <si>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</si>
  <si>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</si>
  <si>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</si>
  <si>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</si>
  <si>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</si>
  <si>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</si>
  <si>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</si>
  <si>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</si>
  <si>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</si>
  <si>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</si>
  <si>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</si>
  <si>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</si>
  <si>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</si>
  <si>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</si>
  <si>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</si>
  <si>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</si>
  <si>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</si>
  <si>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</si>
  <si>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</si>
  <si>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</si>
  <si>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</si>
  <si>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</si>
  <si>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</si>
  <si>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</si>
  <si>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</si>
  <si>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</si>
  <si>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</si>
  <si>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</si>
  <si>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</si>
  <si>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</si>
  <si>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</si>
  <si>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</si>
  <si>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</si>
  <si>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</si>
  <si>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</si>
  <si>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</si>
  <si>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</si>
  <si>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</si>
  <si>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</si>
  <si>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</si>
  <si>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</si>
  <si>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</si>
  <si>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</si>
  <si>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</si>
  <si>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</si>
  <si>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</si>
  <si>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</si>
  <si>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</si>
  <si>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</si>
  <si>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</si>
  <si>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</si>
  <si>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</si>
  <si>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</si>
  <si>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</si>
  <si>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</si>
  <si>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</si>
  <si>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</si>
  <si>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</si>
  <si>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</si>
  <si>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</si>
  <si>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</si>
  <si>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</si>
  <si>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</si>
  <si>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</si>
  <si>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</si>
  <si>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</si>
  <si>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</si>
  <si>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</si>
  <si>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</si>
  <si>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</si>
  <si>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</si>
  <si>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</si>
  <si>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</si>
  <si>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</si>
  <si>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</si>
  <si>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</si>
  <si>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</si>
  <si>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</si>
  <si>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</si>
  <si>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</si>
  <si>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</si>
  <si>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</si>
  <si>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</si>
  <si>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</si>
  <si>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</si>
  <si>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</si>
  <si>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</si>
  <si>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</si>
  <si>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</si>
  <si>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</si>
  <si>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</si>
  <si>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</si>
  <si>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</si>
  <si>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</si>
  <si>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</si>
  <si>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</si>
  <si>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</si>
  <si>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</si>
  <si>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</si>
  <si>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</si>
  <si>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</si>
  <si>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</si>
  <si>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</si>
  <si>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</si>
  <si>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</si>
  <si>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</si>
  <si>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</si>
  <si>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</si>
  <si>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</si>
  <si>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</si>
  <si>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</si>
  <si>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</si>
  <si>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</si>
  <si>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</si>
  <si>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</si>
  <si>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</si>
  <si>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</si>
  <si>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</si>
  <si>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</si>
  <si>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</si>
  <si>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Tipo / Especificações</t>
  </si>
  <si>
    <t>Qtd Anual</t>
  </si>
  <si>
    <t>Qtd Semestral</t>
  </si>
  <si>
    <t>Custo  Unitário</t>
  </si>
  <si>
    <t>Custo Anual</t>
  </si>
  <si>
    <t>Custo Mensal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</si>
  <si>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</si>
  <si>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Auxiliar de Processamento de dados 44h Seg a Sex</t>
  </si>
  <si>
    <t>MEMORIAL DE CÁLCULO  - AUXILIAR DE PROCESSAMENTO DE DADOS 44H SEG A SEX</t>
  </si>
  <si>
    <t>Total de contratações CAGED período Jan 2018 a Jul 2018 - 42 contratações - 23 ( 54,76%) masculinas e 19 (45,24%) femininas - Consulta realizada em 14/01/2020</t>
  </si>
  <si>
    <t>Calça comprida, material JEANS, na cor Azul,com presilhas para, bolso lateral e traseiro cinto (modelo tradicional).</t>
  </si>
  <si>
    <t>Camisa Polo de malha piquê,manga curta, na cor azul, com logo da Empresa na parte da frente - "A SERVIÇO DA UFRJ" nas costas</t>
  </si>
  <si>
    <t>Sapato social em couro com sola antiderrapante (Ref. Beira Rio Social Classico ou Touroflex 7000)</t>
  </si>
  <si>
    <t>Instituto e Puericultura Martagão Gesteira</t>
  </si>
  <si>
    <t>Instituto de Doenças do Tórax</t>
  </si>
  <si>
    <t>Auxiliar de Processamento de Dados / Codificador de Dados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</si>
  <si>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</si>
  <si>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</si>
  <si>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</si>
  <si>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</si>
  <si>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</si>
  <si>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</si>
  <si>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</si>
  <si>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</si>
  <si>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</si>
  <si>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</si>
  <si>
    <t>Instituto de Neurologia Deolindo Couto</t>
  </si>
  <si>
    <t>Pró-Reitoria de Pós-graduação e Pesquisa - PR-2</t>
  </si>
  <si>
    <t>Hospital Universitário Clementino Fraga Filho</t>
  </si>
  <si>
    <t>Benefício Social Familiar  - Cláusula Vigésima Sexta da CCT</t>
  </si>
  <si>
    <t>Contribuição Negocial Patronal - Cláusula Quinquagésima nona  da 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</si>
</sst>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 &quot;#,##0.00_);\(&quot;R$ &quot;#,##0.00\)"/>
    <numFmt numFmtId="167" formatCode="#,##0_ ;\-#,##0\ 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sz val="12"/>
      <color theme="1"/>
      <name val="Arial"/>
      <family val="2"/>
    </font>
    <font>
      <b/>
      <vertAlign val="superscript"/>
      <sz val="8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3"/>
      <color theme="1"/>
      <name val="Spranq eco sans"/>
      <family val="2"/>
    </font>
    <font>
      <sz val="10"/>
      <color rgb="FF333333"/>
      <name val="Segoe UI"/>
      <family val="2"/>
    </font>
    <font>
      <b/>
      <sz val="10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0"/>
      <color rgb="FF000000"/>
      <name val="Spranq eco sans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5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5" fillId="0" borderId="0" xfId="0" applyFont="1"/>
    <xf numFmtId="3" fontId="5" fillId="0" borderId="0" xfId="0" applyNumberFormat="1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6" fillId="0" borderId="1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/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165" fontId="8" fillId="2" borderId="1" xfId="0" applyNumberFormat="1" applyFont="1" applyFill="1" applyBorder="1"/>
    <xf numFmtId="0" fontId="8" fillId="0" borderId="0" xfId="0" applyFont="1"/>
    <xf numFmtId="165" fontId="9" fillId="3" borderId="1" xfId="0" applyNumberFormat="1" applyFont="1" applyFill="1" applyBorder="1"/>
    <xf numFmtId="165" fontId="9" fillId="3" borderId="1" xfId="1" applyFont="1" applyFill="1" applyBorder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vertical="center"/>
    </xf>
    <xf numFmtId="0" fontId="12" fillId="0" borderId="0" xfId="0" applyFont="1" applyFill="1" applyBorder="1" applyAlignment="1"/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right" vertical="center"/>
    </xf>
    <xf numFmtId="0" fontId="0" fillId="4" borderId="4" xfId="0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9" fontId="0" fillId="0" borderId="1" xfId="2" applyFont="1" applyBorder="1" applyAlignment="1">
      <alignment vertical="center"/>
    </xf>
    <xf numFmtId="165" fontId="0" fillId="0" borderId="0" xfId="0" applyNumberFormat="1"/>
    <xf numFmtId="165" fontId="0" fillId="0" borderId="1" xfId="1" applyNumberFormat="1" applyFont="1" applyFill="1" applyBorder="1" applyAlignment="1">
      <alignment horizontal="right" vertical="center"/>
    </xf>
    <xf numFmtId="165" fontId="0" fillId="0" borderId="1" xfId="1" applyNumberFormat="1" applyFont="1" applyBorder="1"/>
    <xf numFmtId="39" fontId="8" fillId="0" borderId="0" xfId="1" quotePrefix="1" applyNumberFormat="1" applyFont="1" applyBorder="1"/>
    <xf numFmtId="165" fontId="12" fillId="4" borderId="1" xfId="1" applyNumberFormat="1" applyFont="1" applyFill="1" applyBorder="1"/>
    <xf numFmtId="0" fontId="12" fillId="4" borderId="2" xfId="0" applyFont="1" applyFill="1" applyBorder="1"/>
    <xf numFmtId="0" fontId="12" fillId="4" borderId="1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10" fontId="0" fillId="0" borderId="1" xfId="2" applyNumberFormat="1" applyFont="1" applyFill="1" applyBorder="1"/>
    <xf numFmtId="0" fontId="14" fillId="7" borderId="1" xfId="0" applyFont="1" applyFill="1" applyBorder="1" applyAlignment="1">
      <alignment horizontal="left" vertical="center"/>
    </xf>
    <xf numFmtId="0" fontId="0" fillId="7" borderId="1" xfId="0" applyFont="1" applyFill="1" applyBorder="1"/>
    <xf numFmtId="10" fontId="1" fillId="7" borderId="1" xfId="2" applyNumberFormat="1" applyFont="1" applyFill="1" applyBorder="1"/>
    <xf numFmtId="165" fontId="1" fillId="7" borderId="1" xfId="1" applyNumberFormat="1" applyFont="1" applyFill="1" applyBorder="1"/>
    <xf numFmtId="0" fontId="14" fillId="0" borderId="1" xfId="0" applyFont="1" applyBorder="1"/>
    <xf numFmtId="10" fontId="14" fillId="0" borderId="1" xfId="2" applyNumberFormat="1" applyFont="1" applyFill="1" applyBorder="1"/>
    <xf numFmtId="165" fontId="14" fillId="0" borderId="1" xfId="1" applyNumberFormat="1" applyFont="1" applyBorder="1"/>
    <xf numFmtId="0" fontId="12" fillId="4" borderId="2" xfId="0" applyFont="1" applyFill="1" applyBorder="1" applyAlignment="1">
      <alignment vertical="center"/>
    </xf>
    <xf numFmtId="10" fontId="0" fillId="0" borderId="1" xfId="2" applyNumberFormat="1" applyFont="1" applyBorder="1"/>
    <xf numFmtId="165" fontId="0" fillId="0" borderId="1" xfId="0" applyNumberFormat="1" applyBorder="1"/>
    <xf numFmtId="0" fontId="12" fillId="4" borderId="4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10" fontId="12" fillId="4" borderId="1" xfId="2" applyNumberFormat="1" applyFont="1" applyFill="1" applyBorder="1" applyAlignment="1">
      <alignment horizontal="left" vertical="center"/>
    </xf>
    <xf numFmtId="165" fontId="12" fillId="4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 vertical="center"/>
    </xf>
    <xf numFmtId="10" fontId="0" fillId="8" borderId="1" xfId="2" applyNumberFormat="1" applyFont="1" applyFill="1" applyBorder="1"/>
    <xf numFmtId="0" fontId="0" fillId="0" borderId="10" xfId="0" applyFill="1" applyBorder="1" applyAlignment="1">
      <alignment horizontal="left" vertical="center"/>
    </xf>
    <xf numFmtId="0" fontId="0" fillId="0" borderId="1" xfId="0" applyFill="1" applyBorder="1"/>
    <xf numFmtId="164" fontId="0" fillId="0" borderId="1" xfId="0" applyNumberFormat="1" applyFill="1" applyBorder="1"/>
    <xf numFmtId="0" fontId="0" fillId="0" borderId="0" xfId="0" applyFill="1"/>
    <xf numFmtId="0" fontId="0" fillId="0" borderId="0" xfId="0" applyFill="1" applyBorder="1"/>
    <xf numFmtId="10" fontId="0" fillId="0" borderId="0" xfId="2" applyNumberFormat="1" applyFont="1" applyFill="1" applyBorder="1"/>
    <xf numFmtId="166" fontId="3" fillId="0" borderId="0" xfId="0" applyNumberFormat="1" applyFont="1" applyBorder="1" applyAlignment="1">
      <alignment vertical="center" wrapText="1"/>
    </xf>
    <xf numFmtId="10" fontId="12" fillId="4" borderId="1" xfId="2" applyNumberFormat="1" applyFont="1" applyFill="1" applyBorder="1" applyAlignment="1">
      <alignment vertical="center"/>
    </xf>
    <xf numFmtId="164" fontId="12" fillId="4" borderId="1" xfId="1" applyNumberFormat="1" applyFont="1" applyFill="1" applyBorder="1"/>
    <xf numFmtId="0" fontId="12" fillId="6" borderId="1" xfId="0" applyFont="1" applyFill="1" applyBorder="1"/>
    <xf numFmtId="0" fontId="12" fillId="6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164" fontId="0" fillId="0" borderId="1" xfId="0" applyNumberFormat="1" applyBorder="1"/>
    <xf numFmtId="165" fontId="12" fillId="6" borderId="1" xfId="1" applyNumberFormat="1" applyFont="1" applyFill="1" applyBorder="1" applyAlignment="1">
      <alignment horizontal="center" vertical="center"/>
    </xf>
    <xf numFmtId="0" fontId="12" fillId="4" borderId="1" xfId="0" applyFont="1" applyFill="1" applyBorder="1"/>
    <xf numFmtId="165" fontId="0" fillId="0" borderId="1" xfId="0" applyNumberFormat="1" applyFill="1" applyBorder="1"/>
    <xf numFmtId="0" fontId="0" fillId="8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center"/>
    </xf>
    <xf numFmtId="165" fontId="0" fillId="8" borderId="1" xfId="1" applyNumberFormat="1" applyFont="1" applyFill="1" applyBorder="1"/>
    <xf numFmtId="165" fontId="12" fillId="4" borderId="1" xfId="0" applyNumberFormat="1" applyFont="1" applyFill="1" applyBorder="1"/>
    <xf numFmtId="165" fontId="0" fillId="0" borderId="1" xfId="1" applyNumberFormat="1" applyFont="1" applyFill="1" applyBorder="1"/>
    <xf numFmtId="10" fontId="0" fillId="0" borderId="0" xfId="2" applyNumberFormat="1" applyFont="1"/>
    <xf numFmtId="165" fontId="0" fillId="0" borderId="1" xfId="1" applyNumberFormat="1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left"/>
    </xf>
    <xf numFmtId="0" fontId="0" fillId="9" borderId="1" xfId="0" applyFill="1" applyBorder="1"/>
    <xf numFmtId="165" fontId="12" fillId="9" borderId="1" xfId="1" applyNumberFormat="1" applyFont="1" applyFill="1" applyBorder="1"/>
    <xf numFmtId="165" fontId="12" fillId="6" borderId="1" xfId="0" applyNumberFormat="1" applyFont="1" applyFill="1" applyBorder="1"/>
    <xf numFmtId="0" fontId="12" fillId="4" borderId="6" xfId="0" applyFont="1" applyFill="1" applyBorder="1" applyAlignment="1">
      <alignment horizontal="center" vertical="center"/>
    </xf>
    <xf numFmtId="165" fontId="12" fillId="9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0" fontId="3" fillId="0" borderId="0" xfId="0" applyNumberFormat="1" applyFont="1" applyBorder="1" applyAlignment="1">
      <alignment horizontal="center" vertical="center" wrapText="1"/>
    </xf>
    <xf numFmtId="10" fontId="12" fillId="4" borderId="6" xfId="0" applyNumberFormat="1" applyFont="1" applyFill="1" applyBorder="1" applyAlignment="1">
      <alignment vertical="center"/>
    </xf>
    <xf numFmtId="165" fontId="12" fillId="0" borderId="1" xfId="1" applyNumberFormat="1" applyFont="1" applyBorder="1"/>
    <xf numFmtId="165" fontId="18" fillId="11" borderId="1" xfId="0" applyNumberFormat="1" applyFont="1" applyFill="1" applyBorder="1"/>
    <xf numFmtId="165" fontId="12" fillId="6" borderId="1" xfId="1" applyNumberFormat="1" applyFont="1" applyFill="1" applyBorder="1"/>
    <xf numFmtId="0" fontId="0" fillId="0" borderId="11" xfId="0" applyBorder="1" applyAlignment="1"/>
    <xf numFmtId="0" fontId="0" fillId="0" borderId="0" xfId="0" applyBorder="1" applyAlignment="1"/>
    <xf numFmtId="39" fontId="1" fillId="0" borderId="1" xfId="1" applyNumberFormat="1" applyFont="1" applyBorder="1"/>
    <xf numFmtId="39" fontId="0" fillId="0" borderId="1" xfId="0" applyNumberFormat="1" applyBorder="1"/>
    <xf numFmtId="0" fontId="0" fillId="12" borderId="1" xfId="0" applyFill="1" applyBorder="1"/>
    <xf numFmtId="165" fontId="0" fillId="12" borderId="1" xfId="1" applyNumberFormat="1" applyFont="1" applyFill="1" applyBorder="1"/>
    <xf numFmtId="0" fontId="0" fillId="0" borderId="1" xfId="0" applyFont="1" applyBorder="1"/>
    <xf numFmtId="0" fontId="14" fillId="0" borderId="1" xfId="0" applyFont="1" applyFill="1" applyBorder="1"/>
    <xf numFmtId="165" fontId="14" fillId="0" borderId="1" xfId="0" applyNumberFormat="1" applyFont="1" applyBorder="1"/>
    <xf numFmtId="165" fontId="12" fillId="9" borderId="1" xfId="0" applyNumberFormat="1" applyFont="1" applyFill="1" applyBorder="1"/>
    <xf numFmtId="167" fontId="0" fillId="0" borderId="1" xfId="0" applyNumberFormat="1" applyBorder="1"/>
    <xf numFmtId="0" fontId="0" fillId="0" borderId="0" xfId="0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5" fontId="8" fillId="0" borderId="1" xfId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165" fontId="8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165" fontId="8" fillId="0" borderId="0" xfId="1" applyFont="1"/>
    <xf numFmtId="165" fontId="8" fillId="0" borderId="1" xfId="1" applyFont="1" applyBorder="1"/>
    <xf numFmtId="9" fontId="0" fillId="0" borderId="0" xfId="2" applyFont="1"/>
    <xf numFmtId="10" fontId="0" fillId="12" borderId="1" xfId="2" applyNumberFormat="1" applyFont="1" applyFill="1" applyBorder="1"/>
    <xf numFmtId="0" fontId="0" fillId="12" borderId="1" xfId="0" applyFont="1" applyFill="1" applyBorder="1" applyAlignment="1">
      <alignment horizontal="left" wrapText="1"/>
    </xf>
    <xf numFmtId="0" fontId="0" fillId="12" borderId="1" xfId="0" applyFill="1" applyBorder="1" applyAlignment="1">
      <alignment horizontal="left" wrapText="1"/>
    </xf>
    <xf numFmtId="165" fontId="0" fillId="12" borderId="1" xfId="0" applyNumberFormat="1" applyFill="1" applyBorder="1"/>
    <xf numFmtId="0" fontId="0" fillId="12" borderId="1" xfId="0" applyFill="1" applyBorder="1" applyAlignment="1">
      <alignment wrapText="1"/>
    </xf>
    <xf numFmtId="166" fontId="15" fillId="12" borderId="1" xfId="0" applyNumberFormat="1" applyFont="1" applyFill="1" applyBorder="1" applyAlignment="1">
      <alignment vertical="center" wrapText="1"/>
    </xf>
    <xf numFmtId="0" fontId="20" fillId="0" borderId="0" xfId="0" applyFont="1"/>
    <xf numFmtId="0" fontId="15" fillId="0" borderId="0" xfId="0" applyFont="1"/>
    <xf numFmtId="0" fontId="15" fillId="0" borderId="0" xfId="0" applyFont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center"/>
    </xf>
    <xf numFmtId="0" fontId="15" fillId="0" borderId="2" xfId="0" applyFont="1" applyBorder="1"/>
    <xf numFmtId="0" fontId="24" fillId="0" borderId="0" xfId="0" applyFont="1" applyBorder="1" applyAlignment="1">
      <alignment vertical="center"/>
    </xf>
    <xf numFmtId="0" fontId="0" fillId="13" borderId="1" xfId="0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13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165" fontId="3" fillId="13" borderId="1" xfId="1" applyFont="1" applyFill="1" applyBorder="1" applyAlignment="1">
      <alignment horizontal="left" vertical="center" wrapText="1"/>
    </xf>
    <xf numFmtId="165" fontId="8" fillId="13" borderId="1" xfId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left" vertical="center"/>
    </xf>
    <xf numFmtId="0" fontId="15" fillId="0" borderId="9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left" vertical="center" wrapText="1"/>
    </xf>
    <xf numFmtId="0" fontId="6" fillId="13" borderId="5" xfId="0" applyFont="1" applyFill="1" applyBorder="1" applyAlignment="1">
      <alignment horizontal="left" vertical="center" wrapText="1"/>
    </xf>
    <xf numFmtId="0" fontId="6" fillId="13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13" borderId="1" xfId="0" applyFont="1" applyFill="1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right" vertical="center"/>
    </xf>
    <xf numFmtId="0" fontId="0" fillId="5" borderId="6" xfId="0" applyFill="1" applyBorder="1" applyAlignment="1">
      <alignment horizontal="right" vertical="center"/>
    </xf>
    <xf numFmtId="165" fontId="0" fillId="5" borderId="1" xfId="1" applyNumberFormat="1" applyFont="1" applyFill="1" applyBorder="1" applyAlignment="1">
      <alignment horizontal="left" vertical="center"/>
    </xf>
    <xf numFmtId="0" fontId="12" fillId="6" borderId="4" xfId="0" applyFont="1" applyFill="1" applyBorder="1" applyAlignment="1">
      <alignment horizontal="left" vertical="center"/>
    </xf>
    <xf numFmtId="0" fontId="12" fillId="6" borderId="5" xfId="0" applyFont="1" applyFill="1" applyBorder="1" applyAlignment="1">
      <alignment horizontal="left" vertical="center"/>
    </xf>
    <xf numFmtId="17" fontId="0" fillId="5" borderId="4" xfId="0" applyNumberForma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left" vertical="center"/>
    </xf>
    <xf numFmtId="0" fontId="12" fillId="6" borderId="4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0" fillId="12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12" fillId="6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4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2" fillId="9" borderId="4" xfId="0" applyFont="1" applyFill="1" applyBorder="1" applyAlignment="1">
      <alignment horizontal="left"/>
    </xf>
    <xf numFmtId="0" fontId="12" fillId="9" borderId="6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left"/>
    </xf>
    <xf numFmtId="0" fontId="18" fillId="11" borderId="0" xfId="0" applyFont="1" applyFill="1" applyAlignment="1">
      <alignment horizontal="left"/>
    </xf>
    <xf numFmtId="0" fontId="12" fillId="9" borderId="4" xfId="0" applyFont="1" applyFill="1" applyBorder="1" applyAlignment="1">
      <alignment horizontal="left" vertical="center"/>
    </xf>
    <xf numFmtId="0" fontId="12" fillId="9" borderId="5" xfId="0" applyFont="1" applyFill="1" applyBorder="1" applyAlignment="1">
      <alignment horizontal="left" vertical="center"/>
    </xf>
    <xf numFmtId="0" fontId="12" fillId="9" borderId="6" xfId="0" applyFont="1" applyFill="1" applyBorder="1" applyAlignment="1">
      <alignment horizontal="left" vertical="center"/>
    </xf>
    <xf numFmtId="0" fontId="12" fillId="9" borderId="4" xfId="0" applyFont="1" applyFill="1" applyBorder="1" applyAlignment="1">
      <alignment horizontal="left" vertical="center" wrapText="1"/>
    </xf>
    <xf numFmtId="0" fontId="12" fillId="9" borderId="5" xfId="0" applyFont="1" applyFill="1" applyBorder="1" applyAlignment="1">
      <alignment horizontal="left" vertical="center" wrapText="1"/>
    </xf>
    <xf numFmtId="0" fontId="12" fillId="9" borderId="6" xfId="0" applyFont="1" applyFill="1" applyBorder="1" applyAlignment="1">
      <alignment horizontal="left" vertical="center" wrapText="1"/>
    </xf>
    <xf numFmtId="0" fontId="12" fillId="10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6" borderId="4" xfId="0" applyFont="1" applyFill="1" applyBorder="1" applyAlignment="1">
      <alignment horizontal="center"/>
    </xf>
    <xf numFmtId="0" fontId="12" fillId="6" borderId="5" xfId="0" applyFont="1" applyFill="1" applyBorder="1" applyAlignment="1">
      <alignment horizontal="center"/>
    </xf>
    <xf numFmtId="0" fontId="12" fillId="6" borderId="6" xfId="0" applyFont="1" applyFill="1" applyBorder="1" applyAlignment="1">
      <alignment horizontal="center"/>
    </xf>
    <xf numFmtId="0" fontId="19" fillId="5" borderId="0" xfId="0" applyFont="1" applyFill="1" applyAlignment="1">
      <alignment horizontal="center" vertical="center" wrapText="1"/>
    </xf>
    <xf numFmtId="0" fontId="12" fillId="6" borderId="4" xfId="0" applyFont="1" applyFill="1" applyBorder="1" applyAlignment="1">
      <alignment horizontal="left"/>
    </xf>
    <xf numFmtId="0" fontId="12" fillId="6" borderId="6" xfId="0" applyFont="1" applyFill="1" applyBorder="1" applyAlignment="1">
      <alignment horizontal="left"/>
    </xf>
    <xf numFmtId="0" fontId="12" fillId="6" borderId="4" xfId="0" applyFont="1" applyFill="1" applyBorder="1" applyAlignment="1">
      <alignment horizontal="center" wrapText="1"/>
    </xf>
    <xf numFmtId="0" fontId="12" fillId="6" borderId="5" xfId="0" applyFont="1" applyFill="1" applyBorder="1" applyAlignment="1">
      <alignment horizontal="center" wrapText="1"/>
    </xf>
    <xf numFmtId="0" fontId="12" fillId="6" borderId="6" xfId="0" applyFont="1" applyFill="1" applyBorder="1" applyAlignment="1">
      <alignment horizontal="center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2" fillId="6" borderId="5" xfId="0" applyFont="1" applyFill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12" fillId="6" borderId="4" xfId="0" applyFont="1" applyFill="1" applyBorder="1" applyAlignment="1">
      <alignment horizontal="left" wrapText="1"/>
    </xf>
    <xf numFmtId="0" fontId="12" fillId="6" borderId="5" xfId="0" applyFont="1" applyFill="1" applyBorder="1" applyAlignment="1">
      <alignment horizontal="left" wrapText="1"/>
    </xf>
    <xf numFmtId="0" fontId="12" fillId="6" borderId="6" xfId="0" applyFont="1" applyFill="1" applyBorder="1" applyAlignment="1">
      <alignment horizontal="left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opLeftCell="A19" workbookViewId="0">
      <selection activeCell="A35" sqref="A35:F36"/>
    </sheetView>
  </sheetViews>
  <sheetFormatPr defaultRowHeight="15" x14ac:dyDescent="0.25"/>
  <cols>
    <col min="1" max="1" width="22.5703125" style="6" customWidth="1"/>
    <col min="2" max="3" width="9.140625" style="6"/>
    <col min="4" max="4" width="26.5703125" style="6" customWidth="1"/>
    <col min="5" max="5" width="17.28515625" style="6" customWidth="1"/>
    <col min="6" max="6" width="17.7109375" style="6" customWidth="1"/>
    <col min="7" max="16384" width="9.140625" style="6"/>
  </cols>
  <sheetData>
    <row r="1" spans="1:8" x14ac:dyDescent="0.25">
      <c r="A1" s="174" t="s">
        <v>15</v>
      </c>
      <c r="B1" s="174"/>
      <c r="C1" s="5"/>
      <c r="D1" s="175" t="s">
        <v>33</v>
      </c>
      <c r="E1" s="175"/>
      <c r="F1" s="175"/>
    </row>
    <row r="2" spans="1:8" x14ac:dyDescent="0.25">
      <c r="A2" s="174" t="s">
        <v>16</v>
      </c>
      <c r="B2" s="174"/>
      <c r="C2" s="5"/>
      <c r="D2" s="175"/>
      <c r="E2" s="175"/>
      <c r="F2" s="175"/>
    </row>
    <row r="3" spans="1:8" x14ac:dyDescent="0.25">
      <c r="A3" s="176" t="s">
        <v>17</v>
      </c>
      <c r="B3" s="176"/>
      <c r="C3" s="176"/>
      <c r="D3" s="176"/>
      <c r="E3" s="176"/>
      <c r="F3" s="176"/>
    </row>
    <row r="4" spans="1:8" x14ac:dyDescent="0.25">
      <c r="B4" s="7"/>
    </row>
    <row r="5" spans="1:8" ht="18" x14ac:dyDescent="0.25">
      <c r="A5" s="179" t="s">
        <v>253</v>
      </c>
      <c r="B5" s="179"/>
      <c r="C5" s="179"/>
      <c r="D5" s="179"/>
      <c r="E5" s="179"/>
      <c r="F5" s="179"/>
      <c r="G5" s="179"/>
      <c r="H5" s="179"/>
    </row>
    <row r="6" spans="1:8" x14ac:dyDescent="0.25">
      <c r="A6" s="180" t="s">
        <v>254</v>
      </c>
      <c r="B6" s="180"/>
      <c r="C6" s="180"/>
      <c r="D6" s="180"/>
      <c r="E6" s="180"/>
      <c r="F6" s="180"/>
      <c r="G6" s="139"/>
      <c r="H6" s="139"/>
    </row>
    <row r="7" spans="1:8" x14ac:dyDescent="0.25">
      <c r="A7" s="181" t="s">
        <v>255</v>
      </c>
      <c r="B7" s="181"/>
      <c r="C7" s="181"/>
      <c r="D7" s="140"/>
      <c r="E7" s="182" t="s">
        <v>256</v>
      </c>
      <c r="F7" s="182"/>
      <c r="G7" s="141"/>
      <c r="H7" s="141"/>
    </row>
    <row r="8" spans="1:8" x14ac:dyDescent="0.25">
      <c r="A8" s="180" t="s">
        <v>257</v>
      </c>
      <c r="B8" s="180"/>
      <c r="C8" s="180"/>
      <c r="D8" s="180"/>
      <c r="E8" s="180"/>
      <c r="F8" s="180"/>
      <c r="G8" s="139"/>
      <c r="H8" s="139"/>
    </row>
    <row r="9" spans="1:8" x14ac:dyDescent="0.25">
      <c r="A9" s="180" t="s">
        <v>258</v>
      </c>
      <c r="B9" s="180"/>
      <c r="C9" s="180"/>
      <c r="D9" s="180"/>
      <c r="E9" s="180"/>
      <c r="F9" s="180"/>
      <c r="G9" s="139"/>
      <c r="H9" s="139"/>
    </row>
    <row r="10" spans="1:8" x14ac:dyDescent="0.25">
      <c r="A10" s="181" t="s">
        <v>259</v>
      </c>
      <c r="B10" s="181"/>
      <c r="C10" s="181"/>
      <c r="D10" s="181"/>
      <c r="E10" s="181"/>
      <c r="F10" s="181"/>
      <c r="G10" s="142"/>
      <c r="H10" s="142"/>
    </row>
    <row r="12" spans="1:8" x14ac:dyDescent="0.25">
      <c r="A12" s="143" t="s">
        <v>260</v>
      </c>
      <c r="B12" s="183"/>
      <c r="C12" s="183"/>
      <c r="D12" s="183"/>
      <c r="E12" s="183"/>
      <c r="F12" s="183"/>
      <c r="G12" s="144"/>
    </row>
    <row r="13" spans="1:8" x14ac:dyDescent="0.25">
      <c r="A13" s="143" t="s">
        <v>261</v>
      </c>
      <c r="B13" s="183"/>
      <c r="C13" s="183"/>
      <c r="D13" s="183"/>
      <c r="E13" s="143" t="s">
        <v>262</v>
      </c>
      <c r="F13" s="143"/>
      <c r="G13" s="144"/>
    </row>
    <row r="14" spans="1:8" x14ac:dyDescent="0.25">
      <c r="B14" s="7"/>
    </row>
    <row r="15" spans="1:8" x14ac:dyDescent="0.25">
      <c r="A15" s="177" t="s">
        <v>18</v>
      </c>
      <c r="B15" s="178"/>
      <c r="C15" s="178"/>
      <c r="D15" s="178"/>
      <c r="E15" s="178"/>
      <c r="F15" s="178"/>
    </row>
    <row r="16" spans="1:8" x14ac:dyDescent="0.25">
      <c r="A16" s="8" t="s">
        <v>19</v>
      </c>
      <c r="B16" s="171" t="s">
        <v>20</v>
      </c>
      <c r="C16" s="172"/>
      <c r="D16" s="172"/>
      <c r="E16" s="172"/>
      <c r="F16" s="173"/>
    </row>
    <row r="17" spans="1:6" x14ac:dyDescent="0.25">
      <c r="A17" s="8" t="s">
        <v>21</v>
      </c>
      <c r="B17" s="162" t="s">
        <v>22</v>
      </c>
      <c r="C17" s="163"/>
      <c r="D17" s="164" t="s">
        <v>23</v>
      </c>
      <c r="E17" s="164"/>
      <c r="F17" s="164"/>
    </row>
    <row r="18" spans="1:6" ht="120.75" customHeight="1" x14ac:dyDescent="0.25">
      <c r="A18" s="9" t="s">
        <v>24</v>
      </c>
      <c r="B18" s="165" t="s">
        <v>25</v>
      </c>
      <c r="C18" s="166"/>
      <c r="D18" s="167"/>
      <c r="E18" s="168"/>
      <c r="F18" s="169"/>
    </row>
    <row r="19" spans="1:6" x14ac:dyDescent="0.25">
      <c r="A19" s="8" t="s">
        <v>26</v>
      </c>
      <c r="B19" s="170" t="s">
        <v>27</v>
      </c>
      <c r="C19" s="170"/>
      <c r="D19" s="170"/>
      <c r="E19" s="170"/>
      <c r="F19" s="10">
        <v>12</v>
      </c>
    </row>
    <row r="20" spans="1:6" ht="22.5" x14ac:dyDescent="0.25">
      <c r="A20" s="157"/>
      <c r="B20" s="11" t="s">
        <v>13</v>
      </c>
      <c r="C20" s="158" t="s">
        <v>28</v>
      </c>
      <c r="D20" s="159"/>
      <c r="E20" s="10" t="s">
        <v>14</v>
      </c>
      <c r="F20" s="12" t="s">
        <v>36</v>
      </c>
    </row>
    <row r="21" spans="1:6" ht="25.5" customHeight="1" x14ac:dyDescent="0.25">
      <c r="A21" s="157"/>
      <c r="B21" s="13">
        <v>5380</v>
      </c>
      <c r="C21" s="160" t="s">
        <v>35</v>
      </c>
      <c r="D21" s="161"/>
      <c r="E21" s="14" t="s">
        <v>34</v>
      </c>
      <c r="F21" s="145"/>
    </row>
    <row r="23" spans="1:6" x14ac:dyDescent="0.25">
      <c r="B23" s="15"/>
      <c r="C23" s="15" t="s">
        <v>29</v>
      </c>
      <c r="D23" s="15"/>
      <c r="E23" s="15"/>
      <c r="F23" s="15"/>
    </row>
    <row r="24" spans="1:6" ht="22.5" x14ac:dyDescent="0.25">
      <c r="B24" s="16" t="s">
        <v>13</v>
      </c>
      <c r="C24" s="151" t="s">
        <v>28</v>
      </c>
      <c r="D24" s="152"/>
      <c r="E24" s="17" t="s">
        <v>30</v>
      </c>
      <c r="F24" s="18" t="s">
        <v>37</v>
      </c>
    </row>
    <row r="25" spans="1:6" ht="25.5" customHeight="1" x14ac:dyDescent="0.25">
      <c r="B25" s="19">
        <v>5380</v>
      </c>
      <c r="C25" s="153" t="s">
        <v>35</v>
      </c>
      <c r="D25" s="153"/>
      <c r="E25" s="20">
        <f>+Demanda!B19</f>
        <v>145</v>
      </c>
      <c r="F25" s="21">
        <f>+'Aux Processamento 44h'!D153</f>
        <v>0</v>
      </c>
    </row>
    <row r="26" spans="1:6" s="22" customFormat="1" ht="11.25" x14ac:dyDescent="0.2"/>
    <row r="27" spans="1:6" s="22" customFormat="1" ht="11.25" x14ac:dyDescent="0.2">
      <c r="D27" s="155" t="s">
        <v>31</v>
      </c>
      <c r="E27" s="156"/>
      <c r="F27" s="23">
        <f>+F25*E25</f>
        <v>0</v>
      </c>
    </row>
    <row r="28" spans="1:6" s="22" customFormat="1" ht="11.25" x14ac:dyDescent="0.2">
      <c r="D28" s="155" t="s">
        <v>32</v>
      </c>
      <c r="E28" s="156"/>
      <c r="F28" s="24">
        <f>+F27*F19</f>
        <v>0</v>
      </c>
    </row>
    <row r="29" spans="1:6" s="22" customFormat="1" ht="11.25" x14ac:dyDescent="0.2">
      <c r="B29" s="25"/>
    </row>
    <row r="30" spans="1:6" s="22" customFormat="1" ht="11.25" x14ac:dyDescent="0.2">
      <c r="B30" s="26"/>
    </row>
    <row r="31" spans="1:6" s="22" customFormat="1" ht="11.25" x14ac:dyDescent="0.2">
      <c r="B31" s="25"/>
    </row>
    <row r="32" spans="1:6" s="22" customFormat="1" ht="11.25" x14ac:dyDescent="0.2">
      <c r="B32" s="25"/>
    </row>
    <row r="33" spans="1:6" s="22" customFormat="1" x14ac:dyDescent="0.2">
      <c r="B33" s="25"/>
      <c r="E33" s="27"/>
    </row>
    <row r="34" spans="1:6" s="22" customFormat="1" ht="11.25" x14ac:dyDescent="0.2">
      <c r="B34" s="25"/>
    </row>
    <row r="35" spans="1:6" x14ac:dyDescent="0.25">
      <c r="A35" s="154"/>
      <c r="B35" s="154"/>
      <c r="C35" s="154"/>
      <c r="D35" s="154"/>
      <c r="E35" s="154"/>
      <c r="F35" s="154"/>
    </row>
    <row r="36" spans="1:6" x14ac:dyDescent="0.25">
      <c r="A36" s="154"/>
      <c r="B36" s="154"/>
      <c r="C36" s="154"/>
      <c r="D36" s="154"/>
      <c r="E36" s="154"/>
      <c r="F36" s="154"/>
    </row>
  </sheetData>
  <mergeCells count="28">
    <mergeCell ref="B16:F16"/>
    <mergeCell ref="A1:B1"/>
    <mergeCell ref="D1:F2"/>
    <mergeCell ref="A2:B2"/>
    <mergeCell ref="A3:F3"/>
    <mergeCell ref="A15:F15"/>
    <mergeCell ref="A5:H5"/>
    <mergeCell ref="A6:F6"/>
    <mergeCell ref="A7:C7"/>
    <mergeCell ref="E7:F7"/>
    <mergeCell ref="A8:F8"/>
    <mergeCell ref="A9:F9"/>
    <mergeCell ref="A10:F10"/>
    <mergeCell ref="B12:F12"/>
    <mergeCell ref="B13:D13"/>
    <mergeCell ref="A20:A21"/>
    <mergeCell ref="C20:D20"/>
    <mergeCell ref="C21:D21"/>
    <mergeCell ref="B17:C17"/>
    <mergeCell ref="D17:F17"/>
    <mergeCell ref="B18:C18"/>
    <mergeCell ref="D18:F18"/>
    <mergeCell ref="B19:E19"/>
    <mergeCell ref="C24:D24"/>
    <mergeCell ref="C25:D25"/>
    <mergeCell ref="A35:F36"/>
    <mergeCell ref="D27:E27"/>
    <mergeCell ref="D28:E28"/>
  </mergeCells>
  <pageMargins left="0.9" right="0.05" top="0.78740157480314965" bottom="0.78740157480314965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workbookViewId="0">
      <selection activeCell="A11" sqref="A11"/>
    </sheetView>
  </sheetViews>
  <sheetFormatPr defaultRowHeight="12.75" x14ac:dyDescent="0.2"/>
  <cols>
    <col min="1" max="1" width="58.85546875" style="133" customWidth="1"/>
    <col min="2" max="16384" width="9.140625" style="133"/>
  </cols>
  <sheetData>
    <row r="1" spans="1:2" x14ac:dyDescent="0.2">
      <c r="A1" s="133" t="s">
        <v>0</v>
      </c>
    </row>
    <row r="3" spans="1:2" x14ac:dyDescent="0.2">
      <c r="A3" s="137" t="s">
        <v>1</v>
      </c>
      <c r="B3" s="137" t="s">
        <v>11</v>
      </c>
    </row>
    <row r="4" spans="1:2" s="134" customFormat="1" ht="20.100000000000001" customHeight="1" x14ac:dyDescent="0.25">
      <c r="A4" s="147" t="s">
        <v>251</v>
      </c>
      <c r="B4" s="148">
        <v>5</v>
      </c>
    </row>
    <row r="5" spans="1:2" s="134" customFormat="1" ht="20.100000000000001" customHeight="1" x14ac:dyDescent="0.25">
      <c r="A5" s="147" t="s">
        <v>2</v>
      </c>
      <c r="B5" s="148">
        <v>10</v>
      </c>
    </row>
    <row r="6" spans="1:2" s="134" customFormat="1" ht="20.100000000000001" customHeight="1" x14ac:dyDescent="0.25">
      <c r="A6" s="147" t="s">
        <v>3</v>
      </c>
      <c r="B6" s="148">
        <v>25</v>
      </c>
    </row>
    <row r="7" spans="1:2" s="134" customFormat="1" ht="20.100000000000001" customHeight="1" x14ac:dyDescent="0.25">
      <c r="A7" s="147" t="s">
        <v>250</v>
      </c>
      <c r="B7" s="148">
        <v>30</v>
      </c>
    </row>
    <row r="8" spans="1:2" s="134" customFormat="1" ht="20.100000000000001" customHeight="1" x14ac:dyDescent="0.25">
      <c r="A8" s="147" t="s">
        <v>4</v>
      </c>
      <c r="B8" s="148">
        <v>8</v>
      </c>
    </row>
    <row r="9" spans="1:2" s="134" customFormat="1" ht="20.100000000000001" customHeight="1" x14ac:dyDescent="0.25">
      <c r="A9" s="147" t="s">
        <v>5</v>
      </c>
      <c r="B9" s="148">
        <v>5</v>
      </c>
    </row>
    <row r="10" spans="1:2" s="134" customFormat="1" ht="20.100000000000001" customHeight="1" x14ac:dyDescent="0.25">
      <c r="A10" s="147" t="s">
        <v>6</v>
      </c>
      <c r="B10" s="148">
        <v>4</v>
      </c>
    </row>
    <row r="11" spans="1:2" s="134" customFormat="1" ht="20.100000000000001" customHeight="1" x14ac:dyDescent="0.25">
      <c r="A11" s="149" t="s">
        <v>7</v>
      </c>
      <c r="B11" s="150">
        <v>14</v>
      </c>
    </row>
    <row r="12" spans="1:2" s="134" customFormat="1" ht="20.100000000000001" customHeight="1" x14ac:dyDescent="0.25">
      <c r="A12" s="147" t="s">
        <v>8</v>
      </c>
      <c r="B12" s="148">
        <v>3</v>
      </c>
    </row>
    <row r="13" spans="1:2" s="134" customFormat="1" ht="20.100000000000001" customHeight="1" x14ac:dyDescent="0.25">
      <c r="A13" s="147" t="s">
        <v>12</v>
      </c>
      <c r="B13" s="148">
        <v>2</v>
      </c>
    </row>
    <row r="14" spans="1:2" s="134" customFormat="1" ht="20.100000000000001" customHeight="1" x14ac:dyDescent="0.25">
      <c r="A14" s="147" t="s">
        <v>9</v>
      </c>
      <c r="B14" s="148">
        <v>6</v>
      </c>
    </row>
    <row r="15" spans="1:2" s="134" customFormat="1" ht="20.100000000000001" customHeight="1" x14ac:dyDescent="0.25">
      <c r="A15" s="147" t="s">
        <v>10</v>
      </c>
      <c r="B15" s="148">
        <v>4</v>
      </c>
    </row>
    <row r="16" spans="1:2" s="134" customFormat="1" ht="20.100000000000001" customHeight="1" x14ac:dyDescent="0.25">
      <c r="A16" s="147" t="s">
        <v>263</v>
      </c>
      <c r="B16" s="148">
        <v>4</v>
      </c>
    </row>
    <row r="17" spans="1:2" s="134" customFormat="1" ht="20.100000000000001" customHeight="1" x14ac:dyDescent="0.25">
      <c r="A17" s="147" t="s">
        <v>264</v>
      </c>
      <c r="B17" s="148">
        <v>5</v>
      </c>
    </row>
    <row r="18" spans="1:2" s="134" customFormat="1" ht="20.100000000000001" customHeight="1" x14ac:dyDescent="0.25">
      <c r="A18" s="147" t="s">
        <v>265</v>
      </c>
      <c r="B18" s="148">
        <v>20</v>
      </c>
    </row>
    <row r="19" spans="1:2" x14ac:dyDescent="0.2">
      <c r="A19" s="135"/>
      <c r="B19" s="138">
        <f>SUM(B4:B18)</f>
        <v>145</v>
      </c>
    </row>
    <row r="20" spans="1:2" x14ac:dyDescent="0.2">
      <c r="A20" s="136"/>
    </row>
  </sheetData>
  <pageMargins left="1.07" right="0.51181102362204722" top="1.53" bottom="0.78740157480314965" header="0.31496062992125984" footer="0.31496062992125984"/>
  <pageSetup paperSize="9" orientation="landscape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abSelected="1" topLeftCell="A48" workbookViewId="0">
      <selection activeCell="E57" sqref="E57"/>
    </sheetView>
  </sheetViews>
  <sheetFormatPr defaultRowHeight="15" x14ac:dyDescent="0.2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 x14ac:dyDescent="0.25">
      <c r="A1" s="186" t="s">
        <v>38</v>
      </c>
      <c r="B1" s="187"/>
      <c r="C1" s="187"/>
      <c r="D1" s="188"/>
      <c r="E1" s="28"/>
      <c r="F1" s="28"/>
    </row>
    <row r="3" spans="1:6" x14ac:dyDescent="0.25">
      <c r="A3" s="189" t="s">
        <v>39</v>
      </c>
      <c r="B3" s="190"/>
      <c r="C3" s="190"/>
      <c r="D3" s="191"/>
    </row>
    <row r="4" spans="1:6" s="31" customFormat="1" ht="46.5" customHeight="1" x14ac:dyDescent="0.25">
      <c r="A4" s="29">
        <v>1</v>
      </c>
      <c r="B4" s="30" t="s">
        <v>40</v>
      </c>
      <c r="C4" s="192" t="s">
        <v>244</v>
      </c>
      <c r="D4" s="193"/>
    </row>
    <row r="5" spans="1:6" s="31" customFormat="1" x14ac:dyDescent="0.25">
      <c r="A5" s="29">
        <v>2</v>
      </c>
      <c r="B5" s="30" t="s">
        <v>41</v>
      </c>
      <c r="C5" s="194" t="s">
        <v>34</v>
      </c>
      <c r="D5" s="195"/>
    </row>
    <row r="6" spans="1:6" s="31" customFormat="1" x14ac:dyDescent="0.25">
      <c r="A6" s="29">
        <v>3</v>
      </c>
      <c r="B6" s="30" t="s">
        <v>42</v>
      </c>
      <c r="C6" s="196">
        <f>+Apresentacao!F21</f>
        <v>0</v>
      </c>
      <c r="D6" s="196"/>
    </row>
    <row r="7" spans="1:6" s="31" customFormat="1" ht="42.75" customHeight="1" x14ac:dyDescent="0.25">
      <c r="A7" s="29">
        <v>4</v>
      </c>
      <c r="B7" s="30" t="s">
        <v>43</v>
      </c>
      <c r="C7" s="184" t="s">
        <v>44</v>
      </c>
      <c r="D7" s="185"/>
    </row>
    <row r="8" spans="1:6" s="31" customFormat="1" x14ac:dyDescent="0.25">
      <c r="A8" s="29">
        <v>5</v>
      </c>
      <c r="B8" s="30" t="s">
        <v>45</v>
      </c>
      <c r="C8" s="199">
        <v>43524</v>
      </c>
      <c r="D8" s="195"/>
    </row>
    <row r="9" spans="1:6" x14ac:dyDescent="0.25">
      <c r="D9" s="32"/>
    </row>
    <row r="10" spans="1:6" x14ac:dyDescent="0.25">
      <c r="A10" s="197" t="s">
        <v>46</v>
      </c>
      <c r="B10" s="198"/>
      <c r="C10" s="198"/>
      <c r="D10" s="198"/>
    </row>
    <row r="11" spans="1:6" x14ac:dyDescent="0.25">
      <c r="A11" s="33">
        <v>1</v>
      </c>
      <c r="B11" s="34" t="s">
        <v>47</v>
      </c>
      <c r="C11" s="35" t="s">
        <v>48</v>
      </c>
      <c r="D11" s="36" t="s">
        <v>49</v>
      </c>
    </row>
    <row r="12" spans="1:6" x14ac:dyDescent="0.25">
      <c r="A12" s="2" t="s">
        <v>19</v>
      </c>
      <c r="B12" s="200" t="s">
        <v>50</v>
      </c>
      <c r="C12" s="200"/>
      <c r="D12" s="37">
        <f>+C6</f>
        <v>0</v>
      </c>
    </row>
    <row r="13" spans="1:6" x14ac:dyDescent="0.25">
      <c r="A13" s="2" t="s">
        <v>21</v>
      </c>
      <c r="B13" s="38" t="s">
        <v>51</v>
      </c>
      <c r="C13" s="39"/>
      <c r="D13" s="37"/>
      <c r="E13" s="40"/>
    </row>
    <row r="14" spans="1:6" x14ac:dyDescent="0.25">
      <c r="A14" s="2" t="s">
        <v>24</v>
      </c>
      <c r="B14" s="38" t="s">
        <v>52</v>
      </c>
      <c r="C14" s="39"/>
      <c r="D14" s="37">
        <f>+C14*D12</f>
        <v>0</v>
      </c>
    </row>
    <row r="15" spans="1:6" x14ac:dyDescent="0.25">
      <c r="A15" s="2" t="s">
        <v>26</v>
      </c>
      <c r="B15" s="200" t="s">
        <v>53</v>
      </c>
      <c r="C15" s="200"/>
      <c r="D15" s="37"/>
    </row>
    <row r="16" spans="1:6" x14ac:dyDescent="0.25">
      <c r="A16" s="2" t="s">
        <v>54</v>
      </c>
      <c r="B16" s="200" t="s">
        <v>55</v>
      </c>
      <c r="C16" s="200"/>
      <c r="D16" s="37"/>
    </row>
    <row r="17" spans="1:6" x14ac:dyDescent="0.25">
      <c r="A17" s="2" t="s">
        <v>56</v>
      </c>
      <c r="B17" s="201" t="s">
        <v>57</v>
      </c>
      <c r="C17" s="202"/>
      <c r="D17" s="37"/>
    </row>
    <row r="18" spans="1:6" x14ac:dyDescent="0.25">
      <c r="A18" s="2" t="s">
        <v>58</v>
      </c>
      <c r="B18" s="200" t="s">
        <v>59</v>
      </c>
      <c r="C18" s="200"/>
      <c r="D18" s="37"/>
    </row>
    <row r="19" spans="1:6" x14ac:dyDescent="0.25">
      <c r="A19" s="2" t="s">
        <v>60</v>
      </c>
      <c r="B19" s="201" t="s">
        <v>61</v>
      </c>
      <c r="C19" s="202"/>
      <c r="D19" s="41"/>
    </row>
    <row r="20" spans="1:6" x14ac:dyDescent="0.25">
      <c r="A20" s="2" t="s">
        <v>62</v>
      </c>
      <c r="B20" s="38" t="s">
        <v>63</v>
      </c>
      <c r="C20" s="39"/>
      <c r="D20" s="37"/>
    </row>
    <row r="21" spans="1:6" x14ac:dyDescent="0.25">
      <c r="A21" s="2" t="s">
        <v>64</v>
      </c>
      <c r="B21" s="200" t="s">
        <v>65</v>
      </c>
      <c r="C21" s="200"/>
      <c r="D21" s="42"/>
      <c r="F21" s="43"/>
    </row>
    <row r="22" spans="1:6" x14ac:dyDescent="0.25">
      <c r="A22" s="2" t="s">
        <v>66</v>
      </c>
      <c r="B22" s="200" t="s">
        <v>67</v>
      </c>
      <c r="C22" s="200"/>
      <c r="D22" s="42"/>
    </row>
    <row r="23" spans="1:6" x14ac:dyDescent="0.25">
      <c r="A23" s="203" t="s">
        <v>68</v>
      </c>
      <c r="B23" s="203"/>
      <c r="C23" s="203"/>
      <c r="D23" s="44">
        <f>SUM(D12:D22)</f>
        <v>0</v>
      </c>
    </row>
    <row r="25" spans="1:6" x14ac:dyDescent="0.25">
      <c r="A25" s="197" t="s">
        <v>69</v>
      </c>
      <c r="B25" s="198"/>
      <c r="C25" s="198"/>
      <c r="D25" s="198"/>
    </row>
    <row r="27" spans="1:6" x14ac:dyDescent="0.25">
      <c r="A27" s="197" t="s">
        <v>70</v>
      </c>
      <c r="B27" s="198"/>
      <c r="C27" s="198"/>
      <c r="D27" s="198"/>
    </row>
    <row r="28" spans="1:6" x14ac:dyDescent="0.25">
      <c r="A28" s="45" t="s">
        <v>71</v>
      </c>
      <c r="B28" s="46" t="s">
        <v>72</v>
      </c>
      <c r="C28" s="47" t="s">
        <v>48</v>
      </c>
      <c r="D28" s="48" t="s">
        <v>49</v>
      </c>
    </row>
    <row r="29" spans="1:6" x14ac:dyDescent="0.25">
      <c r="A29" s="2" t="s">
        <v>19</v>
      </c>
      <c r="B29" s="4" t="s">
        <v>73</v>
      </c>
      <c r="C29" s="49" t="e">
        <f>ROUND(+D29/$D$23,4)</f>
        <v>#DIV/0!</v>
      </c>
      <c r="D29" s="42">
        <f>ROUND(+D23/12,2)</f>
        <v>0</v>
      </c>
    </row>
    <row r="30" spans="1:6" x14ac:dyDescent="0.25">
      <c r="A30" s="50" t="s">
        <v>21</v>
      </c>
      <c r="B30" s="51" t="s">
        <v>74</v>
      </c>
      <c r="C30" s="52" t="e">
        <f>ROUND(+D30/$D$23,4)</f>
        <v>#DIV/0!</v>
      </c>
      <c r="D30" s="53">
        <f>+D31+D32</f>
        <v>0</v>
      </c>
    </row>
    <row r="31" spans="1:6" x14ac:dyDescent="0.25">
      <c r="A31" s="2" t="s">
        <v>75</v>
      </c>
      <c r="B31" s="54" t="s">
        <v>76</v>
      </c>
      <c r="C31" s="55" t="e">
        <f>ROUND(+D31/$D$23,4)</f>
        <v>#DIV/0!</v>
      </c>
      <c r="D31" s="56">
        <f>ROUND(+D23/12,2)</f>
        <v>0</v>
      </c>
    </row>
    <row r="32" spans="1:6" x14ac:dyDescent="0.25">
      <c r="A32" s="2" t="s">
        <v>77</v>
      </c>
      <c r="B32" s="54" t="s">
        <v>78</v>
      </c>
      <c r="C32" s="55" t="e">
        <f>ROUND(+D32/$D$23,4)</f>
        <v>#DIV/0!</v>
      </c>
      <c r="D32" s="56">
        <f>ROUND(+(D23*1/3)/12,2)</f>
        <v>0</v>
      </c>
    </row>
    <row r="33" spans="1:4" x14ac:dyDescent="0.25">
      <c r="A33" s="203" t="s">
        <v>68</v>
      </c>
      <c r="B33" s="203"/>
      <c r="C33" s="203"/>
      <c r="D33" s="44">
        <f>+D30+D29</f>
        <v>0</v>
      </c>
    </row>
    <row r="35" spans="1:4" ht="26.25" customHeight="1" x14ac:dyDescent="0.25">
      <c r="A35" s="205" t="s">
        <v>79</v>
      </c>
      <c r="B35" s="206"/>
      <c r="C35" s="206"/>
      <c r="D35" s="206"/>
    </row>
    <row r="36" spans="1:4" x14ac:dyDescent="0.25">
      <c r="A36" s="45" t="s">
        <v>80</v>
      </c>
      <c r="B36" s="57" t="s">
        <v>81</v>
      </c>
      <c r="C36" s="47" t="s">
        <v>48</v>
      </c>
      <c r="D36" s="48" t="s">
        <v>49</v>
      </c>
    </row>
    <row r="37" spans="1:4" x14ac:dyDescent="0.25">
      <c r="A37" s="2" t="s">
        <v>19</v>
      </c>
      <c r="B37" s="4" t="s">
        <v>82</v>
      </c>
      <c r="C37" s="58">
        <v>0.2</v>
      </c>
      <c r="D37" s="59">
        <f>ROUND(C37*($D$23+$D$33),2)</f>
        <v>0</v>
      </c>
    </row>
    <row r="38" spans="1:4" x14ac:dyDescent="0.25">
      <c r="A38" s="2" t="s">
        <v>21</v>
      </c>
      <c r="B38" s="4" t="s">
        <v>83</v>
      </c>
      <c r="C38" s="58">
        <v>2.5000000000000001E-2</v>
      </c>
      <c r="D38" s="59">
        <f>ROUND(C38*($D$23+$D$33),2)</f>
        <v>0</v>
      </c>
    </row>
    <row r="39" spans="1:4" x14ac:dyDescent="0.25">
      <c r="A39" s="2" t="s">
        <v>24</v>
      </c>
      <c r="B39" s="4" t="s">
        <v>84</v>
      </c>
      <c r="C39" s="58">
        <f>3%</f>
        <v>0.03</v>
      </c>
      <c r="D39" s="59">
        <f t="shared" ref="D39:D43" si="0">ROUND(C39*($D$23+$D$33),2)</f>
        <v>0</v>
      </c>
    </row>
    <row r="40" spans="1:4" x14ac:dyDescent="0.25">
      <c r="A40" s="2" t="s">
        <v>26</v>
      </c>
      <c r="B40" s="4" t="s">
        <v>85</v>
      </c>
      <c r="C40" s="58">
        <v>1.4999999999999999E-2</v>
      </c>
      <c r="D40" s="59">
        <f t="shared" si="0"/>
        <v>0</v>
      </c>
    </row>
    <row r="41" spans="1:4" x14ac:dyDescent="0.25">
      <c r="A41" s="2" t="s">
        <v>54</v>
      </c>
      <c r="B41" s="4" t="s">
        <v>86</v>
      </c>
      <c r="C41" s="58">
        <v>0.01</v>
      </c>
      <c r="D41" s="59">
        <f t="shared" si="0"/>
        <v>0</v>
      </c>
    </row>
    <row r="42" spans="1:4" x14ac:dyDescent="0.25">
      <c r="A42" s="2" t="s">
        <v>56</v>
      </c>
      <c r="B42" s="4" t="s">
        <v>87</v>
      </c>
      <c r="C42" s="58">
        <v>6.0000000000000001E-3</v>
      </c>
      <c r="D42" s="59">
        <f t="shared" si="0"/>
        <v>0</v>
      </c>
    </row>
    <row r="43" spans="1:4" x14ac:dyDescent="0.25">
      <c r="A43" s="2" t="s">
        <v>58</v>
      </c>
      <c r="B43" s="4" t="s">
        <v>88</v>
      </c>
      <c r="C43" s="58">
        <v>2E-3</v>
      </c>
      <c r="D43" s="59">
        <f t="shared" si="0"/>
        <v>0</v>
      </c>
    </row>
    <row r="44" spans="1:4" x14ac:dyDescent="0.25">
      <c r="A44" s="2" t="s">
        <v>60</v>
      </c>
      <c r="B44" s="4" t="s">
        <v>89</v>
      </c>
      <c r="C44" s="58">
        <v>0.08</v>
      </c>
      <c r="D44" s="59">
        <f>ROUND(C44*($D$23+$D$33),2)</f>
        <v>0</v>
      </c>
    </row>
    <row r="45" spans="1:4" x14ac:dyDescent="0.25">
      <c r="A45" s="60" t="s">
        <v>68</v>
      </c>
      <c r="B45" s="61"/>
      <c r="C45" s="62">
        <f>SUM(C37:C44)</f>
        <v>0.36800000000000005</v>
      </c>
      <c r="D45" s="63">
        <f>SUM(D37:D44)</f>
        <v>0</v>
      </c>
    </row>
    <row r="46" spans="1:4" x14ac:dyDescent="0.25">
      <c r="A46" s="64"/>
      <c r="B46" s="64"/>
      <c r="C46" s="64"/>
      <c r="D46" s="64"/>
    </row>
    <row r="47" spans="1:4" x14ac:dyDescent="0.25">
      <c r="A47" s="205" t="s">
        <v>90</v>
      </c>
      <c r="B47" s="206"/>
      <c r="C47" s="206"/>
      <c r="D47" s="206"/>
    </row>
    <row r="48" spans="1:4" x14ac:dyDescent="0.25">
      <c r="A48" s="45" t="s">
        <v>91</v>
      </c>
      <c r="B48" s="57" t="s">
        <v>92</v>
      </c>
      <c r="C48" s="47"/>
      <c r="D48" s="48" t="s">
        <v>49</v>
      </c>
    </row>
    <row r="49" spans="1:6" x14ac:dyDescent="0.25">
      <c r="A49" s="65" t="s">
        <v>19</v>
      </c>
      <c r="B49" s="4" t="s">
        <v>93</v>
      </c>
      <c r="C49" s="66"/>
      <c r="D49" s="59">
        <f>+'Men Cal Aux Processamento'!C16</f>
        <v>0</v>
      </c>
    </row>
    <row r="50" spans="1:6" s="70" customFormat="1" x14ac:dyDescent="0.25">
      <c r="A50" s="67" t="s">
        <v>94</v>
      </c>
      <c r="B50" s="68" t="s">
        <v>95</v>
      </c>
      <c r="C50" s="49">
        <f>+$C$135+$C$136</f>
        <v>9.2499999999999999E-2</v>
      </c>
      <c r="D50" s="69">
        <f>+(C50*D49)*-1</f>
        <v>0</v>
      </c>
      <c r="F50" s="71"/>
    </row>
    <row r="51" spans="1:6" x14ac:dyDescent="0.25">
      <c r="A51" s="65" t="s">
        <v>21</v>
      </c>
      <c r="B51" s="4" t="s">
        <v>96</v>
      </c>
      <c r="C51" s="66"/>
      <c r="D51" s="59">
        <f>+'Men Cal Aux Processamento'!C25</f>
        <v>0</v>
      </c>
      <c r="F51" s="3"/>
    </row>
    <row r="52" spans="1:6" s="70" customFormat="1" x14ac:dyDescent="0.25">
      <c r="A52" s="67" t="s">
        <v>75</v>
      </c>
      <c r="B52" s="68" t="s">
        <v>95</v>
      </c>
      <c r="C52" s="49">
        <f>+$C$135+$C$136</f>
        <v>9.2499999999999999E-2</v>
      </c>
      <c r="D52" s="69">
        <f>+(C52*D51)*-1</f>
        <v>0</v>
      </c>
      <c r="F52" s="72"/>
    </row>
    <row r="53" spans="1:6" x14ac:dyDescent="0.25">
      <c r="A53" s="107" t="s">
        <v>24</v>
      </c>
      <c r="B53" s="107" t="s">
        <v>97</v>
      </c>
      <c r="C53" s="66"/>
      <c r="D53" s="129"/>
      <c r="F53" s="3"/>
    </row>
    <row r="54" spans="1:6" x14ac:dyDescent="0.25">
      <c r="A54" s="67" t="s">
        <v>98</v>
      </c>
      <c r="B54" s="68" t="s">
        <v>95</v>
      </c>
      <c r="C54" s="49">
        <f>+$C$135+$C$136</f>
        <v>9.2499999999999999E-2</v>
      </c>
      <c r="D54" s="69">
        <f>+(C54*D53)*-1</f>
        <v>0</v>
      </c>
      <c r="F54" s="3"/>
    </row>
    <row r="55" spans="1:6" x14ac:dyDescent="0.25">
      <c r="A55" s="107" t="s">
        <v>26</v>
      </c>
      <c r="B55" s="107" t="s">
        <v>266</v>
      </c>
      <c r="C55" s="66"/>
      <c r="D55" s="129"/>
      <c r="F55" s="3"/>
    </row>
    <row r="56" spans="1:6" x14ac:dyDescent="0.25">
      <c r="A56" s="67" t="s">
        <v>99</v>
      </c>
      <c r="B56" s="68" t="s">
        <v>95</v>
      </c>
      <c r="C56" s="49">
        <f>+$C$135+$C$136</f>
        <v>9.2499999999999999E-2</v>
      </c>
      <c r="D56" s="69">
        <f>+(C56*D55)*-1</f>
        <v>0</v>
      </c>
      <c r="F56" s="3"/>
    </row>
    <row r="57" spans="1:6" ht="30" x14ac:dyDescent="0.25">
      <c r="A57" s="107" t="s">
        <v>54</v>
      </c>
      <c r="B57" s="130" t="s">
        <v>267</v>
      </c>
      <c r="C57" s="66"/>
      <c r="D57" s="131"/>
      <c r="F57" s="73"/>
    </row>
    <row r="58" spans="1:6" x14ac:dyDescent="0.25">
      <c r="A58" s="67" t="s">
        <v>100</v>
      </c>
      <c r="B58" s="68" t="s">
        <v>95</v>
      </c>
      <c r="C58" s="49">
        <f>+$C$135+$C$136</f>
        <v>9.2499999999999999E-2</v>
      </c>
      <c r="D58" s="69">
        <f>+(C58*D57)*-1</f>
        <v>0</v>
      </c>
    </row>
    <row r="59" spans="1:6" x14ac:dyDescent="0.25">
      <c r="A59" s="107" t="s">
        <v>56</v>
      </c>
      <c r="B59" s="207" t="s">
        <v>101</v>
      </c>
      <c r="C59" s="207"/>
      <c r="D59" s="129"/>
    </row>
    <row r="60" spans="1:6" x14ac:dyDescent="0.25">
      <c r="A60" s="67" t="s">
        <v>102</v>
      </c>
      <c r="B60" s="68" t="s">
        <v>95</v>
      </c>
      <c r="C60" s="49">
        <f>+$C$135+$C$136</f>
        <v>9.2499999999999999E-2</v>
      </c>
      <c r="D60" s="69">
        <f>+(C60*D59)*-1</f>
        <v>0</v>
      </c>
    </row>
    <row r="61" spans="1:6" x14ac:dyDescent="0.25">
      <c r="A61" s="189" t="s">
        <v>68</v>
      </c>
      <c r="B61" s="191"/>
      <c r="C61" s="74"/>
      <c r="D61" s="75">
        <f>SUM(D49:D60)</f>
        <v>0</v>
      </c>
    </row>
    <row r="63" spans="1:6" x14ac:dyDescent="0.25">
      <c r="A63" s="197" t="s">
        <v>103</v>
      </c>
      <c r="B63" s="198"/>
      <c r="C63" s="198"/>
      <c r="D63" s="198"/>
    </row>
    <row r="64" spans="1:6" x14ac:dyDescent="0.25">
      <c r="A64" s="76">
        <v>2</v>
      </c>
      <c r="B64" s="204" t="s">
        <v>104</v>
      </c>
      <c r="C64" s="204"/>
      <c r="D64" s="77" t="s">
        <v>49</v>
      </c>
    </row>
    <row r="65" spans="1:4" x14ac:dyDescent="0.25">
      <c r="A65" s="78" t="s">
        <v>71</v>
      </c>
      <c r="B65" s="208" t="s">
        <v>72</v>
      </c>
      <c r="C65" s="208"/>
      <c r="D65" s="59">
        <f>+D33</f>
        <v>0</v>
      </c>
    </row>
    <row r="66" spans="1:4" x14ac:dyDescent="0.25">
      <c r="A66" s="78" t="s">
        <v>80</v>
      </c>
      <c r="B66" s="208" t="s">
        <v>81</v>
      </c>
      <c r="C66" s="208"/>
      <c r="D66" s="59">
        <f>+D45</f>
        <v>0</v>
      </c>
    </row>
    <row r="67" spans="1:4" x14ac:dyDescent="0.25">
      <c r="A67" s="78" t="s">
        <v>91</v>
      </c>
      <c r="B67" s="208" t="s">
        <v>92</v>
      </c>
      <c r="C67" s="208"/>
      <c r="D67" s="79">
        <f>+D61</f>
        <v>0</v>
      </c>
    </row>
    <row r="68" spans="1:4" x14ac:dyDescent="0.25">
      <c r="A68" s="204" t="s">
        <v>68</v>
      </c>
      <c r="B68" s="204"/>
      <c r="C68" s="204"/>
      <c r="D68" s="80">
        <f>SUM(D65:D67)</f>
        <v>0</v>
      </c>
    </row>
    <row r="70" spans="1:4" x14ac:dyDescent="0.25">
      <c r="A70" s="197" t="s">
        <v>105</v>
      </c>
      <c r="B70" s="198"/>
      <c r="C70" s="198"/>
      <c r="D70" s="198"/>
    </row>
    <row r="72" spans="1:4" x14ac:dyDescent="0.25">
      <c r="A72" s="81">
        <v>3</v>
      </c>
      <c r="B72" s="46" t="s">
        <v>106</v>
      </c>
      <c r="C72" s="35" t="s">
        <v>48</v>
      </c>
      <c r="D72" s="35" t="s">
        <v>49</v>
      </c>
    </row>
    <row r="73" spans="1:4" x14ac:dyDescent="0.25">
      <c r="A73" s="2" t="s">
        <v>19</v>
      </c>
      <c r="B73" s="68" t="s">
        <v>107</v>
      </c>
      <c r="C73" s="49" t="e">
        <f>+D73/$D$23</f>
        <v>#DIV/0!</v>
      </c>
      <c r="D73" s="82">
        <f>+'Men Cal Aux Processamento'!C31</f>
        <v>0</v>
      </c>
    </row>
    <row r="74" spans="1:4" x14ac:dyDescent="0.25">
      <c r="A74" s="2" t="s">
        <v>21</v>
      </c>
      <c r="B74" s="4" t="s">
        <v>108</v>
      </c>
      <c r="C74" s="83"/>
      <c r="D74" s="42">
        <f>ROUND(+D73*$C$44,2)</f>
        <v>0</v>
      </c>
    </row>
    <row r="75" spans="1:4" ht="30" x14ac:dyDescent="0.25">
      <c r="A75" s="2" t="s">
        <v>24</v>
      </c>
      <c r="B75" s="84" t="s">
        <v>109</v>
      </c>
      <c r="C75" s="58" t="e">
        <f>+D75/$D$23</f>
        <v>#DIV/0!</v>
      </c>
      <c r="D75" s="42">
        <f>+'Men Cal Aux Processamento'!C45</f>
        <v>0</v>
      </c>
    </row>
    <row r="76" spans="1:4" x14ac:dyDescent="0.25">
      <c r="A76" s="85" t="s">
        <v>26</v>
      </c>
      <c r="B76" s="4" t="s">
        <v>110</v>
      </c>
      <c r="C76" s="58" t="e">
        <f>+D76/$D$23</f>
        <v>#DIV/0!</v>
      </c>
      <c r="D76" s="42">
        <f>+'Men Cal Aux Processamento'!C53</f>
        <v>0</v>
      </c>
    </row>
    <row r="77" spans="1:4" ht="30" x14ac:dyDescent="0.25">
      <c r="A77" s="85" t="s">
        <v>54</v>
      </c>
      <c r="B77" s="84" t="s">
        <v>111</v>
      </c>
      <c r="C77" s="83"/>
      <c r="D77" s="86"/>
    </row>
    <row r="78" spans="1:4" ht="30" x14ac:dyDescent="0.25">
      <c r="A78" s="85" t="s">
        <v>56</v>
      </c>
      <c r="B78" s="84" t="s">
        <v>112</v>
      </c>
      <c r="C78" s="58" t="e">
        <f>+D78/$D$23</f>
        <v>#DIV/0!</v>
      </c>
      <c r="D78" s="59">
        <f>+'Men Cal Aux Processamento'!C67</f>
        <v>0</v>
      </c>
    </row>
    <row r="79" spans="1:4" x14ac:dyDescent="0.25">
      <c r="A79" s="189" t="s">
        <v>68</v>
      </c>
      <c r="B79" s="190"/>
      <c r="C79" s="191"/>
      <c r="D79" s="87">
        <f>SUM(D73:D78)</f>
        <v>0</v>
      </c>
    </row>
    <row r="81" spans="1:4" x14ac:dyDescent="0.25">
      <c r="A81" s="197" t="s">
        <v>113</v>
      </c>
      <c r="B81" s="198"/>
      <c r="C81" s="198"/>
      <c r="D81" s="198"/>
    </row>
    <row r="83" spans="1:4" x14ac:dyDescent="0.25">
      <c r="A83" s="211" t="s">
        <v>114</v>
      </c>
      <c r="B83" s="211"/>
      <c r="C83" s="211"/>
      <c r="D83" s="211"/>
    </row>
    <row r="84" spans="1:4" x14ac:dyDescent="0.25">
      <c r="A84" s="81" t="s">
        <v>115</v>
      </c>
      <c r="B84" s="189" t="s">
        <v>116</v>
      </c>
      <c r="C84" s="191"/>
      <c r="D84" s="35" t="s">
        <v>49</v>
      </c>
    </row>
    <row r="85" spans="1:4" x14ac:dyDescent="0.25">
      <c r="A85" s="4" t="s">
        <v>19</v>
      </c>
      <c r="B85" s="209" t="s">
        <v>117</v>
      </c>
      <c r="C85" s="210"/>
      <c r="D85" s="42"/>
    </row>
    <row r="86" spans="1:4" x14ac:dyDescent="0.25">
      <c r="A86" s="68" t="s">
        <v>21</v>
      </c>
      <c r="B86" s="212" t="s">
        <v>116</v>
      </c>
      <c r="C86" s="213"/>
      <c r="D86" s="88">
        <f>+'Men Cal Aux Processamento'!C80</f>
        <v>0</v>
      </c>
    </row>
    <row r="87" spans="1:4" s="70" customFormat="1" x14ac:dyDescent="0.25">
      <c r="A87" s="68" t="s">
        <v>24</v>
      </c>
      <c r="B87" s="212" t="s">
        <v>118</v>
      </c>
      <c r="C87" s="213"/>
      <c r="D87" s="88">
        <f>+'Men Cal Aux Processamento'!C89</f>
        <v>0</v>
      </c>
    </row>
    <row r="88" spans="1:4" s="70" customFormat="1" x14ac:dyDescent="0.25">
      <c r="A88" s="68" t="s">
        <v>26</v>
      </c>
      <c r="B88" s="212" t="s">
        <v>119</v>
      </c>
      <c r="C88" s="213"/>
      <c r="D88" s="88">
        <f>+'Men Cal Aux Processamento'!C97</f>
        <v>0</v>
      </c>
    </row>
    <row r="89" spans="1:4" s="70" customFormat="1" x14ac:dyDescent="0.25">
      <c r="A89" s="68" t="s">
        <v>54</v>
      </c>
      <c r="B89" s="212" t="s">
        <v>120</v>
      </c>
      <c r="C89" s="213"/>
      <c r="D89" s="88"/>
    </row>
    <row r="90" spans="1:4" s="70" customFormat="1" x14ac:dyDescent="0.25">
      <c r="A90" s="68" t="s">
        <v>56</v>
      </c>
      <c r="B90" s="212" t="s">
        <v>121</v>
      </c>
      <c r="C90" s="213"/>
      <c r="D90" s="88">
        <f>+'Men Cal Aux Processamento'!C105</f>
        <v>0</v>
      </c>
    </row>
    <row r="91" spans="1:4" x14ac:dyDescent="0.25">
      <c r="A91" s="4" t="s">
        <v>58</v>
      </c>
      <c r="B91" s="209" t="s">
        <v>67</v>
      </c>
      <c r="C91" s="210"/>
      <c r="D91" s="42"/>
    </row>
    <row r="92" spans="1:4" x14ac:dyDescent="0.25">
      <c r="A92" s="4" t="s">
        <v>60</v>
      </c>
      <c r="B92" s="209" t="s">
        <v>122</v>
      </c>
      <c r="C92" s="210"/>
      <c r="D92" s="86"/>
    </row>
    <row r="93" spans="1:4" x14ac:dyDescent="0.25">
      <c r="A93" s="203" t="s">
        <v>68</v>
      </c>
      <c r="B93" s="203"/>
      <c r="C93" s="203"/>
      <c r="D93" s="44">
        <f>SUM(D85:D92)</f>
        <v>0</v>
      </c>
    </row>
    <row r="94" spans="1:4" x14ac:dyDescent="0.25">
      <c r="D94" s="89"/>
    </row>
    <row r="95" spans="1:4" x14ac:dyDescent="0.25">
      <c r="A95" s="81" t="s">
        <v>123</v>
      </c>
      <c r="B95" s="189" t="s">
        <v>124</v>
      </c>
      <c r="C95" s="191"/>
      <c r="D95" s="35" t="s">
        <v>49</v>
      </c>
    </row>
    <row r="96" spans="1:4" s="70" customFormat="1" x14ac:dyDescent="0.25">
      <c r="A96" s="68" t="s">
        <v>19</v>
      </c>
      <c r="B96" s="214" t="s">
        <v>125</v>
      </c>
      <c r="C96" s="215"/>
      <c r="D96" s="88">
        <f>+'Men Cal Aux Processamento'!C116</f>
        <v>0</v>
      </c>
    </row>
    <row r="97" spans="1:4" s="70" customFormat="1" ht="28.5" customHeight="1" x14ac:dyDescent="0.25">
      <c r="A97" s="68" t="s">
        <v>21</v>
      </c>
      <c r="B97" s="216" t="s">
        <v>126</v>
      </c>
      <c r="C97" s="217"/>
      <c r="D97" s="86"/>
    </row>
    <row r="98" spans="1:4" s="70" customFormat="1" ht="31.5" customHeight="1" x14ac:dyDescent="0.25">
      <c r="A98" s="68" t="s">
        <v>24</v>
      </c>
      <c r="B98" s="216" t="s">
        <v>127</v>
      </c>
      <c r="C98" s="217"/>
      <c r="D98" s="86"/>
    </row>
    <row r="99" spans="1:4" x14ac:dyDescent="0.25">
      <c r="A99" s="4" t="s">
        <v>26</v>
      </c>
      <c r="B99" s="209" t="s">
        <v>67</v>
      </c>
      <c r="C99" s="210"/>
      <c r="D99" s="42"/>
    </row>
    <row r="100" spans="1:4" x14ac:dyDescent="0.25">
      <c r="A100" s="203" t="s">
        <v>68</v>
      </c>
      <c r="B100" s="203"/>
      <c r="C100" s="203"/>
      <c r="D100" s="44">
        <f>SUM(D96:D99)</f>
        <v>0</v>
      </c>
    </row>
    <row r="101" spans="1:4" x14ac:dyDescent="0.25">
      <c r="D101" s="89"/>
    </row>
    <row r="102" spans="1:4" x14ac:dyDescent="0.25">
      <c r="A102" s="81" t="s">
        <v>128</v>
      </c>
      <c r="B102" s="203" t="s">
        <v>129</v>
      </c>
      <c r="C102" s="203"/>
      <c r="D102" s="35" t="s">
        <v>49</v>
      </c>
    </row>
    <row r="103" spans="1:4" s="1" customFormat="1" x14ac:dyDescent="0.25">
      <c r="A103" s="85" t="s">
        <v>19</v>
      </c>
      <c r="B103" s="218" t="s">
        <v>130</v>
      </c>
      <c r="C103" s="218"/>
      <c r="D103" s="90"/>
    </row>
    <row r="104" spans="1:4" x14ac:dyDescent="0.25">
      <c r="A104" s="203" t="s">
        <v>68</v>
      </c>
      <c r="B104" s="203"/>
      <c r="C104" s="203"/>
      <c r="D104" s="44">
        <f>SUM(D103:D103)</f>
        <v>0</v>
      </c>
    </row>
    <row r="106" spans="1:4" x14ac:dyDescent="0.25">
      <c r="A106" s="91" t="s">
        <v>131</v>
      </c>
      <c r="B106" s="91"/>
      <c r="C106" s="91"/>
      <c r="D106" s="91"/>
    </row>
    <row r="107" spans="1:4" x14ac:dyDescent="0.25">
      <c r="A107" s="4" t="s">
        <v>115</v>
      </c>
      <c r="B107" s="209" t="s">
        <v>116</v>
      </c>
      <c r="C107" s="210"/>
      <c r="D107" s="59">
        <f>+D93</f>
        <v>0</v>
      </c>
    </row>
    <row r="108" spans="1:4" x14ac:dyDescent="0.25">
      <c r="A108" s="4" t="s">
        <v>123</v>
      </c>
      <c r="B108" s="209" t="s">
        <v>124</v>
      </c>
      <c r="C108" s="210"/>
      <c r="D108" s="59">
        <f>+D100</f>
        <v>0</v>
      </c>
    </row>
    <row r="109" spans="1:4" x14ac:dyDescent="0.25">
      <c r="A109" s="92"/>
      <c r="B109" s="219" t="s">
        <v>132</v>
      </c>
      <c r="C109" s="220"/>
      <c r="D109" s="93">
        <f>+D108+D107</f>
        <v>0</v>
      </c>
    </row>
    <row r="110" spans="1:4" x14ac:dyDescent="0.25">
      <c r="A110" s="4" t="s">
        <v>128</v>
      </c>
      <c r="B110" s="209" t="s">
        <v>129</v>
      </c>
      <c r="C110" s="210"/>
      <c r="D110" s="59">
        <f>+D104</f>
        <v>0</v>
      </c>
    </row>
    <row r="111" spans="1:4" x14ac:dyDescent="0.25">
      <c r="A111" s="221" t="s">
        <v>68</v>
      </c>
      <c r="B111" s="221"/>
      <c r="C111" s="221"/>
      <c r="D111" s="94">
        <f>+D110+D109</f>
        <v>0</v>
      </c>
    </row>
    <row r="113" spans="1:4" x14ac:dyDescent="0.25">
      <c r="A113" s="197" t="s">
        <v>133</v>
      </c>
      <c r="B113" s="198"/>
      <c r="C113" s="198"/>
      <c r="D113" s="198"/>
    </row>
    <row r="115" spans="1:4" x14ac:dyDescent="0.25">
      <c r="A115" s="81">
        <v>5</v>
      </c>
      <c r="B115" s="189" t="s">
        <v>134</v>
      </c>
      <c r="C115" s="191"/>
      <c r="D115" s="35" t="s">
        <v>49</v>
      </c>
    </row>
    <row r="116" spans="1:4" x14ac:dyDescent="0.25">
      <c r="A116" s="4" t="s">
        <v>19</v>
      </c>
      <c r="B116" s="200" t="s">
        <v>135</v>
      </c>
      <c r="C116" s="200"/>
      <c r="D116" s="42">
        <f>+Uniforme!F7</f>
        <v>0</v>
      </c>
    </row>
    <row r="117" spans="1:4" x14ac:dyDescent="0.25">
      <c r="A117" s="4" t="s">
        <v>94</v>
      </c>
      <c r="B117" s="68" t="s">
        <v>95</v>
      </c>
      <c r="C117" s="49">
        <f>+$C$135+$C$136</f>
        <v>9.2499999999999999E-2</v>
      </c>
      <c r="D117" s="69">
        <f>+(C117*D116)*-1</f>
        <v>0</v>
      </c>
    </row>
    <row r="118" spans="1:4" x14ac:dyDescent="0.25">
      <c r="A118" s="4" t="s">
        <v>21</v>
      </c>
      <c r="B118" s="200" t="s">
        <v>136</v>
      </c>
      <c r="C118" s="200"/>
      <c r="D118" s="42"/>
    </row>
    <row r="119" spans="1:4" x14ac:dyDescent="0.25">
      <c r="A119" s="4" t="s">
        <v>75</v>
      </c>
      <c r="B119" s="68" t="s">
        <v>95</v>
      </c>
      <c r="C119" s="49">
        <f>+$C$135+$C$136</f>
        <v>9.2499999999999999E-2</v>
      </c>
      <c r="D119" s="69">
        <f>+(C119*D118)*-1</f>
        <v>0</v>
      </c>
    </row>
    <row r="120" spans="1:4" x14ac:dyDescent="0.25">
      <c r="A120" s="4" t="s">
        <v>24</v>
      </c>
      <c r="B120" s="200" t="s">
        <v>137</v>
      </c>
      <c r="C120" s="200"/>
      <c r="D120" s="42"/>
    </row>
    <row r="121" spans="1:4" x14ac:dyDescent="0.25">
      <c r="A121" s="4" t="s">
        <v>98</v>
      </c>
      <c r="B121" s="68" t="s">
        <v>95</v>
      </c>
      <c r="C121" s="49">
        <f>+$C$135+$C$136</f>
        <v>9.2499999999999999E-2</v>
      </c>
      <c r="D121" s="69">
        <f>+(C121*D120)*-1</f>
        <v>0</v>
      </c>
    </row>
    <row r="122" spans="1:4" x14ac:dyDescent="0.25">
      <c r="A122" s="4" t="s">
        <v>26</v>
      </c>
      <c r="B122" s="200" t="s">
        <v>67</v>
      </c>
      <c r="C122" s="200"/>
      <c r="D122" s="42"/>
    </row>
    <row r="123" spans="1:4" x14ac:dyDescent="0.25">
      <c r="A123" s="4" t="s">
        <v>99</v>
      </c>
      <c r="B123" s="68" t="s">
        <v>95</v>
      </c>
      <c r="C123" s="49">
        <f>+$C$135+$C$136</f>
        <v>9.2499999999999999E-2</v>
      </c>
      <c r="D123" s="69">
        <f>+(C123*D122)*-1</f>
        <v>0</v>
      </c>
    </row>
    <row r="124" spans="1:4" x14ac:dyDescent="0.25">
      <c r="A124" s="203" t="s">
        <v>68</v>
      </c>
      <c r="B124" s="203"/>
      <c r="C124" s="203"/>
      <c r="D124" s="44">
        <f>SUM(D116:D122)</f>
        <v>0</v>
      </c>
    </row>
    <row r="126" spans="1:4" x14ac:dyDescent="0.25">
      <c r="A126" s="197" t="s">
        <v>138</v>
      </c>
      <c r="B126" s="198"/>
      <c r="C126" s="198"/>
      <c r="D126" s="198"/>
    </row>
    <row r="128" spans="1:4" x14ac:dyDescent="0.25">
      <c r="A128" s="81">
        <v>6</v>
      </c>
      <c r="B128" s="46" t="s">
        <v>139</v>
      </c>
      <c r="C128" s="95" t="s">
        <v>48</v>
      </c>
      <c r="D128" s="35" t="s">
        <v>49</v>
      </c>
    </row>
    <row r="129" spans="1:7" x14ac:dyDescent="0.25">
      <c r="A129" s="107" t="s">
        <v>19</v>
      </c>
      <c r="B129" s="107" t="s">
        <v>140</v>
      </c>
      <c r="C129" s="126">
        <v>0.03</v>
      </c>
      <c r="D129" s="129">
        <f>($D$124+$D$111+$D$79+$D$68+$D$23)*C129</f>
        <v>0</v>
      </c>
    </row>
    <row r="130" spans="1:7" x14ac:dyDescent="0.25">
      <c r="A130" s="107" t="s">
        <v>21</v>
      </c>
      <c r="B130" s="107" t="s">
        <v>141</v>
      </c>
      <c r="C130" s="126">
        <v>0.03</v>
      </c>
      <c r="D130" s="129">
        <f>($D$124+$D$111+$D$79+$D$68+$D$23+D129)*C130</f>
        <v>0</v>
      </c>
    </row>
    <row r="131" spans="1:7" s="97" customFormat="1" ht="12.75" x14ac:dyDescent="0.25">
      <c r="A131" s="223" t="s">
        <v>142</v>
      </c>
      <c r="B131" s="224"/>
      <c r="C131" s="225"/>
      <c r="D131" s="96">
        <f>++D130+D129+D124+D111+D79+D68+D23</f>
        <v>0</v>
      </c>
    </row>
    <row r="132" spans="1:7" s="97" customFormat="1" ht="33" customHeight="1" x14ac:dyDescent="0.25">
      <c r="A132" s="226" t="s">
        <v>143</v>
      </c>
      <c r="B132" s="227"/>
      <c r="C132" s="228"/>
      <c r="D132" s="96">
        <f>ROUND(D131/(1-(C135+C136+C138+C140+C141)),2)</f>
        <v>0</v>
      </c>
    </row>
    <row r="133" spans="1:7" x14ac:dyDescent="0.25">
      <c r="A133" s="4" t="s">
        <v>24</v>
      </c>
      <c r="B133" s="4" t="s">
        <v>144</v>
      </c>
      <c r="C133" s="58"/>
      <c r="D133" s="4"/>
    </row>
    <row r="134" spans="1:7" x14ac:dyDescent="0.25">
      <c r="A134" s="4" t="s">
        <v>98</v>
      </c>
      <c r="B134" s="4" t="s">
        <v>145</v>
      </c>
      <c r="C134" s="58"/>
      <c r="D134" s="4"/>
    </row>
    <row r="135" spans="1:7" x14ac:dyDescent="0.25">
      <c r="A135" s="107" t="s">
        <v>146</v>
      </c>
      <c r="B135" s="107" t="s">
        <v>147</v>
      </c>
      <c r="C135" s="126">
        <v>1.6500000000000001E-2</v>
      </c>
      <c r="D135" s="129">
        <f>ROUND(C135*$D$132,2)</f>
        <v>0</v>
      </c>
      <c r="G135" s="98"/>
    </row>
    <row r="136" spans="1:7" x14ac:dyDescent="0.25">
      <c r="A136" s="107" t="s">
        <v>148</v>
      </c>
      <c r="B136" s="107" t="s">
        <v>149</v>
      </c>
      <c r="C136" s="126">
        <v>7.5999999999999998E-2</v>
      </c>
      <c r="D136" s="129">
        <f>ROUND(C136*$D$132,2)</f>
        <v>0</v>
      </c>
      <c r="G136" s="98"/>
    </row>
    <row r="137" spans="1:7" x14ac:dyDescent="0.25">
      <c r="A137" s="4" t="s">
        <v>150</v>
      </c>
      <c r="B137" s="4" t="s">
        <v>151</v>
      </c>
      <c r="C137" s="58"/>
      <c r="D137" s="59"/>
      <c r="G137" s="98"/>
    </row>
    <row r="138" spans="1:7" x14ac:dyDescent="0.25">
      <c r="A138" s="4" t="s">
        <v>152</v>
      </c>
      <c r="B138" s="4" t="s">
        <v>153</v>
      </c>
      <c r="C138" s="58"/>
      <c r="D138" s="4"/>
      <c r="G138" s="98"/>
    </row>
    <row r="139" spans="1:7" x14ac:dyDescent="0.25">
      <c r="A139" s="4" t="s">
        <v>154</v>
      </c>
      <c r="B139" s="4" t="s">
        <v>155</v>
      </c>
      <c r="C139" s="58"/>
      <c r="D139" s="4"/>
    </row>
    <row r="140" spans="1:7" x14ac:dyDescent="0.25">
      <c r="A140" s="107" t="s">
        <v>156</v>
      </c>
      <c r="B140" s="107" t="s">
        <v>157</v>
      </c>
      <c r="C140" s="126">
        <v>0.05</v>
      </c>
      <c r="D140" s="129">
        <f>ROUND(C140*$D$132,2)</f>
        <v>0</v>
      </c>
    </row>
    <row r="141" spans="1:7" x14ac:dyDescent="0.25">
      <c r="A141" s="4" t="s">
        <v>158</v>
      </c>
      <c r="B141" s="4" t="s">
        <v>159</v>
      </c>
      <c r="C141" s="58"/>
      <c r="D141" s="4"/>
    </row>
    <row r="142" spans="1:7" x14ac:dyDescent="0.25">
      <c r="A142" s="189" t="s">
        <v>68</v>
      </c>
      <c r="B142" s="190"/>
      <c r="C142" s="99">
        <f>+C141+C140+C138+C136+C135+C130+C129</f>
        <v>0.20250000000000001</v>
      </c>
      <c r="D142" s="44">
        <f>+D140+D138+D136+D135+D130+D129</f>
        <v>0</v>
      </c>
    </row>
    <row r="144" spans="1:7" x14ac:dyDescent="0.25">
      <c r="A144" s="229" t="s">
        <v>160</v>
      </c>
      <c r="B144" s="229"/>
      <c r="C144" s="229"/>
      <c r="D144" s="229"/>
    </row>
    <row r="145" spans="1:5" x14ac:dyDescent="0.25">
      <c r="A145" s="4" t="s">
        <v>19</v>
      </c>
      <c r="B145" s="230" t="s">
        <v>161</v>
      </c>
      <c r="C145" s="230"/>
      <c r="D145" s="42">
        <f>+D23</f>
        <v>0</v>
      </c>
    </row>
    <row r="146" spans="1:5" x14ac:dyDescent="0.25">
      <c r="A146" s="4" t="s">
        <v>162</v>
      </c>
      <c r="B146" s="230" t="s">
        <v>163</v>
      </c>
      <c r="C146" s="230"/>
      <c r="D146" s="42">
        <f>+D68</f>
        <v>0</v>
      </c>
    </row>
    <row r="147" spans="1:5" x14ac:dyDescent="0.25">
      <c r="A147" s="4" t="s">
        <v>24</v>
      </c>
      <c r="B147" s="230" t="s">
        <v>164</v>
      </c>
      <c r="C147" s="230"/>
      <c r="D147" s="42">
        <f>+D79</f>
        <v>0</v>
      </c>
    </row>
    <row r="148" spans="1:5" x14ac:dyDescent="0.25">
      <c r="A148" s="4" t="s">
        <v>26</v>
      </c>
      <c r="B148" s="230" t="s">
        <v>165</v>
      </c>
      <c r="C148" s="230"/>
      <c r="D148" s="42">
        <f>+D111</f>
        <v>0</v>
      </c>
    </row>
    <row r="149" spans="1:5" x14ac:dyDescent="0.25">
      <c r="A149" s="4" t="s">
        <v>54</v>
      </c>
      <c r="B149" s="230" t="s">
        <v>166</v>
      </c>
      <c r="C149" s="230"/>
      <c r="D149" s="42">
        <f>+D124</f>
        <v>0</v>
      </c>
    </row>
    <row r="150" spans="1:5" x14ac:dyDescent="0.25">
      <c r="B150" s="231" t="s">
        <v>167</v>
      </c>
      <c r="C150" s="231"/>
      <c r="D150" s="100">
        <f>SUM(D145:D149)</f>
        <v>0</v>
      </c>
    </row>
    <row r="151" spans="1:5" x14ac:dyDescent="0.25">
      <c r="A151" s="4" t="s">
        <v>56</v>
      </c>
      <c r="B151" s="230" t="s">
        <v>168</v>
      </c>
      <c r="C151" s="230"/>
      <c r="D151" s="42">
        <f>+D142</f>
        <v>0</v>
      </c>
    </row>
    <row r="153" spans="1:5" x14ac:dyDescent="0.25">
      <c r="A153" s="222" t="s">
        <v>169</v>
      </c>
      <c r="B153" s="222"/>
      <c r="C153" s="222"/>
      <c r="D153" s="101">
        <f>ROUND(+D151+D150,2)</f>
        <v>0</v>
      </c>
    </row>
    <row r="155" spans="1:5" x14ac:dyDescent="0.25">
      <c r="B155" s="103"/>
      <c r="C155" s="103"/>
      <c r="D155" s="103"/>
    </row>
    <row r="156" spans="1:5" x14ac:dyDescent="0.25">
      <c r="A156" s="104"/>
      <c r="B156" s="104"/>
      <c r="C156" s="104"/>
      <c r="D156" s="104"/>
      <c r="E156" s="104"/>
    </row>
    <row r="157" spans="1:5" x14ac:dyDescent="0.25">
      <c r="A157" s="104"/>
      <c r="B157" s="104"/>
      <c r="C157" s="104"/>
      <c r="D157" s="104"/>
      <c r="E157" s="104"/>
    </row>
    <row r="158" spans="1:5" x14ac:dyDescent="0.25">
      <c r="A158" s="104"/>
      <c r="B158" s="104"/>
      <c r="C158" s="104"/>
      <c r="D158" s="104"/>
      <c r="E158" s="104"/>
    </row>
    <row r="159" spans="1:5" x14ac:dyDescent="0.25">
      <c r="A159" s="104"/>
      <c r="B159" s="104"/>
      <c r="C159" s="104"/>
      <c r="D159" s="104"/>
      <c r="E159" s="104"/>
    </row>
    <row r="160" spans="1:5" x14ac:dyDescent="0.25">
      <c r="A160" s="104"/>
      <c r="B160" s="104"/>
      <c r="C160" s="104"/>
      <c r="D160" s="104"/>
      <c r="E160" s="104"/>
    </row>
    <row r="161" spans="1:5" x14ac:dyDescent="0.25">
      <c r="A161" s="104"/>
      <c r="B161" s="104"/>
      <c r="C161" s="104"/>
      <c r="D161" s="104"/>
      <c r="E161" s="104"/>
    </row>
    <row r="162" spans="1:5" x14ac:dyDescent="0.25">
      <c r="A162" s="104"/>
      <c r="B162" s="104"/>
      <c r="C162" s="104"/>
      <c r="D162" s="104"/>
      <c r="E162" s="104"/>
    </row>
    <row r="163" spans="1:5" x14ac:dyDescent="0.25">
      <c r="A163" s="104"/>
      <c r="B163" s="104"/>
      <c r="C163" s="104"/>
      <c r="D163" s="104"/>
      <c r="E163" s="104"/>
    </row>
    <row r="164" spans="1:5" x14ac:dyDescent="0.25">
      <c r="A164" s="104"/>
      <c r="B164" s="104"/>
      <c r="C164" s="104"/>
      <c r="D164" s="104"/>
      <c r="E164" s="104"/>
    </row>
    <row r="165" spans="1:5" x14ac:dyDescent="0.25">
      <c r="A165" s="104"/>
      <c r="B165" s="104"/>
      <c r="C165" s="104"/>
      <c r="D165" s="104"/>
      <c r="E165" s="104"/>
    </row>
    <row r="166" spans="1:5" x14ac:dyDescent="0.25">
      <c r="A166" s="104"/>
      <c r="B166" s="104"/>
      <c r="C166" s="104"/>
      <c r="D166" s="104"/>
      <c r="E166" s="104"/>
    </row>
    <row r="167" spans="1:5" x14ac:dyDescent="0.25">
      <c r="A167" s="104"/>
      <c r="B167" s="104"/>
      <c r="C167" s="104"/>
      <c r="D167" s="104"/>
      <c r="E167" s="104"/>
    </row>
    <row r="168" spans="1:5" x14ac:dyDescent="0.25">
      <c r="A168" s="104"/>
      <c r="B168" s="104"/>
      <c r="C168" s="104"/>
      <c r="D168" s="104"/>
      <c r="E168" s="104"/>
    </row>
  </sheetData>
  <mergeCells count="78"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1.48" right="0.14000000000000001" top="0.37" bottom="0.51" header="0.31496062992125984" footer="0.31496062992125984"/>
  <pageSetup paperSize="9" scale="80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workbookViewId="0">
      <selection activeCell="A16" sqref="A16:B16"/>
    </sheetView>
  </sheetViews>
  <sheetFormatPr defaultRowHeight="15" x14ac:dyDescent="0.2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33" customHeight="1" x14ac:dyDescent="0.25">
      <c r="A1" s="235" t="s">
        <v>245</v>
      </c>
      <c r="B1" s="235"/>
      <c r="C1" s="235"/>
    </row>
    <row r="3" spans="1:3" x14ac:dyDescent="0.25">
      <c r="A3" s="4" t="s">
        <v>170</v>
      </c>
      <c r="B3" s="4">
        <v>220</v>
      </c>
    </row>
    <row r="4" spans="1:3" x14ac:dyDescent="0.25">
      <c r="A4" s="4" t="s">
        <v>171</v>
      </c>
      <c r="B4" s="4">
        <v>365.25</v>
      </c>
    </row>
    <row r="5" spans="1:3" x14ac:dyDescent="0.25">
      <c r="A5" s="4" t="s">
        <v>172</v>
      </c>
      <c r="B5" s="105">
        <f>(365.25/12)/(7/5)</f>
        <v>21.741071428571431</v>
      </c>
    </row>
    <row r="6" spans="1:3" x14ac:dyDescent="0.25">
      <c r="A6" s="68" t="s">
        <v>50</v>
      </c>
      <c r="B6" s="59">
        <f>+'Aux Processamento 44h'!D12</f>
        <v>0</v>
      </c>
    </row>
    <row r="7" spans="1:3" x14ac:dyDescent="0.25">
      <c r="A7" s="68" t="s">
        <v>173</v>
      </c>
      <c r="B7" s="59">
        <f>+'Aux Processamento 44h'!D23</f>
        <v>0</v>
      </c>
    </row>
    <row r="9" spans="1:3" x14ac:dyDescent="0.25">
      <c r="A9" s="232" t="s">
        <v>174</v>
      </c>
      <c r="B9" s="233"/>
      <c r="C9" s="234"/>
    </row>
    <row r="10" spans="1:3" x14ac:dyDescent="0.25">
      <c r="A10" s="4" t="s">
        <v>175</v>
      </c>
      <c r="B10" s="4">
        <f>+$B$4</f>
        <v>365.25</v>
      </c>
      <c r="C10" s="83"/>
    </row>
    <row r="11" spans="1:3" x14ac:dyDescent="0.25">
      <c r="A11" s="4" t="s">
        <v>176</v>
      </c>
      <c r="B11" s="68">
        <v>12</v>
      </c>
      <c r="C11" s="83"/>
    </row>
    <row r="12" spans="1:3" x14ac:dyDescent="0.25">
      <c r="A12" s="4" t="s">
        <v>177</v>
      </c>
      <c r="B12" s="58">
        <v>1</v>
      </c>
      <c r="C12" s="83"/>
    </row>
    <row r="13" spans="1:3" x14ac:dyDescent="0.25">
      <c r="A13" s="68" t="s">
        <v>178</v>
      </c>
      <c r="B13" s="106">
        <f>+B5</f>
        <v>21.741071428571431</v>
      </c>
      <c r="C13" s="83"/>
    </row>
    <row r="14" spans="1:3" x14ac:dyDescent="0.25">
      <c r="A14" s="107" t="s">
        <v>179</v>
      </c>
      <c r="B14" s="108"/>
      <c r="C14" s="83"/>
    </row>
    <row r="15" spans="1:3" x14ac:dyDescent="0.25">
      <c r="A15" s="4" t="s">
        <v>180</v>
      </c>
      <c r="B15" s="58">
        <v>0.06</v>
      </c>
      <c r="C15" s="83"/>
    </row>
    <row r="16" spans="1:3" x14ac:dyDescent="0.25">
      <c r="A16" s="236" t="s">
        <v>181</v>
      </c>
      <c r="B16" s="237"/>
      <c r="C16" s="102">
        <f>ROUND((B13*(B14*2)-($B$6*B15)),2)</f>
        <v>0</v>
      </c>
    </row>
    <row r="18" spans="1:3" x14ac:dyDescent="0.25">
      <c r="A18" s="232" t="s">
        <v>182</v>
      </c>
      <c r="B18" s="233"/>
      <c r="C18" s="234"/>
    </row>
    <row r="19" spans="1:3" x14ac:dyDescent="0.25">
      <c r="A19" s="4" t="s">
        <v>175</v>
      </c>
      <c r="B19" s="4">
        <f>+$B$4</f>
        <v>365.25</v>
      </c>
      <c r="C19" s="83"/>
    </row>
    <row r="20" spans="1:3" x14ac:dyDescent="0.25">
      <c r="A20" s="4" t="s">
        <v>176</v>
      </c>
      <c r="B20" s="68">
        <v>12</v>
      </c>
      <c r="C20" s="83"/>
    </row>
    <row r="21" spans="1:3" x14ac:dyDescent="0.25">
      <c r="A21" s="4" t="s">
        <v>177</v>
      </c>
      <c r="B21" s="58">
        <v>1</v>
      </c>
      <c r="C21" s="83"/>
    </row>
    <row r="22" spans="1:3" x14ac:dyDescent="0.25">
      <c r="A22" s="68" t="s">
        <v>178</v>
      </c>
      <c r="B22" s="106">
        <f>+B5</f>
        <v>21.741071428571431</v>
      </c>
      <c r="C22" s="83"/>
    </row>
    <row r="23" spans="1:3" x14ac:dyDescent="0.25">
      <c r="A23" s="107" t="s">
        <v>183</v>
      </c>
      <c r="B23" s="108"/>
      <c r="C23" s="83"/>
    </row>
    <row r="24" spans="1:3" x14ac:dyDescent="0.25">
      <c r="A24" s="4" t="s">
        <v>184</v>
      </c>
      <c r="B24" s="58">
        <v>0.1</v>
      </c>
      <c r="C24" s="83"/>
    </row>
    <row r="25" spans="1:3" x14ac:dyDescent="0.25">
      <c r="A25" s="236" t="s">
        <v>183</v>
      </c>
      <c r="B25" s="237"/>
      <c r="C25" s="102">
        <f>ROUND((B22*(B23)-((B22*B23)*B24)),2)</f>
        <v>0</v>
      </c>
    </row>
    <row r="27" spans="1:3" x14ac:dyDescent="0.25">
      <c r="A27" s="232" t="s">
        <v>185</v>
      </c>
      <c r="B27" s="233"/>
      <c r="C27" s="234"/>
    </row>
    <row r="28" spans="1:3" x14ac:dyDescent="0.25">
      <c r="A28" s="4" t="s">
        <v>186</v>
      </c>
      <c r="B28" s="59">
        <f>+B7</f>
        <v>0</v>
      </c>
      <c r="C28" s="83"/>
    </row>
    <row r="29" spans="1:3" x14ac:dyDescent="0.25">
      <c r="A29" s="4" t="s">
        <v>187</v>
      </c>
      <c r="B29" s="4">
        <v>12</v>
      </c>
      <c r="C29" s="83"/>
    </row>
    <row r="30" spans="1:3" x14ac:dyDescent="0.25">
      <c r="A30" s="107" t="s">
        <v>188</v>
      </c>
      <c r="B30" s="126"/>
      <c r="C30" s="83"/>
    </row>
    <row r="31" spans="1:3" x14ac:dyDescent="0.25">
      <c r="A31" s="236" t="s">
        <v>189</v>
      </c>
      <c r="B31" s="237"/>
      <c r="C31" s="102">
        <f>ROUND(+(B28/B29)*B30,2)</f>
        <v>0</v>
      </c>
    </row>
    <row r="33" spans="1:3" x14ac:dyDescent="0.25">
      <c r="A33" s="238" t="s">
        <v>190</v>
      </c>
      <c r="B33" s="239"/>
      <c r="C33" s="240"/>
    </row>
    <row r="34" spans="1:3" s="70" customFormat="1" x14ac:dyDescent="0.25">
      <c r="A34" s="127" t="s">
        <v>191</v>
      </c>
      <c r="B34" s="126">
        <f>+B30</f>
        <v>0</v>
      </c>
      <c r="C34" s="83"/>
    </row>
    <row r="35" spans="1:3" x14ac:dyDescent="0.25">
      <c r="A35" s="4" t="s">
        <v>192</v>
      </c>
      <c r="B35" s="59">
        <f>+'Aux Processamento 44h'!$D$23</f>
        <v>0</v>
      </c>
      <c r="C35" s="83"/>
    </row>
    <row r="36" spans="1:3" x14ac:dyDescent="0.25">
      <c r="A36" s="4" t="s">
        <v>73</v>
      </c>
      <c r="B36" s="59">
        <f>+'Aux Processamento 44h'!$D$29</f>
        <v>0</v>
      </c>
      <c r="C36" s="83"/>
    </row>
    <row r="37" spans="1:3" x14ac:dyDescent="0.25">
      <c r="A37" s="109" t="s">
        <v>76</v>
      </c>
      <c r="B37" s="59">
        <f>+'Aux Processamento 44h'!$D$31</f>
        <v>0</v>
      </c>
      <c r="C37" s="83"/>
    </row>
    <row r="38" spans="1:3" x14ac:dyDescent="0.25">
      <c r="A38" s="109" t="s">
        <v>78</v>
      </c>
      <c r="B38" s="59">
        <f>+'Aux Processamento 44h'!$D$32</f>
        <v>0</v>
      </c>
      <c r="C38" s="83"/>
    </row>
    <row r="39" spans="1:3" x14ac:dyDescent="0.25">
      <c r="A39" s="110" t="s">
        <v>193</v>
      </c>
      <c r="B39" s="111">
        <f>SUM(B35:B38)</f>
        <v>0</v>
      </c>
      <c r="C39" s="83"/>
    </row>
    <row r="40" spans="1:3" x14ac:dyDescent="0.25">
      <c r="A40" s="78" t="s">
        <v>194</v>
      </c>
      <c r="B40" s="58">
        <v>0.4</v>
      </c>
      <c r="C40" s="83"/>
    </row>
    <row r="41" spans="1:3" x14ac:dyDescent="0.25">
      <c r="A41" s="78" t="s">
        <v>195</v>
      </c>
      <c r="B41" s="58">
        <f>+'Aux Processamento 44h'!$C$44</f>
        <v>0.08</v>
      </c>
      <c r="C41" s="83"/>
    </row>
    <row r="42" spans="1:3" x14ac:dyDescent="0.25">
      <c r="A42" s="219" t="s">
        <v>196</v>
      </c>
      <c r="B42" s="220"/>
      <c r="C42" s="93">
        <f>ROUND(+B39*B40*B41*B34,2)</f>
        <v>0</v>
      </c>
    </row>
    <row r="43" spans="1:3" x14ac:dyDescent="0.25">
      <c r="A43" s="78" t="s">
        <v>197</v>
      </c>
      <c r="B43" s="58"/>
      <c r="C43" s="83"/>
    </row>
    <row r="44" spans="1:3" x14ac:dyDescent="0.25">
      <c r="A44" s="219" t="s">
        <v>198</v>
      </c>
      <c r="B44" s="220"/>
      <c r="C44" s="112">
        <f>ROUND(B43*B41*B39*B34,2)</f>
        <v>0</v>
      </c>
    </row>
    <row r="45" spans="1:3" x14ac:dyDescent="0.25">
      <c r="A45" s="236" t="s">
        <v>199</v>
      </c>
      <c r="B45" s="237"/>
      <c r="C45" s="94">
        <f>+C44+C42</f>
        <v>0</v>
      </c>
    </row>
    <row r="47" spans="1:3" x14ac:dyDescent="0.25">
      <c r="A47" s="232" t="s">
        <v>200</v>
      </c>
      <c r="B47" s="233"/>
      <c r="C47" s="234"/>
    </row>
    <row r="48" spans="1:3" x14ac:dyDescent="0.25">
      <c r="A48" s="4" t="s">
        <v>186</v>
      </c>
      <c r="B48" s="59">
        <f>+B7</f>
        <v>0</v>
      </c>
      <c r="C48" s="83"/>
    </row>
    <row r="49" spans="1:3" x14ac:dyDescent="0.25">
      <c r="A49" s="4" t="s">
        <v>201</v>
      </c>
      <c r="B49" s="113">
        <v>30</v>
      </c>
      <c r="C49" s="83"/>
    </row>
    <row r="50" spans="1:3" x14ac:dyDescent="0.25">
      <c r="A50" s="4" t="s">
        <v>187</v>
      </c>
      <c r="B50" s="4">
        <v>12</v>
      </c>
      <c r="C50" s="83"/>
    </row>
    <row r="51" spans="1:3" x14ac:dyDescent="0.25">
      <c r="A51" s="4" t="s">
        <v>202</v>
      </c>
      <c r="B51" s="4">
        <v>7</v>
      </c>
      <c r="C51" s="83"/>
    </row>
    <row r="52" spans="1:3" x14ac:dyDescent="0.25">
      <c r="A52" s="107" t="s">
        <v>203</v>
      </c>
      <c r="B52" s="126"/>
      <c r="C52" s="83"/>
    </row>
    <row r="53" spans="1:3" x14ac:dyDescent="0.25">
      <c r="A53" s="236" t="s">
        <v>204</v>
      </c>
      <c r="B53" s="237"/>
      <c r="C53" s="102">
        <f>+ROUND(((B48/B49/B50)*B51)*B52,2)</f>
        <v>0</v>
      </c>
    </row>
    <row r="55" spans="1:3" x14ac:dyDescent="0.25">
      <c r="A55" s="238" t="s">
        <v>205</v>
      </c>
      <c r="B55" s="239"/>
      <c r="C55" s="240"/>
    </row>
    <row r="56" spans="1:3" x14ac:dyDescent="0.25">
      <c r="A56" s="128" t="s">
        <v>206</v>
      </c>
      <c r="B56" s="126">
        <f>+B52</f>
        <v>0</v>
      </c>
      <c r="C56" s="83"/>
    </row>
    <row r="57" spans="1:3" x14ac:dyDescent="0.25">
      <c r="A57" s="4" t="s">
        <v>192</v>
      </c>
      <c r="B57" s="59">
        <f>+'Aux Processamento 44h'!$D$23</f>
        <v>0</v>
      </c>
      <c r="C57" s="83"/>
    </row>
    <row r="58" spans="1:3" x14ac:dyDescent="0.25">
      <c r="A58" s="4" t="s">
        <v>73</v>
      </c>
      <c r="B58" s="59">
        <f>+'Aux Processamento 44h'!$D$29</f>
        <v>0</v>
      </c>
      <c r="C58" s="83"/>
    </row>
    <row r="59" spans="1:3" x14ac:dyDescent="0.25">
      <c r="A59" s="109" t="s">
        <v>76</v>
      </c>
      <c r="B59" s="59">
        <f>+'Aux Processamento 44h'!$D$31</f>
        <v>0</v>
      </c>
      <c r="C59" s="83"/>
    </row>
    <row r="60" spans="1:3" x14ac:dyDescent="0.25">
      <c r="A60" s="109" t="s">
        <v>78</v>
      </c>
      <c r="B60" s="59">
        <f>+'Aux Processamento 44h'!$D$32</f>
        <v>0</v>
      </c>
      <c r="C60" s="83"/>
    </row>
    <row r="61" spans="1:3" x14ac:dyDescent="0.25">
      <c r="A61" s="110" t="s">
        <v>193</v>
      </c>
      <c r="B61" s="111">
        <f>SUM(B57:B60)</f>
        <v>0</v>
      </c>
      <c r="C61" s="83"/>
    </row>
    <row r="62" spans="1:3" x14ac:dyDescent="0.25">
      <c r="A62" s="78" t="s">
        <v>194</v>
      </c>
      <c r="B62" s="58">
        <v>0.4</v>
      </c>
      <c r="C62" s="83"/>
    </row>
    <row r="63" spans="1:3" x14ac:dyDescent="0.25">
      <c r="A63" s="78" t="s">
        <v>195</v>
      </c>
      <c r="B63" s="58">
        <f>+'Aux Processamento 44h'!$C$44</f>
        <v>0.08</v>
      </c>
      <c r="C63" s="83"/>
    </row>
    <row r="64" spans="1:3" x14ac:dyDescent="0.25">
      <c r="A64" s="219" t="s">
        <v>196</v>
      </c>
      <c r="B64" s="220"/>
      <c r="C64" s="93">
        <f>ROUND(+B61*B62*B63*B56,2)</f>
        <v>0</v>
      </c>
    </row>
    <row r="65" spans="1:3" x14ac:dyDescent="0.25">
      <c r="A65" s="78" t="s">
        <v>197</v>
      </c>
      <c r="B65" s="58"/>
      <c r="C65" s="83"/>
    </row>
    <row r="66" spans="1:3" x14ac:dyDescent="0.25">
      <c r="A66" s="219" t="s">
        <v>198</v>
      </c>
      <c r="B66" s="220"/>
      <c r="C66" s="112">
        <f>ROUND(B65*B63*B61*B56,2)</f>
        <v>0</v>
      </c>
    </row>
    <row r="67" spans="1:3" x14ac:dyDescent="0.25">
      <c r="A67" s="236" t="s">
        <v>207</v>
      </c>
      <c r="B67" s="237"/>
      <c r="C67" s="94">
        <f>+C66+C64</f>
        <v>0</v>
      </c>
    </row>
    <row r="69" spans="1:3" x14ac:dyDescent="0.25">
      <c r="A69" s="238" t="s">
        <v>208</v>
      </c>
      <c r="B69" s="239"/>
      <c r="C69" s="240"/>
    </row>
    <row r="70" spans="1:3" x14ac:dyDescent="0.25">
      <c r="A70" s="241" t="s">
        <v>209</v>
      </c>
      <c r="B70" s="242"/>
      <c r="C70" s="243"/>
    </row>
    <row r="71" spans="1:3" x14ac:dyDescent="0.25">
      <c r="A71" s="244"/>
      <c r="B71" s="245"/>
      <c r="C71" s="246"/>
    </row>
    <row r="72" spans="1:3" x14ac:dyDescent="0.25">
      <c r="A72" s="244"/>
      <c r="B72" s="245"/>
      <c r="C72" s="246"/>
    </row>
    <row r="73" spans="1:3" x14ac:dyDescent="0.25">
      <c r="A73" s="247"/>
      <c r="B73" s="248"/>
      <c r="C73" s="249"/>
    </row>
    <row r="74" spans="1:3" x14ac:dyDescent="0.25">
      <c r="A74" s="114"/>
      <c r="B74" s="114"/>
      <c r="C74" s="114"/>
    </row>
    <row r="75" spans="1:3" x14ac:dyDescent="0.25">
      <c r="A75" s="238" t="s">
        <v>210</v>
      </c>
      <c r="B75" s="239"/>
      <c r="C75" s="240"/>
    </row>
    <row r="76" spans="1:3" x14ac:dyDescent="0.25">
      <c r="A76" s="4" t="s">
        <v>211</v>
      </c>
      <c r="B76" s="59">
        <f>+$B$7</f>
        <v>0</v>
      </c>
      <c r="C76" s="83"/>
    </row>
    <row r="77" spans="1:3" x14ac:dyDescent="0.25">
      <c r="A77" s="4" t="s">
        <v>176</v>
      </c>
      <c r="B77" s="4">
        <v>30</v>
      </c>
      <c r="C77" s="83"/>
    </row>
    <row r="78" spans="1:3" x14ac:dyDescent="0.25">
      <c r="A78" s="4" t="s">
        <v>212</v>
      </c>
      <c r="B78" s="4">
        <v>12</v>
      </c>
      <c r="C78" s="83"/>
    </row>
    <row r="79" spans="1:3" x14ac:dyDescent="0.25">
      <c r="A79" s="107" t="s">
        <v>213</v>
      </c>
      <c r="B79" s="107"/>
      <c r="C79" s="83"/>
    </row>
    <row r="80" spans="1:3" x14ac:dyDescent="0.25">
      <c r="A80" s="236" t="s">
        <v>214</v>
      </c>
      <c r="B80" s="237"/>
      <c r="C80" s="76">
        <f>+ROUND((B76/B77/B78)*B79,2)</f>
        <v>0</v>
      </c>
    </row>
    <row r="82" spans="1:3" x14ac:dyDescent="0.25">
      <c r="A82" s="238" t="s">
        <v>215</v>
      </c>
      <c r="B82" s="239"/>
      <c r="C82" s="240"/>
    </row>
    <row r="83" spans="1:3" x14ac:dyDescent="0.25">
      <c r="A83" s="4" t="s">
        <v>211</v>
      </c>
      <c r="B83" s="59">
        <f>+$B$7</f>
        <v>0</v>
      </c>
      <c r="C83" s="83"/>
    </row>
    <row r="84" spans="1:3" x14ac:dyDescent="0.25">
      <c r="A84" s="4" t="s">
        <v>176</v>
      </c>
      <c r="B84" s="4">
        <v>30</v>
      </c>
      <c r="C84" s="83"/>
    </row>
    <row r="85" spans="1:3" x14ac:dyDescent="0.25">
      <c r="A85" s="4" t="s">
        <v>212</v>
      </c>
      <c r="B85" s="4">
        <v>12</v>
      </c>
      <c r="C85" s="83"/>
    </row>
    <row r="86" spans="1:3" x14ac:dyDescent="0.25">
      <c r="A86" s="68" t="s">
        <v>216</v>
      </c>
      <c r="B86" s="4">
        <v>5</v>
      </c>
      <c r="C86" s="83"/>
    </row>
    <row r="87" spans="1:3" x14ac:dyDescent="0.25">
      <c r="A87" s="107" t="s">
        <v>217</v>
      </c>
      <c r="B87" s="126"/>
      <c r="C87" s="83"/>
    </row>
    <row r="88" spans="1:3" x14ac:dyDescent="0.25">
      <c r="A88" s="107" t="s">
        <v>218</v>
      </c>
      <c r="B88" s="126"/>
      <c r="C88" s="83"/>
    </row>
    <row r="89" spans="1:3" x14ac:dyDescent="0.25">
      <c r="A89" s="236" t="s">
        <v>219</v>
      </c>
      <c r="B89" s="237"/>
      <c r="C89" s="102">
        <f>ROUND(+B83/B84/B85*B86*B87*B88,2)</f>
        <v>0</v>
      </c>
    </row>
    <row r="91" spans="1:3" x14ac:dyDescent="0.25">
      <c r="A91" s="238" t="s">
        <v>220</v>
      </c>
      <c r="B91" s="239"/>
      <c r="C91" s="240"/>
    </row>
    <row r="92" spans="1:3" x14ac:dyDescent="0.25">
      <c r="A92" s="4" t="s">
        <v>211</v>
      </c>
      <c r="B92" s="59">
        <f>+$B$7</f>
        <v>0</v>
      </c>
      <c r="C92" s="83"/>
    </row>
    <row r="93" spans="1:3" x14ac:dyDescent="0.25">
      <c r="A93" s="4" t="s">
        <v>176</v>
      </c>
      <c r="B93" s="4">
        <v>30</v>
      </c>
      <c r="C93" s="83"/>
    </row>
    <row r="94" spans="1:3" x14ac:dyDescent="0.25">
      <c r="A94" s="4" t="s">
        <v>212</v>
      </c>
      <c r="B94" s="4">
        <v>12</v>
      </c>
      <c r="C94" s="83"/>
    </row>
    <row r="95" spans="1:3" x14ac:dyDescent="0.25">
      <c r="A95" s="68" t="s">
        <v>221</v>
      </c>
      <c r="B95" s="4">
        <v>15</v>
      </c>
      <c r="C95" s="83"/>
    </row>
    <row r="96" spans="1:3" x14ac:dyDescent="0.25">
      <c r="A96" s="107" t="s">
        <v>222</v>
      </c>
      <c r="B96" s="126"/>
      <c r="C96" s="83"/>
    </row>
    <row r="97" spans="1:3" x14ac:dyDescent="0.25">
      <c r="A97" s="236" t="s">
        <v>223</v>
      </c>
      <c r="B97" s="237"/>
      <c r="C97" s="102">
        <f>ROUND(+B92/B93/B94*B95*B96,2)</f>
        <v>0</v>
      </c>
    </row>
    <row r="99" spans="1:3" x14ac:dyDescent="0.25">
      <c r="A99" s="238" t="s">
        <v>224</v>
      </c>
      <c r="B99" s="239"/>
      <c r="C99" s="240"/>
    </row>
    <row r="100" spans="1:3" x14ac:dyDescent="0.25">
      <c r="A100" s="4" t="s">
        <v>211</v>
      </c>
      <c r="B100" s="59">
        <f>+$B$7</f>
        <v>0</v>
      </c>
      <c r="C100" s="83"/>
    </row>
    <row r="101" spans="1:3" x14ac:dyDescent="0.25">
      <c r="A101" s="4" t="s">
        <v>176</v>
      </c>
      <c r="B101" s="4">
        <v>30</v>
      </c>
      <c r="C101" s="83"/>
    </row>
    <row r="102" spans="1:3" x14ac:dyDescent="0.25">
      <c r="A102" s="4" t="s">
        <v>212</v>
      </c>
      <c r="B102" s="4">
        <v>12</v>
      </c>
      <c r="C102" s="83"/>
    </row>
    <row r="103" spans="1:3" x14ac:dyDescent="0.25">
      <c r="A103" s="68" t="s">
        <v>221</v>
      </c>
      <c r="B103" s="4">
        <v>5</v>
      </c>
      <c r="C103" s="83"/>
    </row>
    <row r="104" spans="1:3" x14ac:dyDescent="0.25">
      <c r="A104" s="107" t="s">
        <v>225</v>
      </c>
      <c r="B104" s="126"/>
      <c r="C104" s="83"/>
    </row>
    <row r="105" spans="1:3" x14ac:dyDescent="0.25">
      <c r="A105" s="236" t="s">
        <v>226</v>
      </c>
      <c r="B105" s="237"/>
      <c r="C105" s="102">
        <f>ROUND(+B100/B101/B102*B103*B104,2)</f>
        <v>0</v>
      </c>
    </row>
    <row r="107" spans="1:3" x14ac:dyDescent="0.25">
      <c r="A107" s="238" t="s">
        <v>227</v>
      </c>
      <c r="B107" s="239"/>
      <c r="C107" s="240"/>
    </row>
    <row r="108" spans="1:3" x14ac:dyDescent="0.25">
      <c r="A108" s="252" t="s">
        <v>228</v>
      </c>
      <c r="B108" s="253"/>
      <c r="C108" s="254"/>
    </row>
    <row r="109" spans="1:3" x14ac:dyDescent="0.25">
      <c r="A109" s="4" t="s">
        <v>211</v>
      </c>
      <c r="B109" s="59">
        <f>+$B$7</f>
        <v>0</v>
      </c>
      <c r="C109" s="83"/>
    </row>
    <row r="110" spans="1:3" x14ac:dyDescent="0.25">
      <c r="A110" s="4" t="s">
        <v>229</v>
      </c>
      <c r="B110" s="59">
        <f>+B109*(1/3)</f>
        <v>0</v>
      </c>
      <c r="C110" s="83"/>
    </row>
    <row r="111" spans="1:3" x14ac:dyDescent="0.25">
      <c r="A111" s="110" t="s">
        <v>193</v>
      </c>
      <c r="B111" s="111">
        <f>SUM(B109:B110)</f>
        <v>0</v>
      </c>
      <c r="C111" s="83"/>
    </row>
    <row r="112" spans="1:3" x14ac:dyDescent="0.25">
      <c r="A112" s="4" t="s">
        <v>230</v>
      </c>
      <c r="B112" s="4">
        <v>4</v>
      </c>
      <c r="C112" s="83"/>
    </row>
    <row r="113" spans="1:3" x14ac:dyDescent="0.25">
      <c r="A113" s="4" t="s">
        <v>212</v>
      </c>
      <c r="B113" s="4">
        <v>12</v>
      </c>
      <c r="C113" s="83"/>
    </row>
    <row r="114" spans="1:3" x14ac:dyDescent="0.25">
      <c r="A114" s="107" t="s">
        <v>231</v>
      </c>
      <c r="B114" s="126"/>
      <c r="C114" s="83"/>
    </row>
    <row r="115" spans="1:3" x14ac:dyDescent="0.25">
      <c r="A115" s="107" t="s">
        <v>232</v>
      </c>
      <c r="B115" s="126"/>
      <c r="C115" s="83"/>
    </row>
    <row r="116" spans="1:3" x14ac:dyDescent="0.25">
      <c r="A116" s="236" t="s">
        <v>233</v>
      </c>
      <c r="B116" s="237"/>
      <c r="C116" s="102">
        <f>ROUND((((+B111*(B112/B113)/B113)*B114)*B115),2)</f>
        <v>0</v>
      </c>
    </row>
    <row r="117" spans="1:3" x14ac:dyDescent="0.25">
      <c r="A117" s="236" t="s">
        <v>234</v>
      </c>
      <c r="B117" s="250"/>
      <c r="C117" s="237"/>
    </row>
    <row r="118" spans="1:3" x14ac:dyDescent="0.25">
      <c r="A118" s="4" t="s">
        <v>211</v>
      </c>
      <c r="B118" s="59">
        <f>+'Aux Processamento 44h'!D23</f>
        <v>0</v>
      </c>
      <c r="C118" s="83"/>
    </row>
    <row r="119" spans="1:3" x14ac:dyDescent="0.25">
      <c r="A119" s="4" t="s">
        <v>73</v>
      </c>
      <c r="B119" s="59">
        <f>+'Aux Processamento 44h'!D29</f>
        <v>0</v>
      </c>
      <c r="C119" s="83"/>
    </row>
    <row r="120" spans="1:3" x14ac:dyDescent="0.25">
      <c r="A120" s="110" t="s">
        <v>193</v>
      </c>
      <c r="B120" s="111">
        <f>SUM(B118:B119)</f>
        <v>0</v>
      </c>
      <c r="C120" s="83"/>
    </row>
    <row r="121" spans="1:3" x14ac:dyDescent="0.25">
      <c r="A121" s="4" t="s">
        <v>230</v>
      </c>
      <c r="B121" s="4">
        <v>4</v>
      </c>
      <c r="C121" s="83"/>
    </row>
    <row r="122" spans="1:3" x14ac:dyDescent="0.25">
      <c r="A122" s="4" t="s">
        <v>212</v>
      </c>
      <c r="B122" s="4">
        <v>12</v>
      </c>
      <c r="C122" s="83"/>
    </row>
    <row r="123" spans="1:3" x14ac:dyDescent="0.25">
      <c r="A123" s="107" t="s">
        <v>231</v>
      </c>
      <c r="B123" s="126">
        <f>+B114</f>
        <v>0</v>
      </c>
      <c r="C123" s="83"/>
    </row>
    <row r="124" spans="1:3" x14ac:dyDescent="0.25">
      <c r="A124" s="107" t="s">
        <v>232</v>
      </c>
      <c r="B124" s="126">
        <f>+B115</f>
        <v>0</v>
      </c>
      <c r="C124" s="83"/>
    </row>
    <row r="125" spans="1:3" x14ac:dyDescent="0.25">
      <c r="A125" s="68" t="s">
        <v>235</v>
      </c>
      <c r="B125" s="58">
        <f>+'Aux Processamento 44h'!C45</f>
        <v>0.36800000000000005</v>
      </c>
      <c r="C125" s="83"/>
    </row>
    <row r="126" spans="1:3" x14ac:dyDescent="0.25">
      <c r="A126" s="236" t="s">
        <v>236</v>
      </c>
      <c r="B126" s="237"/>
      <c r="C126" s="94">
        <f>ROUND((((B120*(B121/B122)*B123)*B124)*B125),2)</f>
        <v>0</v>
      </c>
    </row>
    <row r="128" spans="1:3" ht="30.75" customHeight="1" x14ac:dyDescent="0.25">
      <c r="A128" s="251" t="s">
        <v>246</v>
      </c>
      <c r="B128" s="251"/>
      <c r="C128" s="251"/>
    </row>
    <row r="129" spans="3:3" x14ac:dyDescent="0.25">
      <c r="C129" s="125"/>
    </row>
    <row r="130" spans="3:3" x14ac:dyDescent="0.25">
      <c r="C130" s="89"/>
    </row>
  </sheetData>
  <mergeCells count="33">
    <mergeCell ref="A117:C117"/>
    <mergeCell ref="A126:B126"/>
    <mergeCell ref="A128:C128"/>
    <mergeCell ref="A97:B97"/>
    <mergeCell ref="A99:C99"/>
    <mergeCell ref="A105:B105"/>
    <mergeCell ref="A107:C107"/>
    <mergeCell ref="A108:C108"/>
    <mergeCell ref="A116:B116"/>
    <mergeCell ref="A91:C91"/>
    <mergeCell ref="A53:B53"/>
    <mergeCell ref="A55:C55"/>
    <mergeCell ref="A64:B64"/>
    <mergeCell ref="A66:B66"/>
    <mergeCell ref="A67:B67"/>
    <mergeCell ref="A69:C69"/>
    <mergeCell ref="A70:C73"/>
    <mergeCell ref="A75:C75"/>
    <mergeCell ref="A80:B80"/>
    <mergeCell ref="A82:C82"/>
    <mergeCell ref="A89:B89"/>
    <mergeCell ref="A47:C47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4:B44"/>
    <mergeCell ref="A45:B45"/>
  </mergeCells>
  <pageMargins left="1.1299999999999999" right="0.11" top="0.37" bottom="0.53" header="0.31496062992125984" footer="0.31496062992125984"/>
  <pageSetup paperSize="9" scale="80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A11" sqref="A11"/>
    </sheetView>
  </sheetViews>
  <sheetFormatPr defaultRowHeight="11.25" x14ac:dyDescent="0.2"/>
  <cols>
    <col min="1" max="1" width="55.7109375" style="22" customWidth="1"/>
    <col min="2" max="2" width="5.85546875" style="22" customWidth="1"/>
    <col min="3" max="3" width="9.140625" style="22"/>
    <col min="4" max="4" width="11.42578125" style="22" customWidth="1"/>
    <col min="5" max="5" width="12.7109375" style="22" customWidth="1"/>
    <col min="6" max="6" width="11.42578125" style="22" customWidth="1"/>
    <col min="7" max="16384" width="9.140625" style="22"/>
  </cols>
  <sheetData>
    <row r="1" spans="1:6" ht="15" x14ac:dyDescent="0.25">
      <c r="A1" s="6" t="s">
        <v>252</v>
      </c>
      <c r="B1" s="6"/>
      <c r="C1" s="6"/>
      <c r="D1" s="6"/>
      <c r="E1" s="6"/>
      <c r="F1" s="6"/>
    </row>
    <row r="2" spans="1:6" ht="22.5" x14ac:dyDescent="0.2">
      <c r="A2" s="115" t="s">
        <v>237</v>
      </c>
      <c r="B2" s="116" t="s">
        <v>238</v>
      </c>
      <c r="C2" s="115" t="s">
        <v>239</v>
      </c>
      <c r="D2" s="117" t="s">
        <v>240</v>
      </c>
      <c r="E2" s="117" t="s">
        <v>241</v>
      </c>
      <c r="F2" s="117" t="s">
        <v>242</v>
      </c>
    </row>
    <row r="3" spans="1:6" ht="22.5" x14ac:dyDescent="0.2">
      <c r="A3" s="118" t="s">
        <v>247</v>
      </c>
      <c r="B3" s="119">
        <v>4</v>
      </c>
      <c r="C3" s="120">
        <v>2</v>
      </c>
      <c r="D3" s="146"/>
      <c r="E3" s="121">
        <f>+D3*B3</f>
        <v>0</v>
      </c>
      <c r="F3" s="121">
        <f t="shared" ref="F3:F6" si="0">ROUNDDOWN(+E3/12,2)</f>
        <v>0</v>
      </c>
    </row>
    <row r="4" spans="1:6" ht="33.75" x14ac:dyDescent="0.2">
      <c r="A4" s="118" t="s">
        <v>248</v>
      </c>
      <c r="B4" s="119">
        <v>6</v>
      </c>
      <c r="C4" s="120">
        <v>3</v>
      </c>
      <c r="D4" s="146"/>
      <c r="E4" s="121">
        <f>+D4*B4</f>
        <v>0</v>
      </c>
      <c r="F4" s="121">
        <f t="shared" si="0"/>
        <v>0</v>
      </c>
    </row>
    <row r="5" spans="1:6" ht="22.5" x14ac:dyDescent="0.2">
      <c r="A5" s="118" t="s">
        <v>249</v>
      </c>
      <c r="B5" s="120">
        <v>2</v>
      </c>
      <c r="C5" s="120">
        <v>1</v>
      </c>
      <c r="D5" s="146"/>
      <c r="E5" s="121">
        <f>+D5*B5</f>
        <v>0</v>
      </c>
      <c r="F5" s="121">
        <f t="shared" si="0"/>
        <v>0</v>
      </c>
    </row>
    <row r="6" spans="1:6" ht="67.5" x14ac:dyDescent="0.2">
      <c r="A6" s="122" t="s">
        <v>243</v>
      </c>
      <c r="B6" s="120">
        <v>1</v>
      </c>
      <c r="C6" s="120"/>
      <c r="D6" s="146"/>
      <c r="E6" s="121">
        <f>+D6*B6</f>
        <v>0</v>
      </c>
      <c r="F6" s="121">
        <f t="shared" si="0"/>
        <v>0</v>
      </c>
    </row>
    <row r="7" spans="1:6" x14ac:dyDescent="0.2">
      <c r="D7" s="123"/>
      <c r="E7" s="123"/>
      <c r="F7" s="124">
        <f>ROUNDDOWN(SUM(F3:F6),2)</f>
        <v>0</v>
      </c>
    </row>
    <row r="11" spans="1:6" ht="14.25" x14ac:dyDescent="0.25">
      <c r="A11" s="132"/>
    </row>
  </sheetData>
  <pageMargins left="1.1023622047244095" right="0.5118110236220472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Apresentacao</vt:lpstr>
      <vt:lpstr>Demanda</vt:lpstr>
      <vt:lpstr>Aux Processamento 44h</vt:lpstr>
      <vt:lpstr>Men Cal Aux Processamento</vt:lpstr>
      <vt:lpstr>Uniforme</vt:lpstr>
      <vt:lpstr>'Aux Processamento 44h'!Area_de_impressao</vt:lpstr>
      <vt:lpstr>Demanda!Area_de_impressao</vt:lpstr>
      <vt:lpstr>'Men Cal Aux Processamento'!Area_de_impressao</vt:lpstr>
      <vt:lpstr>Uniforme!Area_de_impressao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Thais de Oliveira Carvalho</cp:lastModifiedBy>
  <cp:lastPrinted>2020-01-16T18:47:34Z</cp:lastPrinted>
  <dcterms:created xsi:type="dcterms:W3CDTF">2019-12-30T13:57:58Z</dcterms:created>
  <dcterms:modified xsi:type="dcterms:W3CDTF">2020-05-27T15:50:52Z</dcterms:modified>
</cp:coreProperties>
</file>