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mbeddings/oleObject1.bin" ContentType="application/vnd.openxmlformats-officedocument.oleObject"/>
  <Override PartName="/xl/comments2.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EstaPasta_de_trabalho" defaultThemeVersion="124226"/>
  <bookViews>
    <workbookView xWindow="-120" yWindow="-120" windowWidth="29040" windowHeight="15840" tabRatio="794" firstSheet="1" activeTab="1"/>
  </bookViews>
  <sheets>
    <sheet name="EAP" sheetId="30" state="hidden" r:id="rId1"/>
    <sheet name="INÍCIO" sheetId="8" r:id="rId2"/>
    <sheet name="GERAL" sheetId="31" r:id="rId3"/>
    <sheet name="EQUIPAMENTOS" sheetId="41" state="hidden" r:id="rId4"/>
    <sheet name="COMPOSICOES" sheetId="35" state="hidden" r:id="rId5"/>
    <sheet name="ABC SERVIÇOS" sheetId="40" r:id="rId6"/>
    <sheet name="BDI" sheetId="17" r:id="rId7"/>
    <sheet name="ENCARGOS SOCIAIS" sheetId="37" r:id="rId8"/>
  </sheets>
  <definedNames>
    <definedName name="_xlnm._FilterDatabase" localSheetId="5" hidden="1">'ABC SERVIÇOS'!$A$8:$N$15</definedName>
    <definedName name="_xlnm._FilterDatabase" localSheetId="4" hidden="1">COMPOSICOES!$C$8:$R$92</definedName>
    <definedName name="_xlnm._FilterDatabase" localSheetId="0" hidden="1">EAP!$B$50:$K$90</definedName>
    <definedName name="_xlnm._FilterDatabase" localSheetId="2" hidden="1">GERAL!$A$9:$O$31</definedName>
    <definedName name="_xlnm.Print_Area" localSheetId="5">'ABC SERVIÇOS'!$C$1:$N$25</definedName>
    <definedName name="_xlnm.Print_Area" localSheetId="6">BDI!$B$1:$J$70</definedName>
    <definedName name="_xlnm.Print_Area" localSheetId="4">COMPOSICOES!$D$1:$M$91</definedName>
    <definedName name="_xlnm.Print_Area" localSheetId="0">EAP!$B$1:$J$41</definedName>
    <definedName name="_xlnm.Print_Area" localSheetId="7">'ENCARGOS SOCIAIS'!$B$1:$G$47</definedName>
    <definedName name="_xlnm.Print_Area" localSheetId="3">EQUIPAMENTOS!$B$1:$L$15</definedName>
    <definedName name="_xlnm.Print_Area" localSheetId="2">GERAL!$D$1:$O$26</definedName>
    <definedName name="_xlnm.Print_Area" localSheetId="1">INÍCIO!$B$1:$E$83</definedName>
    <definedName name="_xlnm.Print_Titles" localSheetId="5">'ABC SERVIÇOS'!$7:$8</definedName>
    <definedName name="_xlnm.Print_Titles" localSheetId="4">COMPOSICOES!$7:$8</definedName>
    <definedName name="_xlnm.Print_Titles" localSheetId="2">GERAL!$7:$9</definedName>
    <definedName name="_xlnm.Print_Titles" localSheetId="1">INÍCIO!$1:$6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2" i="31" l="1"/>
  <c r="L71" i="35" l="1"/>
  <c r="B30" i="35" l="1"/>
  <c r="E30" i="35"/>
  <c r="I13" i="31" l="1"/>
  <c r="B11" i="31"/>
  <c r="A11" i="31" s="1"/>
  <c r="C11" i="31"/>
  <c r="J11" i="31"/>
  <c r="I18" i="31"/>
  <c r="I20" i="31"/>
  <c r="F11" i="31" l="1"/>
  <c r="D11" i="31"/>
  <c r="E11" i="31"/>
  <c r="J10" i="41"/>
  <c r="G10" i="41" l="1"/>
  <c r="F10" i="41"/>
  <c r="E10" i="41" l="1"/>
  <c r="G43" i="37" l="1"/>
  <c r="F39" i="37"/>
  <c r="L18" i="35" l="1"/>
  <c r="L17" i="35"/>
  <c r="L70" i="35" s="1"/>
  <c r="E31" i="35" l="1"/>
  <c r="E32" i="35" s="1"/>
  <c r="E33" i="35" s="1"/>
  <c r="E34" i="35" s="1"/>
  <c r="E35" i="35" s="1"/>
  <c r="E36" i="35" s="1"/>
  <c r="E37" i="35" s="1"/>
  <c r="E38" i="35" s="1"/>
  <c r="E39" i="35" s="1"/>
  <c r="E40" i="35" s="1"/>
  <c r="E41" i="35" s="1"/>
  <c r="E42" i="35" s="1"/>
  <c r="B51" i="35"/>
  <c r="B31" i="35"/>
  <c r="B32" i="35" s="1"/>
  <c r="B33" i="35" s="1"/>
  <c r="B34" i="35" s="1"/>
  <c r="B35" i="35" s="1"/>
  <c r="B36" i="35" s="1"/>
  <c r="B37" i="35" s="1"/>
  <c r="B38" i="35" s="1"/>
  <c r="B39" i="35" s="1"/>
  <c r="B40" i="35" s="1"/>
  <c r="B41" i="35" s="1"/>
  <c r="B42" i="35" s="1"/>
  <c r="B43" i="35" l="1"/>
  <c r="E43" i="35"/>
  <c r="E44" i="35" s="1"/>
  <c r="E45" i="35" s="1"/>
  <c r="E46" i="35" s="1"/>
  <c r="E51" i="35" s="1"/>
  <c r="E53" i="35" s="1"/>
  <c r="B53" i="35"/>
  <c r="G47" i="30"/>
  <c r="B44" i="35" l="1"/>
  <c r="B45" i="35" s="1"/>
  <c r="B46" i="35" s="1"/>
  <c r="B47" i="35" s="1"/>
  <c r="B12" i="31"/>
  <c r="B18" i="35" l="1"/>
  <c r="B19" i="35" s="1"/>
  <c r="I52" i="30"/>
  <c r="H10" i="41" l="1"/>
  <c r="L10" i="41" s="1"/>
  <c r="C6" i="41" l="1"/>
  <c r="C5" i="41"/>
  <c r="C4" i="41"/>
  <c r="D22" i="41" l="1"/>
  <c r="C5" i="37" l="1"/>
  <c r="C4" i="37"/>
  <c r="C3" i="37"/>
  <c r="D5" i="17"/>
  <c r="D4" i="17"/>
  <c r="D3" i="17"/>
  <c r="E6" i="40"/>
  <c r="E5" i="40"/>
  <c r="E4" i="40"/>
  <c r="E3" i="40"/>
  <c r="F6" i="35"/>
  <c r="F5" i="35"/>
  <c r="F4" i="35"/>
  <c r="F3" i="35"/>
  <c r="F6" i="31"/>
  <c r="F5" i="31"/>
  <c r="F4" i="31"/>
  <c r="F3" i="31"/>
  <c r="G46" i="30" l="1"/>
  <c r="E46" i="30"/>
  <c r="J53" i="30" l="1"/>
  <c r="M53" i="30" s="1"/>
  <c r="J61" i="30"/>
  <c r="M54" i="30" s="1"/>
  <c r="N54" i="30" s="1"/>
  <c r="J58" i="30"/>
  <c r="M55" i="30" l="1"/>
  <c r="N53" i="30"/>
  <c r="M57" i="30"/>
  <c r="M59" i="30" s="1"/>
  <c r="J54" i="30"/>
  <c r="J62" i="30"/>
  <c r="I62" i="30" s="1"/>
  <c r="D59" i="30"/>
  <c r="D60" i="30"/>
  <c r="D61" i="30"/>
  <c r="D62" i="30"/>
  <c r="B10" i="31"/>
  <c r="E10" i="31" s="1"/>
  <c r="E12" i="31"/>
  <c r="C12" i="31"/>
  <c r="B13" i="31"/>
  <c r="C13" i="31"/>
  <c r="B14" i="31"/>
  <c r="E14" i="31" s="1"/>
  <c r="B15" i="31"/>
  <c r="E15" i="31" s="1"/>
  <c r="B16" i="31"/>
  <c r="F16" i="31" s="1"/>
  <c r="C16" i="31"/>
  <c r="B17" i="31"/>
  <c r="C17" i="31"/>
  <c r="B18" i="31"/>
  <c r="C18" i="31"/>
  <c r="C19" i="31"/>
  <c r="B20" i="31"/>
  <c r="C20" i="31"/>
  <c r="B21" i="31"/>
  <c r="B22" i="31"/>
  <c r="B23" i="31"/>
  <c r="E23" i="31" s="1"/>
  <c r="M77" i="35"/>
  <c r="M78" i="35" s="1"/>
  <c r="M65" i="35"/>
  <c r="M66" i="35" s="1"/>
  <c r="I59" i="30"/>
  <c r="I61" i="30"/>
  <c r="J60" i="30"/>
  <c r="I60" i="30" s="1"/>
  <c r="D58" i="30"/>
  <c r="C57" i="30"/>
  <c r="C15" i="31" s="1"/>
  <c r="C7" i="30"/>
  <c r="D18" i="31" l="1"/>
  <c r="N55" i="30"/>
  <c r="J17" i="31"/>
  <c r="F21" i="31"/>
  <c r="D21" i="31"/>
  <c r="D10" i="31"/>
  <c r="H14" i="31" s="1"/>
  <c r="F18" i="31"/>
  <c r="F12" i="31"/>
  <c r="D15" i="31"/>
  <c r="H21" i="31" s="1"/>
  <c r="F14" i="31"/>
  <c r="D19" i="31"/>
  <c r="E18" i="31"/>
  <c r="D20" i="31"/>
  <c r="D16" i="31"/>
  <c r="E16" i="31"/>
  <c r="F22" i="31"/>
  <c r="F20" i="31"/>
  <c r="D17" i="31"/>
  <c r="E13" i="31"/>
  <c r="D14" i="31"/>
  <c r="D23" i="31"/>
  <c r="D22" i="31"/>
  <c r="E20" i="31"/>
  <c r="E19" i="31"/>
  <c r="F17" i="31"/>
  <c r="F23" i="31"/>
  <c r="E21" i="31"/>
  <c r="F19" i="31"/>
  <c r="E17" i="31"/>
  <c r="F13" i="31"/>
  <c r="E22" i="31"/>
  <c r="I22" i="31"/>
  <c r="I58" i="30"/>
  <c r="H36" i="17"/>
  <c r="H35" i="17"/>
  <c r="N57" i="30" l="1"/>
  <c r="N59" i="30" s="1"/>
  <c r="J19" i="31"/>
  <c r="J20" i="31"/>
  <c r="J16" i="31"/>
  <c r="J18" i="31"/>
  <c r="C6" i="30" l="1"/>
  <c r="D54" i="30"/>
  <c r="D13" i="31" s="1"/>
  <c r="D53" i="30"/>
  <c r="D12" i="31" s="1"/>
  <c r="C51" i="30"/>
  <c r="C10" i="31" s="1"/>
  <c r="M24" i="35"/>
  <c r="M25" i="35" s="1"/>
  <c r="B27" i="31" l="1"/>
  <c r="A13" i="31" l="1"/>
  <c r="I54" i="30"/>
  <c r="I53" i="30"/>
  <c r="D20" i="37" l="1"/>
  <c r="E20" i="37"/>
  <c r="F20" i="37"/>
  <c r="G20" i="37"/>
  <c r="D32" i="37"/>
  <c r="E32" i="37"/>
  <c r="F32" i="37"/>
  <c r="G32" i="37"/>
  <c r="D39" i="37"/>
  <c r="E39" i="37"/>
  <c r="G39" i="37"/>
  <c r="D43" i="37"/>
  <c r="E43" i="37"/>
  <c r="F43" i="37"/>
  <c r="E44" i="37" l="1"/>
  <c r="D44" i="37"/>
  <c r="G44" i="37"/>
  <c r="F44" i="37"/>
  <c r="P2" i="35" s="1"/>
  <c r="P4" i="35" s="1"/>
  <c r="J55" i="35" l="1"/>
  <c r="M47" i="35" l="1"/>
  <c r="A16" i="31" l="1"/>
  <c r="B29" i="31" l="1"/>
  <c r="D29" i="31" s="1"/>
  <c r="B30" i="31"/>
  <c r="D30" i="31" s="1"/>
  <c r="A10" i="31"/>
  <c r="A14" i="31"/>
  <c r="A12" i="31"/>
  <c r="K9" i="35" l="1"/>
  <c r="I16" i="35"/>
  <c r="E16" i="35"/>
  <c r="E18" i="35" s="1"/>
  <c r="E19" i="35" s="1"/>
  <c r="F16" i="35"/>
  <c r="H16" i="35"/>
  <c r="D17" i="35"/>
  <c r="D18" i="35" s="1"/>
  <c r="D19" i="35" s="1"/>
  <c r="D20" i="35" s="1"/>
  <c r="D21" i="35" s="1"/>
  <c r="D22" i="35" s="1"/>
  <c r="K16" i="35"/>
  <c r="K19" i="35" s="1"/>
  <c r="H76" i="35"/>
  <c r="F69" i="35"/>
  <c r="F64" i="35"/>
  <c r="F59" i="35"/>
  <c r="I28" i="35"/>
  <c r="D29" i="35"/>
  <c r="I76" i="35"/>
  <c r="D77" i="35"/>
  <c r="D78" i="35" s="1"/>
  <c r="D79" i="35" s="1"/>
  <c r="D80" i="35" s="1"/>
  <c r="H69" i="35"/>
  <c r="H64" i="35"/>
  <c r="H59" i="35"/>
  <c r="K28" i="35"/>
  <c r="E28" i="35"/>
  <c r="F76" i="35"/>
  <c r="K69" i="35"/>
  <c r="E69" i="35"/>
  <c r="E71" i="35" s="1"/>
  <c r="E72" i="35" s="1"/>
  <c r="K64" i="35"/>
  <c r="E64" i="35"/>
  <c r="E65" i="35" s="1"/>
  <c r="K59" i="35"/>
  <c r="E59" i="35"/>
  <c r="E60" i="35" s="1"/>
  <c r="H28" i="35"/>
  <c r="K76" i="35"/>
  <c r="E76" i="35"/>
  <c r="E77" i="35" s="1"/>
  <c r="I69" i="35"/>
  <c r="D70" i="35"/>
  <c r="D71" i="35" s="1"/>
  <c r="D72" i="35" s="1"/>
  <c r="D73" i="35" s="1"/>
  <c r="D74" i="35" s="1"/>
  <c r="D75" i="35" s="1"/>
  <c r="I64" i="35"/>
  <c r="D65" i="35"/>
  <c r="D66" i="35" s="1"/>
  <c r="D67" i="35" s="1"/>
  <c r="D68" i="35" s="1"/>
  <c r="I59" i="35"/>
  <c r="D60" i="35"/>
  <c r="D61" i="35" s="1"/>
  <c r="D62" i="35" s="1"/>
  <c r="D63" i="35" s="1"/>
  <c r="F28" i="35"/>
  <c r="E9" i="35"/>
  <c r="E10" i="35" s="1"/>
  <c r="E11" i="35" s="1"/>
  <c r="E12" i="35" s="1"/>
  <c r="F9" i="35"/>
  <c r="B10" i="35" s="1"/>
  <c r="H9" i="35"/>
  <c r="D10" i="35"/>
  <c r="D11" i="35" s="1"/>
  <c r="D12" i="35" s="1"/>
  <c r="D13" i="35" s="1"/>
  <c r="D14" i="35" s="1"/>
  <c r="D15" i="35" s="1"/>
  <c r="H23" i="35"/>
  <c r="F23" i="35"/>
  <c r="D24" i="35"/>
  <c r="D25" i="35" s="1"/>
  <c r="D26" i="35" s="1"/>
  <c r="D27" i="35" s="1"/>
  <c r="K23" i="35"/>
  <c r="E23" i="35"/>
  <c r="E24" i="35" s="1"/>
  <c r="I23" i="35"/>
  <c r="B28" i="31"/>
  <c r="D28" i="31" s="1"/>
  <c r="D27" i="31"/>
  <c r="K52" i="35" l="1"/>
  <c r="K51" i="35"/>
  <c r="K49" i="35"/>
  <c r="K53" i="35"/>
  <c r="K50" i="35"/>
  <c r="K54" i="35"/>
  <c r="K55" i="35"/>
  <c r="K12" i="35"/>
  <c r="D30" i="35"/>
  <c r="D31" i="35" s="1"/>
  <c r="D32" i="35" s="1"/>
  <c r="D33" i="35" s="1"/>
  <c r="D34" i="35" s="1"/>
  <c r="D35" i="35" s="1"/>
  <c r="D36" i="35" s="1"/>
  <c r="D37" i="35" s="1"/>
  <c r="D38" i="35" s="1"/>
  <c r="D39" i="35" s="1"/>
  <c r="D40" i="35" s="1"/>
  <c r="D41" i="35" s="1"/>
  <c r="D42" i="35" s="1"/>
  <c r="K32" i="35"/>
  <c r="K36" i="35"/>
  <c r="K40" i="35"/>
  <c r="K43" i="35"/>
  <c r="K47" i="35"/>
  <c r="N47" i="35" s="1"/>
  <c r="K31" i="35"/>
  <c r="K39" i="35"/>
  <c r="K46" i="35"/>
  <c r="K33" i="35"/>
  <c r="K37" i="35"/>
  <c r="K41" i="35"/>
  <c r="K44" i="35"/>
  <c r="K48" i="35"/>
  <c r="K29" i="35"/>
  <c r="K35" i="35"/>
  <c r="K30" i="35"/>
  <c r="K34" i="35"/>
  <c r="K38" i="35"/>
  <c r="K42" i="35"/>
  <c r="K45" i="35"/>
  <c r="K72" i="35"/>
  <c r="K70" i="35"/>
  <c r="K18" i="35"/>
  <c r="K17" i="35"/>
  <c r="K60" i="35"/>
  <c r="K77" i="35"/>
  <c r="N77" i="35" s="1"/>
  <c r="P78" i="35"/>
  <c r="B71" i="35"/>
  <c r="K65" i="35"/>
  <c r="N65" i="35" s="1"/>
  <c r="P66" i="35"/>
  <c r="K10" i="35"/>
  <c r="B11" i="35"/>
  <c r="K24" i="35"/>
  <c r="N24" i="35" s="1"/>
  <c r="P25" i="35"/>
  <c r="D43" i="35" l="1"/>
  <c r="D44" i="35" s="1"/>
  <c r="D45" i="35" s="1"/>
  <c r="D46" i="35" s="1"/>
  <c r="D47" i="35" s="1"/>
  <c r="D48" i="35" s="1"/>
  <c r="D51" i="35" s="1"/>
  <c r="D53" i="35" s="1"/>
  <c r="D55" i="35" s="1"/>
  <c r="D56" i="35" s="1"/>
  <c r="D57" i="35" s="1"/>
  <c r="D58" i="35" s="1"/>
  <c r="M29" i="35"/>
  <c r="K71" i="35"/>
  <c r="N78" i="35"/>
  <c r="O78" i="35"/>
  <c r="Q78" i="35" s="1"/>
  <c r="B72" i="35"/>
  <c r="M70" i="35"/>
  <c r="O66" i="35"/>
  <c r="Q66" i="35" s="1"/>
  <c r="N66" i="35"/>
  <c r="M10" i="35"/>
  <c r="B12" i="35"/>
  <c r="K11" i="35"/>
  <c r="O25" i="35"/>
  <c r="Q25" i="35" s="1"/>
  <c r="N25" i="35"/>
  <c r="M17" i="35" l="1"/>
  <c r="M71" i="35"/>
  <c r="L72" i="35" s="1"/>
  <c r="N70" i="35"/>
  <c r="N10" i="35"/>
  <c r="M11" i="35"/>
  <c r="L12" i="35" s="1"/>
  <c r="N12" i="35" s="1"/>
  <c r="N12" i="17"/>
  <c r="M30" i="35" l="1"/>
  <c r="N17" i="35"/>
  <c r="N71" i="35"/>
  <c r="M72" i="35"/>
  <c r="M73" i="35" s="1"/>
  <c r="N72" i="35"/>
  <c r="N11" i="35"/>
  <c r="M12" i="35"/>
  <c r="R13" i="35" s="1"/>
  <c r="AC12" i="17"/>
  <c r="Y12" i="17"/>
  <c r="U12" i="17"/>
  <c r="J25" i="17" s="1"/>
  <c r="Q12" i="17"/>
  <c r="AA12" i="17"/>
  <c r="J29" i="17" s="1"/>
  <c r="D18" i="41" s="1"/>
  <c r="S12" i="17"/>
  <c r="V12" i="17"/>
  <c r="AB12" i="17"/>
  <c r="X12" i="17"/>
  <c r="J27" i="17" s="1"/>
  <c r="T12" i="17"/>
  <c r="P12" i="17"/>
  <c r="W12" i="17"/>
  <c r="Z12" i="17"/>
  <c r="R12" i="17"/>
  <c r="J23" i="17" s="1"/>
  <c r="AF12" i="17"/>
  <c r="AE12" i="17"/>
  <c r="AD12" i="17" s="1"/>
  <c r="O12" i="17"/>
  <c r="J21" i="17" s="1"/>
  <c r="D17" i="41" l="1"/>
  <c r="M13" i="35"/>
  <c r="M31" i="35"/>
  <c r="N73" i="35"/>
  <c r="P73" i="35"/>
  <c r="O73" i="35"/>
  <c r="N13" i="35"/>
  <c r="P13" i="35"/>
  <c r="O13" i="35"/>
  <c r="M32" i="35" l="1"/>
  <c r="L60" i="35"/>
  <c r="M10" i="41"/>
  <c r="N10" i="41" s="1"/>
  <c r="O10" i="41" s="1"/>
  <c r="P10" i="41" s="1"/>
  <c r="Q10" i="41" s="1"/>
  <c r="R10" i="41" s="1"/>
  <c r="V10" i="41" s="1"/>
  <c r="Q73" i="35"/>
  <c r="Q13" i="35"/>
  <c r="M33" i="35" l="1"/>
  <c r="C83" i="35"/>
  <c r="D83" i="35" s="1"/>
  <c r="C85" i="35"/>
  <c r="D85" i="35" s="1"/>
  <c r="C82" i="35"/>
  <c r="D82" i="35" s="1"/>
  <c r="C84" i="35"/>
  <c r="D84" i="35" s="1"/>
  <c r="M18" i="35"/>
  <c r="N18" i="35"/>
  <c r="T10" i="41"/>
  <c r="W10" i="41"/>
  <c r="S10" i="41"/>
  <c r="U10" i="41"/>
  <c r="M60" i="35"/>
  <c r="M61" i="35" s="1"/>
  <c r="N60" i="35"/>
  <c r="L19" i="35" l="1"/>
  <c r="N19" i="35" s="1"/>
  <c r="O20" i="35" s="1"/>
  <c r="M35" i="35"/>
  <c r="M34" i="35"/>
  <c r="M19" i="35"/>
  <c r="W11" i="41"/>
  <c r="O61" i="35"/>
  <c r="N61" i="35"/>
  <c r="P61" i="35"/>
  <c r="C67" i="30"/>
  <c r="M36" i="35" l="1"/>
  <c r="M20" i="35"/>
  <c r="P20" i="35" s="1"/>
  <c r="N20" i="35"/>
  <c r="Q61" i="35"/>
  <c r="Q20" i="35" l="1"/>
  <c r="M37" i="35"/>
  <c r="N34" i="35"/>
  <c r="N30" i="35"/>
  <c r="N33" i="35"/>
  <c r="N35" i="35"/>
  <c r="N31" i="35"/>
  <c r="N29" i="35"/>
  <c r="N36" i="35"/>
  <c r="N32" i="35"/>
  <c r="M38" i="35"/>
  <c r="N37" i="35" l="1"/>
  <c r="N38" i="35"/>
  <c r="H4" i="30"/>
  <c r="M39" i="35" l="1"/>
  <c r="E9" i="40"/>
  <c r="H15" i="40"/>
  <c r="J14" i="40"/>
  <c r="D11" i="40"/>
  <c r="I15" i="40"/>
  <c r="H13" i="40"/>
  <c r="D15" i="40"/>
  <c r="I10" i="40"/>
  <c r="H10" i="40"/>
  <c r="F12" i="40"/>
  <c r="E11" i="40"/>
  <c r="I14" i="40"/>
  <c r="I13" i="40"/>
  <c r="F13" i="40"/>
  <c r="F9" i="40"/>
  <c r="J9" i="40"/>
  <c r="J10" i="40"/>
  <c r="E14" i="40"/>
  <c r="F15" i="40"/>
  <c r="D12" i="40"/>
  <c r="E15" i="40"/>
  <c r="D14" i="40"/>
  <c r="I11" i="40"/>
  <c r="H11" i="40"/>
  <c r="E12" i="40"/>
  <c r="D10" i="40"/>
  <c r="F11" i="40"/>
  <c r="E13" i="40"/>
  <c r="F10" i="40"/>
  <c r="F14" i="40"/>
  <c r="E10" i="40"/>
  <c r="H14" i="40"/>
  <c r="J12" i="40"/>
  <c r="J15" i="40"/>
  <c r="J11" i="40"/>
  <c r="I12" i="40"/>
  <c r="H12" i="40"/>
  <c r="H9" i="40"/>
  <c r="I9" i="40"/>
  <c r="D13" i="40"/>
  <c r="D9" i="40"/>
  <c r="J13" i="40"/>
  <c r="N39" i="35" l="1"/>
  <c r="M40" i="35"/>
  <c r="N40" i="35"/>
  <c r="M41" i="35" l="1"/>
  <c r="M42" i="35" l="1"/>
  <c r="N41" i="35"/>
  <c r="B22" i="17"/>
  <c r="B24" i="17"/>
  <c r="B28" i="17"/>
  <c r="B26" i="17"/>
  <c r="B30" i="17"/>
  <c r="N42" i="35" l="1"/>
  <c r="M43" i="35" l="1"/>
  <c r="N43" i="35" l="1"/>
  <c r="M44" i="35"/>
  <c r="N44" i="35" l="1"/>
  <c r="M45" i="35" l="1"/>
  <c r="N45" i="35"/>
  <c r="M46" i="35" l="1"/>
  <c r="N46" i="35"/>
  <c r="N48" i="35" l="1"/>
  <c r="M48" i="35" l="1"/>
  <c r="N51" i="35"/>
  <c r="N53" i="35" l="1"/>
  <c r="M51" i="35"/>
  <c r="L52" i="35" s="1"/>
  <c r="L50" i="35"/>
  <c r="L49" i="35"/>
  <c r="C667" i="35"/>
  <c r="M49" i="35" l="1"/>
  <c r="N49" i="35"/>
  <c r="M50" i="35"/>
  <c r="N50" i="35"/>
  <c r="M52" i="35"/>
  <c r="N52" i="35"/>
  <c r="M53" i="35"/>
  <c r="L54" i="35" s="1"/>
  <c r="M54" i="35" l="1"/>
  <c r="L55" i="35" s="1"/>
  <c r="N54" i="35"/>
  <c r="M55" i="35" l="1"/>
  <c r="N55" i="35"/>
  <c r="N56" i="35" s="1"/>
  <c r="M56" i="35"/>
  <c r="P56" i="35" s="1"/>
  <c r="O56" i="35" l="1"/>
  <c r="Q56" i="35" s="1"/>
  <c r="O83" i="35" l="1"/>
  <c r="P83" i="35" l="1"/>
  <c r="Q83" i="35"/>
  <c r="H37" i="17" l="1"/>
  <c r="H38" i="17" s="1"/>
  <c r="J32" i="17" s="1"/>
  <c r="H11" i="17" s="1"/>
  <c r="J11" i="17" s="1"/>
  <c r="L21" i="35" l="1"/>
  <c r="M21" i="35" s="1"/>
  <c r="M22" i="35" s="1"/>
  <c r="L67" i="35"/>
  <c r="M67" i="35" s="1"/>
  <c r="M68" i="35" s="1"/>
  <c r="L57" i="35"/>
  <c r="M57" i="35" s="1"/>
  <c r="L26" i="35"/>
  <c r="M26" i="35" s="1"/>
  <c r="M27" i="35" s="1"/>
  <c r="L24" i="31"/>
  <c r="K23" i="40"/>
  <c r="L14" i="35"/>
  <c r="M14" i="35" s="1"/>
  <c r="M15" i="35" s="1"/>
  <c r="L62" i="35"/>
  <c r="M62" i="35" s="1"/>
  <c r="M63" i="35" s="1"/>
  <c r="O84" i="35"/>
  <c r="O85" i="35" s="1"/>
  <c r="L79" i="35"/>
  <c r="M79" i="35" s="1"/>
  <c r="M80" i="35" s="1"/>
  <c r="L74" i="35"/>
  <c r="M74" i="35" s="1"/>
  <c r="M75" i="35" s="1"/>
  <c r="M58" i="35" l="1"/>
  <c r="K14" i="40" l="1"/>
  <c r="L14" i="40" s="1"/>
  <c r="K11" i="31"/>
  <c r="L11" i="31" s="1"/>
  <c r="K13" i="40"/>
  <c r="L13" i="40" s="1"/>
  <c r="M13" i="31"/>
  <c r="L13" i="31"/>
  <c r="K9" i="40"/>
  <c r="L9" i="40" s="1"/>
  <c r="M12" i="31"/>
  <c r="L12" i="31"/>
  <c r="M14" i="31" l="1"/>
  <c r="L17" i="31"/>
  <c r="N17" i="31" s="1"/>
  <c r="M17" i="31"/>
  <c r="L19" i="31"/>
  <c r="M19" i="31"/>
  <c r="K12" i="40"/>
  <c r="L12" i="40" s="1"/>
  <c r="K15" i="40"/>
  <c r="L15" i="40" s="1"/>
  <c r="L20" i="31"/>
  <c r="M20" i="31"/>
  <c r="M18" i="31"/>
  <c r="K11" i="40"/>
  <c r="L11" i="40" s="1"/>
  <c r="L18" i="31"/>
  <c r="O13" i="31"/>
  <c r="N13" i="31"/>
  <c r="N12" i="31"/>
  <c r="O12" i="31"/>
  <c r="L16" i="31"/>
  <c r="M16" i="31"/>
  <c r="K10" i="40"/>
  <c r="L10" i="40" s="1"/>
  <c r="O17" i="31" l="1"/>
  <c r="O14" i="31"/>
  <c r="N14" i="31"/>
  <c r="M21" i="31"/>
  <c r="M23" i="31" s="1"/>
  <c r="L17" i="40"/>
  <c r="L19" i="40"/>
  <c r="L21" i="40"/>
  <c r="L20" i="40"/>
  <c r="N20" i="31"/>
  <c r="O20" i="31"/>
  <c r="N16" i="31"/>
  <c r="O16" i="31"/>
  <c r="O18" i="31"/>
  <c r="N18" i="31"/>
  <c r="O19" i="31"/>
  <c r="N19" i="31"/>
  <c r="P11" i="31" l="1"/>
  <c r="P12" i="31"/>
  <c r="M24" i="31"/>
  <c r="M31" i="31" s="1"/>
  <c r="P13" i="31"/>
  <c r="L22" i="40"/>
  <c r="M19" i="40" s="1"/>
  <c r="O21" i="31"/>
  <c r="P16" i="31" s="1"/>
  <c r="N21" i="31"/>
  <c r="N25" i="31" s="1"/>
  <c r="O25" i="31" l="1"/>
  <c r="O31" i="31" s="1"/>
  <c r="O86" i="35"/>
  <c r="M21" i="40"/>
  <c r="K38" i="17" s="1"/>
  <c r="M20" i="40"/>
  <c r="P20" i="31"/>
  <c r="P19" i="31"/>
  <c r="P18" i="31"/>
  <c r="L23" i="40"/>
  <c r="L24" i="40" s="1"/>
  <c r="M9" i="40"/>
  <c r="M13" i="40"/>
  <c r="M14" i="40"/>
  <c r="M15" i="40"/>
  <c r="M10" i="40"/>
  <c r="M12" i="40"/>
  <c r="M11" i="40"/>
  <c r="P17" i="31"/>
  <c r="N31" i="31" l="1"/>
  <c r="M22" i="40"/>
  <c r="P21" i="31"/>
  <c r="P14" i="31"/>
  <c r="N12" i="40"/>
  <c r="C12" i="40" s="1"/>
  <c r="N15" i="40"/>
  <c r="C15" i="40" s="1"/>
  <c r="N9" i="40"/>
  <c r="C9" i="40" s="1"/>
  <c r="N11" i="40"/>
  <c r="C11" i="40" s="1"/>
  <c r="N14" i="40"/>
  <c r="C14" i="40" s="1"/>
  <c r="N13" i="40"/>
  <c r="C13" i="40" s="1"/>
  <c r="N10" i="40"/>
  <c r="C10" i="40" s="1"/>
  <c r="M17" i="40"/>
  <c r="L29" i="40"/>
  <c r="L31" i="40" s="1"/>
  <c r="L27" i="40"/>
  <c r="P25" i="31" l="1"/>
</calcChain>
</file>

<file path=xl/comments1.xml><?xml version="1.0" encoding="utf-8"?>
<comments xmlns="http://schemas.openxmlformats.org/spreadsheetml/2006/main">
  <authors>
    <author>Autor</author>
  </authors>
  <commentList>
    <comment ref="F45" authorId="0" shapeId="0">
      <text>
        <r>
          <rPr>
            <b/>
            <sz val="9"/>
            <color indexed="81"/>
            <rFont val="Segoe UI"/>
            <family val="2"/>
          </rPr>
          <t>Autor:</t>
        </r>
        <r>
          <rPr>
            <sz val="9"/>
            <color indexed="81"/>
            <rFont val="Segoe UI"/>
            <family val="2"/>
          </rPr>
          <t xml:space="preserve">
Empolamento ou expansão volumétrica é um fenômeno característico dos solos, importante na terraplenagem, principalmente quanto ao transporte de material. Quando se dispõe o resíduo nos contentores, ocorre uma expansão volumétrica que chega a ser considerável em certos casos.</t>
        </r>
      </text>
    </comment>
    <comment ref="E46" authorId="0" shapeId="0">
      <text>
        <r>
          <rPr>
            <b/>
            <sz val="9"/>
            <color indexed="81"/>
            <rFont val="Segoe UI"/>
            <family val="2"/>
          </rPr>
          <t>Autor:</t>
        </r>
        <r>
          <rPr>
            <sz val="9"/>
            <color indexed="81"/>
            <rFont val="Segoe UI"/>
            <family val="2"/>
          </rPr>
          <t xml:space="preserve">
Devido ao fato da maior parte do lixo ser papel, o peso encontrado foi relativamente baixo,
apresentando apenas um grande volume</t>
        </r>
      </text>
    </comment>
  </commentList>
</comments>
</file>

<file path=xl/comments2.xml><?xml version="1.0" encoding="utf-8"?>
<comments xmlns="http://schemas.openxmlformats.org/spreadsheetml/2006/main">
  <authors>
    <author>Autor</author>
  </authors>
  <commentList>
    <comment ref="D35" authorId="0" shapeId="0">
      <text>
        <r>
          <rPr>
            <b/>
            <sz val="9"/>
            <color indexed="81"/>
            <rFont val="Segoe UI"/>
            <family val="2"/>
          </rPr>
          <t>Autor:</t>
        </r>
        <r>
          <rPr>
            <sz val="9"/>
            <color indexed="81"/>
            <rFont val="Segoe UI"/>
            <family val="2"/>
          </rPr>
          <t xml:space="preserve">
COFINS - Contribuição para o Financiamento da Seguridade Social Base de Cálculo: a base de cálculo da COFINS é composta pela totalidade das receitas auferidas pela pessoa jurídica, independentemente da atividade exercida e da classificação contábil das receitas.
Alíquota: 7,60% (Lucro Real); 3% (Lucro Presumido); Variável (Simples Nacional).</t>
        </r>
      </text>
    </comment>
    <comment ref="D36" authorId="0" shapeId="0">
      <text>
        <r>
          <rPr>
            <b/>
            <sz val="9"/>
            <color indexed="81"/>
            <rFont val="Segoe UI"/>
            <family val="2"/>
          </rPr>
          <t>Autor:</t>
        </r>
        <r>
          <rPr>
            <sz val="9"/>
            <color indexed="81"/>
            <rFont val="Segoe UI"/>
            <family val="2"/>
          </rPr>
          <t xml:space="preserve">
PIS - Programa de Integração Social e de Formação do Patrimônio do Servidor Público Contribuintes: são contribuintes do PIS segundo as regras vigentes as pessoas jurídicas de direito privado de fins lucrativos e as que lhes são equiparadas pela legislação do Imposto de Renda.
Alíquota: PIS 1,65% (Lucro Real); 0,65% (Lucro Presumido); Variável (Simples Nacional) </t>
        </r>
      </text>
    </comment>
    <comment ref="D37" authorId="0" shapeId="0">
      <text>
        <r>
          <rPr>
            <b/>
            <sz val="9"/>
            <color indexed="81"/>
            <rFont val="Segoe UI"/>
            <family val="2"/>
          </rPr>
          <t>Autor:</t>
        </r>
        <r>
          <rPr>
            <sz val="9"/>
            <color indexed="81"/>
            <rFont val="Segoe UI"/>
            <family val="2"/>
          </rPr>
          <t xml:space="preserve">
ISS - O imposto será calculado aplicando-se sobre a base de cálculo as seguintes alíquotas: (Art. 33 Lei nº 3.691 de 28.11.2003).
I - Alíquota genérica: 5,00%
II - Alíquotas específica: 3,00% (Limpeza e dragagem de portos, rios e canais; construção civil; obras hidráulicas; engenharia consultiva; reparação e reforma de edifícios, estradas, pontes e congêneres)
</t>
        </r>
        <r>
          <rPr>
            <b/>
            <sz val="9"/>
            <color indexed="81"/>
            <rFont val="Segoe UI"/>
            <family val="2"/>
          </rPr>
          <t>Base de Cálculo do ISS</t>
        </r>
        <r>
          <rPr>
            <sz val="9"/>
            <color indexed="81"/>
            <rFont val="Segoe UI"/>
            <family val="2"/>
          </rPr>
          <t xml:space="preserve">
De acordo com o Art. 7o da LC 116/03: A base de cálculo do imposto é o preço do serviço.
Considera-se preço do serviço, o valor da receita bruta total, sem dedução de qualquer parcela, mesmo referente a frete, carreto ou imposto. Assim, haverá a tributação do ISS sobre a prestação de serviço, excepcionando o fornecimento de mercadorias, que é tributada pelo ICMS.
O parágrafo 2º do art. 9º do Decreto-lei no. 406/68 prevê a dedução do preço dos serviços de construção civil:
As parcelas correspondentes ao valor dos materiais fornecidos pelo prestador
Ao valor das subempreitadas já tributadas pelo ISS.
A Lei Complementar no. 116 de 2003 revoga os artigos 8º, 10º, 11º, e 12º, do Decreto Lei 406 de 31 de dezembro de 1968, e traz expressamente: Parágrafo 2º do art. 7º da LC 116/03: Não se incluem na base de cálculo do ISS:
1 - O valor dos materiais fornecidos pelo prestador dos serviços previstos nos itens 7.02 e 7.05 da lista anexa à Lei Complementar.
7.02 - Execução, por administração, empreitada ou subempreitada, de obras de construção civil, hidráulica ou elétrica e de outras obras semelhantes, inclusive sondagem, perfuração de poços, escavação, drenagem e irrigação, terraplanagem, pavimentação, concretagem e a instalação e montagem de produtos, peças e equipamentos (exceto o fornecimento de mercadorias produzidas pelo prestador de serviços fora do local da prestação dos serviços, que fica sujeito ao ICMS).
7.05 - Reparação, conservação e reforma de edifícios, estradas, pontes, portos e congêneres (exceto o fornecimento de mercadorias produzidas pelo prestador dos serviços, fora do local da prestação dos serviços, que fica sujeito ao ICMS)).
</t>
        </r>
      </text>
    </comment>
  </commentList>
</comments>
</file>

<file path=xl/sharedStrings.xml><?xml version="1.0" encoding="utf-8"?>
<sst xmlns="http://schemas.openxmlformats.org/spreadsheetml/2006/main" count="751" uniqueCount="413">
  <si>
    <t>UNIVERSIDADE FEDERAL DO RIO DE JANEIRO</t>
  </si>
  <si>
    <t>PREFEITURA UNIVERSITÁRIA</t>
  </si>
  <si>
    <t>INÍCIO</t>
  </si>
  <si>
    <t>PLANILHA GERAL</t>
  </si>
  <si>
    <t>Item</t>
  </si>
  <si>
    <t>Fonte</t>
  </si>
  <si>
    <t>Código</t>
  </si>
  <si>
    <t>Descrição</t>
  </si>
  <si>
    <t>Unid</t>
  </si>
  <si>
    <t>Qtde</t>
  </si>
  <si>
    <t>Custo Direto</t>
  </si>
  <si>
    <t>Preço Unitário</t>
  </si>
  <si>
    <t>-</t>
  </si>
  <si>
    <t>+</t>
  </si>
  <si>
    <t>SINAPI</t>
  </si>
  <si>
    <t>SCO/RIO</t>
  </si>
  <si>
    <t>≠</t>
  </si>
  <si>
    <t>Nível</t>
  </si>
  <si>
    <t>Tipo</t>
  </si>
  <si>
    <t>Coeficiente</t>
  </si>
  <si>
    <t>Custo do Item</t>
  </si>
  <si>
    <t>Custo Unitário</t>
  </si>
  <si>
    <t>Custo Total</t>
  </si>
  <si>
    <t>BDI</t>
  </si>
  <si>
    <t>Sr. Licitante,</t>
  </si>
  <si>
    <t>V.Sa. está recebendo uma cópia fiel da planilha destinada à Licitação do objeto abaixo descrito. Para um correto preenchimento, leia atentamente estas instruções. Lembramos que estas planilhas deverão ser apresentadas impressas em papel timbrado da firma e em arquivo digital, e, que qualquer alteração nas células restritas, acarretará na eliminação de sua empresa.</t>
  </si>
  <si>
    <t>OBJETO:</t>
  </si>
  <si>
    <t>LOCAL:</t>
  </si>
  <si>
    <t>Planilhas</t>
  </si>
  <si>
    <t>Relação dos serviços apropriados diretamente à consecução do produto final que é o próprio empreendimento.</t>
  </si>
  <si>
    <t>Planilha com o detalhamento de cálculo do BDI (Benefício/Bonificação e Despesas Indiretas)</t>
  </si>
  <si>
    <t>ENCARGOS SOCIAIS</t>
  </si>
  <si>
    <t>Planilha com o detalhamento de cálculo dos Encargos Sociais</t>
  </si>
  <si>
    <t>Para a correta utilização destas planilhas, ficam assim conceituados os termos:</t>
  </si>
  <si>
    <t>Termos</t>
  </si>
  <si>
    <t>Data base</t>
  </si>
  <si>
    <t>Data da cotação dos insumos.</t>
  </si>
  <si>
    <t>Itens</t>
  </si>
  <si>
    <t>Serviços apropriados diretamente à consecução do produto final que é o próprio empreendimento.</t>
  </si>
  <si>
    <t>A definição dos itens deverá tomar por base, na ordem: SINAPI, tabelas oficiais de órgãos público, revistas especializadas e pesquisa de mercado.</t>
  </si>
  <si>
    <t>Código de referência dos serviços conforme SINAPI, tabelas oficiais de órgãos público e revistas especializadas.</t>
  </si>
  <si>
    <t>Código + (I)</t>
  </si>
  <si>
    <t>Código de referência de insumos, pois devido à específicidade da contratação foram inseridos diretamente na planilha GERAL</t>
  </si>
  <si>
    <t>Os insumos foram classificados em “materiais”, “mão de obra”, “equipamento”, “composições”, "leis sociais", "encargos complementares" e "despesas eventuais".</t>
  </si>
  <si>
    <t>Descrição dos serviços conforme SINAPI, tabelas oficiais de órgãos público, revistas especializadas e pesquisa de mercado</t>
  </si>
  <si>
    <t>Unid.</t>
  </si>
  <si>
    <t>Cada serviço possui sua unidade de medição e precificação.</t>
  </si>
  <si>
    <t>Os insumos estão associados a coeficientes, relativos à unidade de serviço (produtividade da mão de obra, produção de equipamentos e consumos de materiais).</t>
  </si>
  <si>
    <t>Qtda.</t>
  </si>
  <si>
    <t>Quantidade estimada pela contratante em planta ou “in loco” para a execução do item.</t>
  </si>
  <si>
    <t>É o custo de uma unidade de medida de um determinado item. A definição dos preços deverá tomar por base, na ordem: SINAPI, tabelas oficiais de órgãos público, revistas especializadas e pesquisa de mercado.</t>
  </si>
  <si>
    <t>É o Custo do Item multiplicado pela quantidade estimada para a realização de um serviço</t>
  </si>
  <si>
    <t>O Custo Direto de cada serviço é definido por meio de sua composição e pelos custos dos serviços que o compõe. Também pode ser entendido como o valor de um item ou serviço sem BDI.</t>
  </si>
  <si>
    <t>É a soma de todas as quantidades de um item multiplicado pelo seu Custo Direto.</t>
  </si>
  <si>
    <t>É o Custo Direto de um serviço multiplicado pelo percentual referente ao seu BDI.</t>
  </si>
  <si>
    <t>Preço Total Mensal</t>
  </si>
  <si>
    <t>Preço Unitário multiplicado pela quantidade estimada pela contratante.</t>
  </si>
  <si>
    <t>Preço Total Anual</t>
  </si>
  <si>
    <t>Preço Total Mensal multiplicado por 12 meses</t>
  </si>
  <si>
    <t>Percentual de Benefício/Bonificação e Despesas Indiretas</t>
  </si>
  <si>
    <t>Consumo</t>
  </si>
  <si>
    <t>Representa em ordem decrescente de materialidade o valor individual dos itens, serviços e insumos das planilhas de curva ABC.</t>
  </si>
  <si>
    <t>Consumo Acumulado</t>
  </si>
  <si>
    <t>Representa a soma dos itens, serviços e insumos das planilhas de curva ABC. Importante perceber os itens de maior relevancia com relação ao valor total do orçamento, pois esses devem merecer especial atenção.</t>
  </si>
  <si>
    <t>% Sobre total</t>
  </si>
  <si>
    <t>Representa em ordem decrescente de materialidade o percentual individual dos itens, serviços e insumos das planilhas de curva ABC.</t>
  </si>
  <si>
    <t>% Acumulado</t>
  </si>
  <si>
    <t>Representa a soma dos percentuais individual dos itens, serviços e insumos das planilhas de curva ABC.  Importante perceber os itens de maior relevancia com relação ao valor total do orçamento, pois esses devem merecer especial atenção.</t>
  </si>
  <si>
    <t>Serviços Permanentes</t>
  </si>
  <si>
    <t>São os valores dos serviços que serão pagos mensalmente.</t>
  </si>
  <si>
    <t>Serviços Eventuais</t>
  </si>
  <si>
    <t>É a estimativa dos valores dos serviços que serão pagos apenas quando da sua utilização mediante a execução das “Ordens de Serviço”.</t>
  </si>
  <si>
    <t>Para as estimativas de custo e produtividade foram adotados os dados contidos em tabela de referência formalmente aprovada por órgãos ou entidades da administração pública, em publicações técnicas especializadas ou em pesquisa de mercado. São valores referenciais, que podem sofrer ajustes, para mais ou para menos, conforme a realidade dessa licitação.</t>
  </si>
  <si>
    <t>Nossa responsabilidade se limitou tão somente a transcrever os conteúdos publicados pelas fontes ora supracitadas, garantindo que a transcrição seja uma cópia perfeita, onde a CONTRATANTE está ciente de que possam existir pequenas diferenças por arredondamentos, onde todos os direitos autorais são creditados para as fontes de cada base de dados.</t>
  </si>
  <si>
    <t>Os custos presentes nessa licitação são valores referenciais, podendo ser alterados nos termos da legislação em vigor.</t>
  </si>
  <si>
    <t>Em caso de alteração dos coeficientes de produtividade dos insumos exige-se que o proponente justifique tal fato.</t>
  </si>
  <si>
    <t>PROCEDIMENTOS PARA IMPRESSÃO:</t>
  </si>
  <si>
    <t>As informações contidas nas linhas de 01 a 06 das planilhas deverão ser apagadas e substituídas pelas da sua empresa;</t>
  </si>
  <si>
    <t>As informações contidas nos rodapés das planilhas deverão ser apagadas e substituídas pelas da sua empresa;</t>
  </si>
  <si>
    <t>Estas planilhas estão formatadas para serem impressas em impressoras dos tipos jato de tinta ou a laser. Utilizar papel branco ou reciclável, impresso na cor preta.</t>
  </si>
  <si>
    <t>Por haver divergência entre as impressoras a formatação poderá ser alterada. Portanto, antes de iniciar a impressão, visualize as planilhas;</t>
  </si>
  <si>
    <t>Caso estejam fora de formatação, favor utilizar os parâmetros abaixo:</t>
  </si>
  <si>
    <t>Tipo de Papel:</t>
  </si>
  <si>
    <t>A4</t>
  </si>
  <si>
    <t>Margem Superior:</t>
  </si>
  <si>
    <t>1,00 cm</t>
  </si>
  <si>
    <t>Margem Inferior:</t>
  </si>
  <si>
    <t>2,50 cm</t>
  </si>
  <si>
    <t>Margem Esquerda:</t>
  </si>
  <si>
    <t>Margem Direita</t>
  </si>
  <si>
    <t>Cabeçalho:</t>
  </si>
  <si>
    <t>Rodapé:</t>
  </si>
  <si>
    <t>Atenção:</t>
  </si>
  <si>
    <t>Estas planilhas contêm grande quantidade de dados, portanto ajustes as páginas antes de iniciar a impressão;</t>
  </si>
  <si>
    <t>Todas as folhas deverão conter os títulos das colunas (linha 08);</t>
  </si>
  <si>
    <t>Todas as folhas deverão conter no rodapé o nome da empresa, endereço completo, telefone e correio eletrônico;</t>
  </si>
  <si>
    <t>Todas as páginas deverão ser numeradas continuamente. A numeração das páginas deverá conter o numero da página seguido do numero total de páginas de cada planilha (ex: Página: 1/12);</t>
  </si>
  <si>
    <t>TOTAL</t>
  </si>
  <si>
    <t>BDI (Benefícios e despesas indiretas) - MEMORIAL DE CÁLCULO</t>
  </si>
  <si>
    <t>Demonstração</t>
  </si>
  <si>
    <t>=</t>
  </si>
  <si>
    <r>
      <rPr>
        <b/>
        <sz val="10"/>
        <rFont val="Courier New"/>
        <family val="3"/>
      </rPr>
      <t>AC</t>
    </r>
    <r>
      <rPr>
        <sz val="10"/>
        <rFont val="Courier New"/>
        <family val="3"/>
      </rPr>
      <t xml:space="preserve"> = Taxa de rateio da administração central </t>
    </r>
  </si>
  <si>
    <r>
      <rPr>
        <b/>
        <sz val="10"/>
        <rFont val="Courier New"/>
        <family val="3"/>
      </rPr>
      <t>S</t>
    </r>
    <r>
      <rPr>
        <sz val="10"/>
        <rFont val="Courier New"/>
        <family val="3"/>
      </rPr>
      <t xml:space="preserve"> = Taxa representativa de Seguros</t>
    </r>
  </si>
  <si>
    <r>
      <rPr>
        <b/>
        <sz val="10"/>
        <rFont val="Courier New"/>
        <family val="3"/>
      </rPr>
      <t>R</t>
    </r>
    <r>
      <rPr>
        <sz val="10"/>
        <rFont val="Courier New"/>
        <family val="3"/>
      </rPr>
      <t xml:space="preserve"> = Taxa de riscos do empreendimento</t>
    </r>
  </si>
  <si>
    <r>
      <rPr>
        <b/>
        <sz val="10"/>
        <rFont val="Courier New"/>
        <family val="3"/>
      </rPr>
      <t>G</t>
    </r>
    <r>
      <rPr>
        <sz val="10"/>
        <rFont val="Courier New"/>
        <family val="3"/>
      </rPr>
      <t xml:space="preserve"> = Taxa representativa de ônus das garantias exigidas em edital</t>
    </r>
  </si>
  <si>
    <r>
      <rPr>
        <b/>
        <sz val="10"/>
        <rFont val="Courier New"/>
        <family val="3"/>
      </rPr>
      <t>DF</t>
    </r>
    <r>
      <rPr>
        <sz val="10"/>
        <rFont val="Courier New"/>
        <family val="3"/>
      </rPr>
      <t xml:space="preserve"> = Taxa representativa das despesas financeiras</t>
    </r>
  </si>
  <si>
    <r>
      <rPr>
        <b/>
        <sz val="10"/>
        <rFont val="Courier New"/>
        <family val="3"/>
      </rPr>
      <t xml:space="preserve">L </t>
    </r>
    <r>
      <rPr>
        <sz val="10"/>
        <rFont val="Courier New"/>
        <family val="3"/>
      </rPr>
      <t>= Lucro operacional do empreendimento</t>
    </r>
  </si>
  <si>
    <r>
      <rPr>
        <b/>
        <sz val="10"/>
        <rFont val="Courier New"/>
        <family val="3"/>
      </rPr>
      <t>I</t>
    </r>
    <r>
      <rPr>
        <sz val="10"/>
        <rFont val="Courier New"/>
        <family val="3"/>
      </rPr>
      <t xml:space="preserve"> = Tributos sobre o faturamento</t>
    </r>
  </si>
  <si>
    <t xml:space="preserve">Administração Central </t>
  </si>
  <si>
    <t>AC =</t>
  </si>
  <si>
    <t xml:space="preserve">Seguros e Garantias </t>
  </si>
  <si>
    <t>S+G =</t>
  </si>
  <si>
    <t>Riscos</t>
  </si>
  <si>
    <t>R =</t>
  </si>
  <si>
    <t>Despesas Financeiras</t>
  </si>
  <si>
    <t>DF =</t>
  </si>
  <si>
    <t xml:space="preserve">Lucro </t>
  </si>
  <si>
    <t>L =</t>
  </si>
  <si>
    <t xml:space="preserve">Tributos sobre o faturamento </t>
  </si>
  <si>
    <t>I =</t>
  </si>
  <si>
    <t>Tributo</t>
  </si>
  <si>
    <t>Base</t>
  </si>
  <si>
    <t>Aliquota</t>
  </si>
  <si>
    <t>Incide sobre</t>
  </si>
  <si>
    <t>Valor</t>
  </si>
  <si>
    <t>COFINS</t>
  </si>
  <si>
    <t>Faturamento</t>
  </si>
  <si>
    <t>PIS/PASEP</t>
  </si>
  <si>
    <t>ISS</t>
  </si>
  <si>
    <t>Mão de obra</t>
  </si>
  <si>
    <t>Tabela 1 – Tributos incidentes em obras de engenharia e alíquotas consideradas</t>
  </si>
  <si>
    <r>
      <t xml:space="preserve">Anexo - </t>
    </r>
    <r>
      <rPr>
        <sz val="10"/>
        <rFont val="Courier New"/>
        <family val="3"/>
      </rPr>
      <t>ACÓRDÃO Nº 2622/2013</t>
    </r>
    <r>
      <rPr>
        <b/>
        <sz val="10"/>
        <rFont val="Courier New"/>
        <family val="3"/>
      </rPr>
      <t xml:space="preserve">- </t>
    </r>
    <r>
      <rPr>
        <sz val="10"/>
        <rFont val="Courier New"/>
        <family val="3"/>
      </rPr>
      <t>TRIBUNAL DE CONTAS DA UNIÃO</t>
    </r>
  </si>
  <si>
    <t>A</t>
  </si>
  <si>
    <t>B</t>
  </si>
  <si>
    <t>C</t>
  </si>
  <si>
    <t>CÓDIGO</t>
  </si>
  <si>
    <t>DESCRIÇÃO</t>
  </si>
  <si>
    <t>MENSALISTA (%)</t>
  </si>
  <si>
    <t>GRUPO A</t>
  </si>
  <si>
    <t>A1</t>
  </si>
  <si>
    <t>INSS</t>
  </si>
  <si>
    <t>A2</t>
  </si>
  <si>
    <t>SESI</t>
  </si>
  <si>
    <t>A3</t>
  </si>
  <si>
    <t>SENAI</t>
  </si>
  <si>
    <t>INCRA</t>
  </si>
  <si>
    <t>A5</t>
  </si>
  <si>
    <t>SEBRAE</t>
  </si>
  <si>
    <t>A6</t>
  </si>
  <si>
    <t>Salário Educação</t>
  </si>
  <si>
    <t>A7</t>
  </si>
  <si>
    <t>Seguro Contra Acidentes de Trabalho</t>
  </si>
  <si>
    <t>A8</t>
  </si>
  <si>
    <t>FGTS</t>
  </si>
  <si>
    <t>A9</t>
  </si>
  <si>
    <t>SECONCI</t>
  </si>
  <si>
    <t>GRUPO B</t>
  </si>
  <si>
    <t>B1</t>
  </si>
  <si>
    <t>Repouso Semanal Remunerado</t>
  </si>
  <si>
    <t>B2</t>
  </si>
  <si>
    <t>Feriados</t>
  </si>
  <si>
    <t>B3</t>
  </si>
  <si>
    <t>Auxílio - Enfermidade</t>
  </si>
  <si>
    <t>B4</t>
  </si>
  <si>
    <t>13o Salário</t>
  </si>
  <si>
    <t>B5</t>
  </si>
  <si>
    <t>Licença Paternidade</t>
  </si>
  <si>
    <t>B6</t>
  </si>
  <si>
    <t>Faltas Justificadas</t>
  </si>
  <si>
    <t>B7</t>
  </si>
  <si>
    <t>Dias de Chuvas</t>
  </si>
  <si>
    <t>B8</t>
  </si>
  <si>
    <t>B9</t>
  </si>
  <si>
    <t>Férias Gozadas</t>
  </si>
  <si>
    <t>B10</t>
  </si>
  <si>
    <t>Salário Maternidade</t>
  </si>
  <si>
    <t>GRUPO C</t>
  </si>
  <si>
    <t>C1</t>
  </si>
  <si>
    <t>Aviso Prévio Indenizado</t>
  </si>
  <si>
    <t>C2</t>
  </si>
  <si>
    <t>Aviso Prévio Trabalhado</t>
  </si>
  <si>
    <t>C3</t>
  </si>
  <si>
    <t>Férias Indenizadas</t>
  </si>
  <si>
    <t>C4</t>
  </si>
  <si>
    <t>Depósito Rescisão sem Justa Causa</t>
  </si>
  <si>
    <t>C5</t>
  </si>
  <si>
    <t>Indenização Adicional</t>
  </si>
  <si>
    <t>GRUPO D</t>
  </si>
  <si>
    <t>D1</t>
  </si>
  <si>
    <t>Reincidência de Grupo A sobre Grupo B</t>
  </si>
  <si>
    <t>D2</t>
  </si>
  <si>
    <t>Reincidência de Grupo A sobre Aviso Prévio Trabalhado e Reincidência do FGTS sobre Aviso Prévio Indenizado</t>
  </si>
  <si>
    <t>Fonte: Informação Dias de Chuva - INMET</t>
  </si>
  <si>
    <t>Tipo de Obra, Segundo Acórdão Nº 2622/2013:</t>
  </si>
  <si>
    <t>Construção de Edifícios</t>
  </si>
  <si>
    <t>Construção de Rodovias e Ferrovias</t>
  </si>
  <si>
    <t>Construção de Redes de Abastecimento de Água, Coleta de Esgoto e Construções Correlatas</t>
  </si>
  <si>
    <t>Construção e Manutenção de Estações e Redes de Distribuição de Energia Elétrica</t>
  </si>
  <si>
    <t>Obras Portuárias, Marítimas e Fluviais</t>
  </si>
  <si>
    <t>TIPO DE OBRA</t>
  </si>
  <si>
    <t>1° Quartil</t>
  </si>
  <si>
    <t>Médio</t>
  </si>
  <si>
    <t>3° Quartil</t>
  </si>
  <si>
    <t>Administração Central</t>
  </si>
  <si>
    <t>Seguro + Garantia</t>
  </si>
  <si>
    <t>Risco</t>
  </si>
  <si>
    <t>Despesa Financeira</t>
  </si>
  <si>
    <t>Lucro</t>
  </si>
  <si>
    <t>BDI Diferenciado</t>
  </si>
  <si>
    <t>3ª Quinzena</t>
  </si>
  <si>
    <t>4ª Quinzena</t>
  </si>
  <si>
    <t>5ª Quinzena</t>
  </si>
  <si>
    <t>Para o tipo de obra relacionado no acórdão "Construção de Edifícios" onde está incluído o subtipo "Demolição de Edifícios e Outras Estruturas", onde são englobadas obras do tipo: Desmonte e demolição de estruturas previamente existentes (manual, mecanizada ou através de implosão). Conforme classificação 4311-8/01 do CNAE 2.0</t>
  </si>
  <si>
    <t>Auxílio Acidente de Trabalho</t>
  </si>
  <si>
    <t>HORISTA (%)</t>
  </si>
  <si>
    <t>SEM DESONERAÇÃO</t>
  </si>
  <si>
    <t>COM DESONERAÇÃO</t>
  </si>
  <si>
    <t>Classificação das linhas</t>
  </si>
  <si>
    <t>PLANO DE CONTAS</t>
  </si>
  <si>
    <t>RESPONSÁVEL:</t>
  </si>
  <si>
    <t>DATA:</t>
  </si>
  <si>
    <t>FONTES:</t>
  </si>
  <si>
    <t>Informativo SBC</t>
  </si>
  <si>
    <t>CONTEÚDO DA PASTA DE TRABALHO XLS:</t>
  </si>
  <si>
    <t>Obs</t>
  </si>
  <si>
    <t>6ª Quinzena</t>
  </si>
  <si>
    <t>7ª Quinzena</t>
  </si>
  <si>
    <t>8ª Quinzena</t>
  </si>
  <si>
    <t>Memória</t>
  </si>
  <si>
    <t>1o. Mês</t>
  </si>
  <si>
    <t>2o. Mês</t>
  </si>
  <si>
    <t>3o. Mês</t>
  </si>
  <si>
    <t>N° do Serviço</t>
  </si>
  <si>
    <t>*</t>
  </si>
  <si>
    <t>SBC</t>
  </si>
  <si>
    <t>TC05.15.0100</t>
  </si>
  <si>
    <t>RETIRADA DE ENTULHO DE OBRA EM CACAMBA DE ACO COM 5M3</t>
  </si>
  <si>
    <t>UN</t>
  </si>
  <si>
    <t>Rio de Janeiro,</t>
  </si>
  <si>
    <t>ORÇAMENTO DE REFERÊNCIA</t>
  </si>
  <si>
    <t>Conteúdo:</t>
  </si>
  <si>
    <t>Composição do BDI, e</t>
  </si>
  <si>
    <t>Encargos Sociais.</t>
  </si>
  <si>
    <t>PREÇO TOTAL</t>
  </si>
  <si>
    <t>TOTAL (A+B+C+D)</t>
  </si>
  <si>
    <t>D</t>
  </si>
  <si>
    <t>Dúvidas/ Sugestões: Tel: (021) 3938-9324</t>
  </si>
  <si>
    <t>Qtda</t>
  </si>
  <si>
    <t>017801</t>
  </si>
  <si>
    <t>017802</t>
  </si>
  <si>
    <t>COLETA LIXO DOMICILIAR -CAMINHAO COMPACTADOR 13,76Tn-(COLIXO</t>
  </si>
  <si>
    <t>COMPOSIÇÕES DE SERVIÇOS</t>
  </si>
  <si>
    <t>Insumos</t>
  </si>
  <si>
    <t>Serviços</t>
  </si>
  <si>
    <t>CUSTO DIRETO</t>
  </si>
  <si>
    <t>PREÇO UNITÁRIO</t>
  </si>
  <si>
    <t>CUSTO TOTAL</t>
  </si>
  <si>
    <t>%</t>
  </si>
  <si>
    <t>UFRJ</t>
  </si>
  <si>
    <t>SICRO</t>
  </si>
  <si>
    <t>ONERADO</t>
  </si>
  <si>
    <t xml:space="preserve">UN </t>
  </si>
  <si>
    <t>UFRJ-002</t>
  </si>
  <si>
    <t>P</t>
  </si>
  <si>
    <t>M</t>
  </si>
  <si>
    <t>LEIS SOCIAIS</t>
  </si>
  <si>
    <t>Qtde. Mensal</t>
  </si>
  <si>
    <t>Qtde. Anual</t>
  </si>
  <si>
    <t>TARIFA DE DISPOSICAO FINAL</t>
  </si>
  <si>
    <t>T</t>
  </si>
  <si>
    <t>QUANTIDADE PREVISTA PARA 2016-2017</t>
  </si>
  <si>
    <t>VOLUME TOTAL / CAPACIDADE DO CAMINHÃO COMPACTADOR</t>
  </si>
  <si>
    <t>VOLUME ESTIMADO PARA 2016-2017</t>
  </si>
  <si>
    <t>VOLUME TOTAL (M³):</t>
  </si>
  <si>
    <t>COLETA DE RESÍDUOS DE COMÉRCIO E SERVIÇOS (RESÍDUO EXTRAORDINÁRIO) E RESÍDUO INERTE</t>
  </si>
  <si>
    <t>R</t>
  </si>
  <si>
    <t>REFERÊNCIA</t>
  </si>
  <si>
    <t>PARAMETRIZAÇÃO</t>
  </si>
  <si>
    <t>MERCADO</t>
  </si>
  <si>
    <t>COMPOSIÇÃO</t>
  </si>
  <si>
    <t>TAXAS/TARIFAS</t>
  </si>
  <si>
    <t>I</t>
  </si>
  <si>
    <t>INSUMOS</t>
  </si>
  <si>
    <t>Custos Indiretos</t>
  </si>
  <si>
    <t>PIS</t>
  </si>
  <si>
    <t>Somatório dos Tributos</t>
  </si>
  <si>
    <t xml:space="preserve">Valor Unitário </t>
  </si>
  <si>
    <t>Valor Total</t>
  </si>
  <si>
    <t>Vida útil do bem em meses</t>
  </si>
  <si>
    <t>Taxa anual de depreciação</t>
  </si>
  <si>
    <t>Número de meses contratados</t>
  </si>
  <si>
    <t>Apropriação mensal</t>
  </si>
  <si>
    <t>Crédito PIS/COFINS</t>
  </si>
  <si>
    <t>Valor Unitário s/ tributos e pós-crédito PIS/COFINS</t>
  </si>
  <si>
    <t>Subtotal</t>
  </si>
  <si>
    <t>Valor Unitário incluindo tributos</t>
  </si>
  <si>
    <t>Valor Mensal do Insumo</t>
  </si>
  <si>
    <t xml:space="preserve">Valor Estimado Mensal </t>
  </si>
  <si>
    <t>LOCAÇÃO DE CONTENTOR METÁLICO DE 1200L, CONFORME ABNT NBR 13334</t>
  </si>
  <si>
    <t>CONTENTOR METÁLICO DE 1,2 M³ PARA COLETA DE RESÍDUOS SÓLIDOS POR COLETORES-COMPACTADORES DE CARREGAMENTO TRASEIRO, CONFORME ABNT NBR 13334, ALUGUEL</t>
  </si>
  <si>
    <t>COMLURB</t>
  </si>
  <si>
    <t>M3</t>
  </si>
  <si>
    <t>TARIFA DE DISPOSICAO FINAL (VAZAMENTO DE RESÍDUO DE GRANDE GERADOR PROVENIENTE DA CIDADE DO RIO DE JANEIRO)</t>
  </si>
  <si>
    <t>TARIFA DE DISPOSICAO FINAL (VAZAMENTO DE RESÍDUOS SÓLIDOS INERTES MISTURADOS - RSI)</t>
  </si>
  <si>
    <t>COLETA DE RESÍDUOS EXTRAORDINÁRIOS E INERTE EM SCS</t>
  </si>
  <si>
    <t>COLETA DE RESÍDUO INERTE NA CIDUNI, PV E Uex</t>
  </si>
  <si>
    <t>Custo Total Mensal</t>
  </si>
  <si>
    <t>..................................................................................................................................................................................................................................................</t>
  </si>
  <si>
    <t>PUCRJ - 360KG/M3</t>
  </si>
  <si>
    <t>VOLUME ESTIMADO PARA 2016-2017 X PESO ESPECÍFICO DO LIXO DOMICILIAR (230KG/M3) / 1000</t>
  </si>
  <si>
    <t>VOLUME ESTIMADO PARA 2016-2017 X 1/3 DO PESO ESPECÍFICO DO ENTULHO (1300KG/M3) / 1000</t>
  </si>
  <si>
    <t>PARÂMETROS</t>
  </si>
  <si>
    <t>MGIRS</t>
  </si>
  <si>
    <t>LIXO DOMICILIAR</t>
  </si>
  <si>
    <t>TIPO</t>
  </si>
  <si>
    <t>ENTULHO</t>
  </si>
  <si>
    <t>PUC-RJ</t>
  </si>
  <si>
    <t>PESO ESPECÍFICO APARENTE (KG/M3)</t>
  </si>
  <si>
    <t>FESURV</t>
  </si>
  <si>
    <t>COEF. EMPOLAMENTO</t>
  </si>
  <si>
    <t>CLASSIFICAÇÃO ABC DE SERVIÇOS</t>
  </si>
  <si>
    <t>Especificação</t>
  </si>
  <si>
    <t>EQ</t>
  </si>
  <si>
    <t>TOTAL DE EQUIPAMENTOS</t>
  </si>
  <si>
    <t>CO</t>
  </si>
  <si>
    <t>TA</t>
  </si>
  <si>
    <t>TOTAL DE TARIFA DE DISPOSIÇÃO FINAL</t>
  </si>
  <si>
    <t>TOTAL DE COLETA DE RESÍDUOS</t>
  </si>
  <si>
    <t>**</t>
  </si>
  <si>
    <t>NOTAS:</t>
  </si>
  <si>
    <t>CUSTO DE REFERENCIA OBTIDO NA COMPOSIÇÃO SCO/RIO AD15.10.0050</t>
  </si>
  <si>
    <t>CUSTO DE REFERENCIA OBTIDO NA COMPOSIÇÃO SCO/RIO TC05.05.0300</t>
  </si>
  <si>
    <t>Carga e descarga de equip. (T)*</t>
  </si>
  <si>
    <t>Transporte (T/KM)**</t>
  </si>
  <si>
    <t>CIDADE UNIVERSITÁRIA, PRAIA VERMELHA, UNIDADES EXTERNAS E STA. CRUZ DA SERRA</t>
  </si>
  <si>
    <t>COMPOSIÇÕES</t>
  </si>
  <si>
    <t>Esta planilha fornece o detalhamento de cada uma das composições dos serviços apropriados na “PLANILHA GERAL”, ou seja, com insumos e respectivos custos, coeficientes de produtividade, LS e BDI. Os insumos são classificados em “materiais”, “mão de obra”, “equipamento” e “re-utilizados”.</t>
  </si>
  <si>
    <t>ABC SERVIÇOS</t>
  </si>
  <si>
    <t>Esta planilha demonstra todos os SERVIÇOS em ordem decrescente por relevância financeira, com os respectivos percentuais individuais e acumulados.</t>
  </si>
  <si>
    <t>EQUIPAMENTOS</t>
  </si>
  <si>
    <t>Planilha com a apropriação do custo dos equipamentos consignados</t>
  </si>
  <si>
    <t>Planilha Geral de Custos e Formação de Preços,</t>
  </si>
  <si>
    <t>Composições de custos unitários</t>
  </si>
  <si>
    <t>Curva "ABC" de Serviços</t>
  </si>
  <si>
    <t>Equipamentos consignados</t>
  </si>
  <si>
    <t>RETIRADA DE ENTULHO DE OBRA EM CACAMBA DE ACO COM 5M3 DE CAPACIDADE, INCLUSIVE CARREGAMENTO DO CONTAINER, TRANSPORTE E DESCARGA, EXCLUSIVE TARIFA DE DISPOSICAO FINAL.</t>
  </si>
  <si>
    <t>SCO/RIO TC05.15.0100</t>
  </si>
  <si>
    <t>0.3</t>
  </si>
  <si>
    <t>PARÂMETRO PARA A COMPOSIÇÃO 2.1</t>
  </si>
  <si>
    <t>A COMPOSIÇÃO DE CUSTO PARA A COLETA DE RESÍDUOS PRETENDIDA PELA UFRJ NOS ITENS 2.1  E 3.4 CONTEM A UNIDADE DE MEDIDA EM TONELADA, PARA FORMAÇÃO DO CUSTO UNITÁRIO DO SERVIÇO FOI UTILIZADA A COMPOSIÇÃO 0.3 DO SCO/RIO COMO PARÂMETRO, RESSALTO QUE A COMPOSIÇÃO ORIGINAL UTILIZA COMO UNIDADE DE MEDIDA O METRO CÚBICO. COM ISSO, FORAM RECALCULADOS OS COEFICIENTES DE PRODUTIVIDADE TENDO COMO BASE A QUANTIDADE EM METRO CÚBICO MULTIPLICADA PELO PESO ESPECÍFICO APARENTE DO ENTULHO DE OBRA (1300KG/M3)</t>
  </si>
  <si>
    <t>A COMPOSIÇÃO DE CUSTO PARA A COLETA DE RESÍDUOS PRETENDIDA PELA UFRJ NOS ITENS 1.1  E 3.1 CONTEM A UNIDADE DE MEDIDA EM TONELADA E DEVE SER EXECUTADA EM PERÍODO DIURNO, PORTANTO FORAM UTILIZADAS AS COMPOSIÇÕES 0.1 E 0.2 DO SBC COMO PARÂMETRO PARA A FORMAÇÃO DO CUSTO UNITÁRIO DO SERVIÇO, RESSALTO QUE A COMPOSIÇÃO 0.1 UTILIZA COMO UNIDADE DE MEDIDA O QUILÔMETRO PERCORRIDO PELO VEÍCULO DE COLETA E A SEGUNDA PREVÊ A COLETA NO HORÁRIO NOTURNO SENDO MEDIDA EM TONELA.</t>
  </si>
  <si>
    <t>RESSALTO QUE NÃO FORAM ENCONTRADAS COMPOSIÇÕES E/OU INSUMOS NO SINAPI PARA ESSE OBJETO , PORTANTO PARA ELABORAÇÃO DO ORÇAMENTO DE REFERÊNCIA FORAM ADOTADOS CUSTOS E COMPOSIÇÕES APROPRIADAS NOS CATÁLOGOS DE REFERÊNCIA DO SCO-RIO, SBC, E NA FALTA DESTES, O PREÇO MÉDIO RESULTANTE DE PESQUISA NO MERCADO.</t>
  </si>
  <si>
    <t>3</t>
  </si>
  <si>
    <t>VASSOURA PIASSAVA QUADRADA GRANDE</t>
  </si>
  <si>
    <t>CAPACETE DE IDENTIFICACAO COR LARANJA</t>
  </si>
  <si>
    <t>PA QUADRADA COM CABO</t>
  </si>
  <si>
    <t>TALHADEIRA DE ACO 24cm</t>
  </si>
  <si>
    <t>REFEICAO PRONTA PARA OPERARIO/ALMOCO</t>
  </si>
  <si>
    <t>UNIFORME DE TRABALHO CALCA BRIM SOLASOL</t>
  </si>
  <si>
    <t>UNIFORME DE TRABALHO BLUSAO (POLO) TAPE</t>
  </si>
  <si>
    <t>UNIFORME DE TRABALHO CAMISA TAPE</t>
  </si>
  <si>
    <t>UNIFORME DE TRABALHO BERMUDA BRIM SOLASOL</t>
  </si>
  <si>
    <t>ENXADAO 3 LIBRAS COM CABO</t>
  </si>
  <si>
    <t>CAPA VINILONA COM MANGA PARA PROTECAO</t>
  </si>
  <si>
    <t>CAPACETE DE IDENTIFICACAO COR BRANCO</t>
  </si>
  <si>
    <t>BOTA DE PVC CANO MEDIO</t>
  </si>
  <si>
    <t>GARFO (FORCADO) 10 DENTES COM CABO</t>
  </si>
  <si>
    <t>LUVA DE NAPA</t>
  </si>
  <si>
    <t>COPO CAFE COM LEITE 300ml</t>
  </si>
  <si>
    <t>PAO COM MANTEIGA PREPARADO</t>
  </si>
  <si>
    <t>VALE TRANSPORTE (IDA E VOLTA/DIA)LEIS FED.7418/7678-87</t>
  </si>
  <si>
    <t>PR</t>
  </si>
  <si>
    <t>H</t>
  </si>
  <si>
    <t>0,0010</t>
  </si>
  <si>
    <t>0,0020</t>
  </si>
  <si>
    <t>0,3080</t>
  </si>
  <si>
    <t>0,0030</t>
  </si>
  <si>
    <t>0,0090</t>
  </si>
  <si>
    <t>0,0250</t>
  </si>
  <si>
    <t>1,3320</t>
  </si>
  <si>
    <t>0,4440</t>
  </si>
  <si>
    <t>EQ003150</t>
  </si>
  <si>
    <t>MOD002450</t>
  </si>
  <si>
    <t>EVE000050</t>
  </si>
  <si>
    <t>CACAMBA DE ACO COM 5M3, PARA RETIRADA DE ENTULHO, INCLUSIVE TRANSPORTE E DESCARGA, ALUGUEL</t>
  </si>
  <si>
    <t>SERVENTE</t>
  </si>
  <si>
    <t>3% INCIDENTE SOBRE MAO DE OBRA DIRETA COM ENCARGOS SOCIAIS PARA COBRIR DESPESAS DE EPI E FERRAMENTAS</t>
  </si>
  <si>
    <t>Observação</t>
  </si>
  <si>
    <t>25% ADICIONAL NOTURNO</t>
  </si>
  <si>
    <t>FEITOR/ENCARREGADO</t>
  </si>
  <si>
    <t>MOTORISTA DE MAQUINA PESADA</t>
  </si>
  <si>
    <t xml:space="preserve">SERVENTE </t>
  </si>
  <si>
    <t>UFRJ-004</t>
  </si>
  <si>
    <t>EQUIPAMENTOS E TARIFA DE DISPOSIÇÃO FINAL</t>
  </si>
  <si>
    <t>Pesq. Preço</t>
  </si>
  <si>
    <t>EQUIPAMENTOS CONSIGNADOS PARA COLETA DE LIXO EXTRAORDINÁRIO</t>
  </si>
  <si>
    <t xml:space="preserve">40% INSALUBRIDADE </t>
  </si>
  <si>
    <t>CAMINHÃO COM CARROCERIA PARA LIXO COMPACTADO CAP. 13,76 m3/1000</t>
  </si>
  <si>
    <t>4</t>
  </si>
  <si>
    <t>O CUSTO HORÁRIO DO CAMINHÃO COM COMPACTADOR DE LIXO FOI OBTIDO A PARTIR DA APLICAÇÃO DA METODOLOGIA SINAPI PARA CÁLCULO DO CUSTO HORÁRIO DE EQUIPAMENTOS À PESQUISA DE PREÇO DE AQUISIÇÃO DO CAMINHÃO + EQUIPAMENTO COMPACTADOR DE LIXO. A CONTA CONSIDERA CUSTOS DE AQUISIÇÃO, VIDA ÚTIL, VALOR RESIDUAL,  IMPOSTOS, SEGUROS, OPERAÇÃO, MANUTENÇÃO, DEPRECIAÇÃO E JUROS, ALÉM DE PONDERAR O HORÁRIO DE UTILIZAÇÃO EM 80% PRODUTIVO E 20% IMPRODUTIVO.</t>
  </si>
  <si>
    <t>TOTAL DO ITEM</t>
  </si>
  <si>
    <t/>
  </si>
  <si>
    <t>1.1</t>
  </si>
  <si>
    <t>1.2</t>
  </si>
  <si>
    <t>2.1</t>
  </si>
  <si>
    <t>2.2</t>
  </si>
  <si>
    <t>2.3</t>
  </si>
  <si>
    <t>2.4</t>
  </si>
  <si>
    <t>2.5</t>
  </si>
  <si>
    <t>11/2020</t>
  </si>
  <si>
    <t>ENCARGOS SOCIAIS SOBRE PREÇOS DA MÃO DE OBRA HORISTA E MENSALISTA - SINAPI/RJ (a partir de 10/2020)</t>
  </si>
  <si>
    <t>01/2021</t>
  </si>
  <si>
    <t>Preencher com custos unitários dos serviços as áreas em destaque para consolidação dos valores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</si>
</sst>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4" formatCode="_-&quot;R$&quot;\ * #,##0.00_-;\-&quot;R$&quot;\ * #,##0.00_-;_-&quot;R$&quot;\ * &quot;-&quot;??_-;_-@_-"/>
    <numFmt numFmtId="43" formatCode="_-* #,##0.00_-;\-* #,##0.00_-;_-* &quot;-&quot;??_-;_-@_-"/>
    <numFmt numFmtId="164" formatCode="_(* #,##0.00_);_(* \(#,##0.00\);_(* &quot;-&quot;??_);_(@_)"/>
    <numFmt numFmtId="165" formatCode="&quot;R$&quot;\ #,##0.00"/>
    <numFmt numFmtId="166" formatCode="&quot;R$ &quot;#,##0.00"/>
    <numFmt numFmtId="167" formatCode="0.000%"/>
    <numFmt numFmtId="168" formatCode="dd&quot;/&quot;mm&quot;/&quot;yyyy"/>
    <numFmt numFmtId="169" formatCode="0.0000000"/>
    <numFmt numFmtId="170" formatCode="0.0000"/>
    <numFmt numFmtId="171" formatCode="[$-F800]dddd\,\ mmmm\ dd\,\ yyyy"/>
    <numFmt numFmtId="172" formatCode="0.00000000"/>
    <numFmt numFmtId="173" formatCode="0.0%"/>
    <numFmt numFmtId="174" formatCode="_(&quot;R$ &quot;* #,##0.00_);_(&quot;R$ &quot;* \(#,##0.00\);_(&quot;R$ &quot;* &quot;-&quot;??_);_(@_)"/>
    <numFmt numFmtId="175" formatCode="0.0000%"/>
    <numFmt numFmtId="176" formatCode="0.000"/>
    <numFmt numFmtId="177" formatCode="0.0000000000000%"/>
  </numFmts>
  <fonts count="66">
    <font>
      <sz val="11"/>
      <color theme="1"/>
      <name val="Calibri"/>
      <family val="2"/>
      <scheme val="minor"/>
    </font>
    <font>
      <sz val="11"/>
      <color theme="1"/>
      <name val="Calibri"/>
      <family val="2"/>
      <scheme val="minor"/>
    </font>
    <font>
      <b/>
      <sz val="11"/>
      <color theme="3"/>
      <name val="Calibri"/>
      <family val="2"/>
      <scheme val="minor"/>
    </font>
    <font>
      <sz val="8"/>
      <name val="Courier New"/>
      <family val="3"/>
    </font>
    <font>
      <sz val="10"/>
      <name val="Arial"/>
      <family val="2"/>
    </font>
    <font>
      <b/>
      <sz val="10"/>
      <name val="Courier New"/>
      <family val="3"/>
    </font>
    <font>
      <sz val="8"/>
      <color indexed="8"/>
      <name val="Courier New"/>
      <family val="3"/>
    </font>
    <font>
      <sz val="8"/>
      <color rgb="FFFF0000"/>
      <name val="Courier New"/>
      <family val="3"/>
    </font>
    <font>
      <sz val="10"/>
      <color indexed="8"/>
      <name val="MS Sans Serif"/>
      <family val="2"/>
    </font>
    <font>
      <b/>
      <sz val="10"/>
      <color indexed="8"/>
      <name val="Courier New"/>
      <family val="3"/>
    </font>
    <font>
      <sz val="10"/>
      <color indexed="8"/>
      <name val="Courier New"/>
      <family val="3"/>
    </font>
    <font>
      <b/>
      <u/>
      <sz val="11"/>
      <color theme="3"/>
      <name val="Calibri"/>
      <family val="2"/>
      <scheme val="minor"/>
    </font>
    <font>
      <sz val="10"/>
      <name val="Courier New"/>
      <family val="3"/>
    </font>
    <font>
      <b/>
      <sz val="8"/>
      <color rgb="FFFF0000"/>
      <name val="Courier New"/>
      <family val="3"/>
    </font>
    <font>
      <b/>
      <sz val="8"/>
      <name val="Courier New"/>
      <family val="3"/>
    </font>
    <font>
      <sz val="10"/>
      <color indexed="8"/>
      <name val="MS Sans Serif"/>
      <family val="2"/>
    </font>
    <font>
      <sz val="8"/>
      <color theme="1"/>
      <name val="Courier New"/>
      <family val="3"/>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9.85"/>
      <color indexed="8"/>
      <name val="Times New Roman"/>
      <family val="1"/>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8"/>
      <name val="Cambria"/>
      <family val="2"/>
    </font>
    <font>
      <b/>
      <sz val="18"/>
      <color indexed="62"/>
      <name val="Cambria"/>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8"/>
      <color rgb="FF000000"/>
      <name val="Courier New"/>
      <family val="3"/>
    </font>
    <font>
      <b/>
      <sz val="8"/>
      <color indexed="8"/>
      <name val="Courier New"/>
      <family val="3"/>
    </font>
    <font>
      <sz val="11"/>
      <color theme="1"/>
      <name val="Courier New"/>
      <family val="3"/>
    </font>
    <font>
      <sz val="10"/>
      <color indexed="8"/>
      <name val="MS Sans Serif"/>
      <family val="2"/>
    </font>
    <font>
      <b/>
      <sz val="8"/>
      <color theme="1"/>
      <name val="Courier New"/>
      <family val="3"/>
    </font>
    <font>
      <u/>
      <sz val="10"/>
      <color theme="10"/>
      <name val="MS Sans Serif"/>
      <family val="2"/>
    </font>
    <font>
      <sz val="12"/>
      <name val="Arial"/>
      <family val="2"/>
    </font>
    <font>
      <u/>
      <sz val="8"/>
      <color theme="1"/>
      <name val="Courier New"/>
      <family val="3"/>
    </font>
    <font>
      <b/>
      <i/>
      <sz val="12"/>
      <color indexed="10"/>
      <name val="Courier New"/>
      <family val="3"/>
    </font>
    <font>
      <sz val="10"/>
      <color indexed="10"/>
      <name val="Courier New"/>
      <family val="3"/>
    </font>
    <font>
      <sz val="10"/>
      <color theme="0"/>
      <name val="Courier New"/>
      <family val="3"/>
    </font>
    <font>
      <sz val="9.85"/>
      <color indexed="8"/>
      <name val="Courier New"/>
      <family val="3"/>
    </font>
    <font>
      <i/>
      <sz val="8"/>
      <name val="Courier New"/>
      <family val="3"/>
    </font>
    <font>
      <b/>
      <sz val="12"/>
      <name val="Courier New"/>
      <family val="3"/>
    </font>
    <font>
      <b/>
      <sz val="12"/>
      <color rgb="FFFF0000"/>
      <name val="Courier New"/>
      <family val="3"/>
    </font>
    <font>
      <sz val="12"/>
      <name val="Courier New"/>
      <family val="3"/>
    </font>
    <font>
      <b/>
      <sz val="10"/>
      <color rgb="FFFF0000"/>
      <name val="Courier New"/>
      <family val="3"/>
    </font>
    <font>
      <u/>
      <sz val="20"/>
      <color indexed="12"/>
      <name val="Arial"/>
      <family val="2"/>
    </font>
    <font>
      <b/>
      <sz val="18"/>
      <color theme="1"/>
      <name val="Courier New"/>
      <family val="3"/>
    </font>
    <font>
      <sz val="12"/>
      <color theme="1"/>
      <name val="Courier New"/>
      <family val="3"/>
    </font>
    <font>
      <sz val="10"/>
      <color theme="1"/>
      <name val="Courier New"/>
      <family val="3"/>
    </font>
    <font>
      <b/>
      <sz val="10"/>
      <color theme="1"/>
      <name val="Courier New"/>
      <family val="3"/>
    </font>
    <font>
      <b/>
      <u/>
      <sz val="11"/>
      <color theme="3"/>
      <name val="Courier New"/>
      <family val="3"/>
    </font>
    <font>
      <sz val="11"/>
      <name val="Calibri"/>
      <family val="2"/>
      <scheme val="minor"/>
    </font>
    <font>
      <b/>
      <sz val="10"/>
      <color theme="0"/>
      <name val="Spranq eco sans"/>
      <family val="2"/>
    </font>
    <font>
      <sz val="9"/>
      <color indexed="81"/>
      <name val="Segoe UI"/>
      <family val="2"/>
    </font>
    <font>
      <b/>
      <sz val="9"/>
      <color indexed="81"/>
      <name val="Segoe UI"/>
      <family val="2"/>
    </font>
    <font>
      <sz val="8"/>
      <color rgb="FF00B050"/>
      <name val="Courier New"/>
      <family val="3"/>
    </font>
    <font>
      <sz val="8"/>
      <color rgb="FF0070C0"/>
      <name val="Courier New"/>
      <family val="3"/>
    </font>
  </fonts>
  <fills count="30">
    <fill>
      <patternFill patternType="none"/>
    </fill>
    <fill>
      <patternFill patternType="gray125"/>
    </fill>
    <fill>
      <patternFill patternType="solid">
        <fgColor theme="0" tint="-0.249977111117893"/>
        <bgColor indexed="64"/>
      </patternFill>
    </fill>
    <fill>
      <patternFill patternType="solid">
        <fgColor indexed="31"/>
        <bgColor indexed="24"/>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2"/>
      </patternFill>
    </fill>
    <fill>
      <patternFill patternType="solid">
        <fgColor indexed="47"/>
        <bgColor indexed="24"/>
      </patternFill>
    </fill>
    <fill>
      <patternFill patternType="solid">
        <fgColor indexed="44"/>
        <bgColor indexed="31"/>
      </patternFill>
    </fill>
    <fill>
      <patternFill patternType="solid">
        <fgColor indexed="29"/>
        <bgColor indexed="34"/>
      </patternFill>
    </fill>
    <fill>
      <patternFill patternType="solid">
        <fgColor indexed="11"/>
        <bgColor indexed="50"/>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34"/>
      </patternFill>
    </fill>
    <fill>
      <patternFill patternType="solid">
        <fgColor indexed="22"/>
        <bgColor indexed="24"/>
      </patternFill>
    </fill>
    <fill>
      <patternFill patternType="solid">
        <fgColor indexed="55"/>
        <bgColor indexed="23"/>
      </patternFill>
    </fill>
    <fill>
      <patternFill patternType="solid">
        <fgColor indexed="62"/>
        <bgColor indexed="56"/>
      </patternFill>
    </fill>
    <fill>
      <patternFill patternType="solid">
        <fgColor indexed="10"/>
        <bgColor indexed="25"/>
      </patternFill>
    </fill>
    <fill>
      <patternFill patternType="solid">
        <fgColor indexed="57"/>
        <bgColor indexed="21"/>
      </patternFill>
    </fill>
    <fill>
      <patternFill patternType="solid">
        <fgColor indexed="53"/>
        <bgColor indexed="19"/>
      </patternFill>
    </fill>
    <fill>
      <patternFill patternType="solid">
        <fgColor indexed="43"/>
        <bgColor indexed="26"/>
      </patternFill>
    </fill>
    <fill>
      <patternFill patternType="solid">
        <fgColor indexed="26"/>
        <bgColor indexed="9"/>
      </patternFill>
    </fill>
    <fill>
      <patternFill patternType="solid">
        <fgColor theme="0" tint="-0.14999847407452621"/>
        <bgColor indexed="64"/>
      </patternFill>
    </fill>
    <fill>
      <patternFill patternType="solid">
        <fgColor rgb="FFD9D9D9"/>
        <bgColor indexed="64"/>
      </patternFill>
    </fill>
    <fill>
      <patternFill patternType="solid">
        <fgColor rgb="FFA5A5A5"/>
      </patternFill>
    </fill>
    <fill>
      <patternFill patternType="solid">
        <fgColor theme="8" tint="0.59999389629810485"/>
        <bgColor indexed="64"/>
      </patternFill>
    </fill>
    <fill>
      <patternFill patternType="solid">
        <fgColor rgb="FFFFFF00"/>
        <bgColor indexed="64"/>
      </patternFill>
    </fill>
  </fills>
  <borders count="79">
    <border>
      <left/>
      <right/>
      <top/>
      <bottom/>
      <diagonal/>
    </border>
    <border>
      <left style="medium">
        <color rgb="FFFF0000"/>
      </left>
      <right style="medium">
        <color rgb="FFFF0000"/>
      </right>
      <top style="medium">
        <color rgb="FFFF0000"/>
      </top>
      <bottom style="medium">
        <color rgb="FFFF0000"/>
      </bottom>
      <diagonal/>
    </border>
    <border>
      <left/>
      <right/>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right/>
      <top style="medium">
        <color indexed="64"/>
      </top>
      <bottom/>
      <diagonal/>
    </border>
    <border>
      <left style="medium">
        <color rgb="FFFF0000"/>
      </left>
      <right style="medium">
        <color rgb="FFFF0000"/>
      </right>
      <top/>
      <bottom style="medium">
        <color rgb="FFFF0000"/>
      </bottom>
      <diagonal/>
    </border>
    <border>
      <left/>
      <right/>
      <top style="medium">
        <color rgb="FFFF0000"/>
      </top>
      <bottom style="medium">
        <color indexed="64"/>
      </bottom>
      <diagonal/>
    </border>
    <border>
      <left style="medium">
        <color rgb="FFFF0000"/>
      </left>
      <right/>
      <top style="medium">
        <color indexed="64"/>
      </top>
      <bottom style="medium">
        <color rgb="FFFF0000"/>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auto="1"/>
      </top>
      <bottom style="thin">
        <color auto="1"/>
      </bottom>
      <diagonal/>
    </border>
    <border>
      <left/>
      <right/>
      <top style="thin">
        <color indexed="64"/>
      </top>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auto="1"/>
      </top>
      <bottom style="thin">
        <color auto="1"/>
      </bottom>
      <diagonal/>
    </border>
    <border>
      <left/>
      <right/>
      <top style="thin">
        <color auto="1"/>
      </top>
      <bottom style="thin">
        <color auto="1"/>
      </bottom>
      <diagonal/>
    </border>
    <border>
      <left/>
      <right style="thin">
        <color indexed="64"/>
      </right>
      <top style="thin">
        <color auto="1"/>
      </top>
      <bottom style="thin">
        <color auto="1"/>
      </bottom>
      <diagonal/>
    </border>
    <border>
      <left/>
      <right/>
      <top style="thin">
        <color auto="1"/>
      </top>
      <bottom style="thin">
        <color auto="1"/>
      </bottom>
      <diagonal/>
    </border>
    <border>
      <left/>
      <right/>
      <top style="thin">
        <color indexed="64"/>
      </top>
      <bottom/>
      <diagonal/>
    </border>
    <border>
      <left/>
      <right/>
      <top style="thin">
        <color auto="1"/>
      </top>
      <bottom style="thin">
        <color auto="1"/>
      </bottom>
      <diagonal/>
    </border>
    <border>
      <left/>
      <right/>
      <top style="thin">
        <color indexed="64"/>
      </top>
      <bottom/>
      <diagonal/>
    </border>
    <border>
      <left/>
      <right style="thin">
        <color indexed="64"/>
      </right>
      <top style="thin">
        <color auto="1"/>
      </top>
      <bottom style="thin">
        <color auto="1"/>
      </bottom>
      <diagonal/>
    </border>
    <border>
      <left/>
      <right/>
      <top style="thin">
        <color auto="1"/>
      </top>
      <bottom style="thin">
        <color auto="1"/>
      </bottom>
      <diagonal/>
    </border>
    <border>
      <left/>
      <right style="medium">
        <color rgb="FFFF0000"/>
      </right>
      <top style="medium">
        <color rgb="FFFF0000"/>
      </top>
      <bottom style="medium">
        <color rgb="FFFF0000"/>
      </bottom>
      <diagonal/>
    </border>
    <border>
      <left/>
      <right style="thin">
        <color indexed="64"/>
      </right>
      <top style="thin">
        <color auto="1"/>
      </top>
      <bottom style="thin">
        <color auto="1"/>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top style="thin">
        <color auto="1"/>
      </top>
      <bottom style="thin">
        <color auto="1"/>
      </bottom>
      <diagonal/>
    </border>
    <border>
      <left/>
      <right/>
      <top style="thin">
        <color indexed="64"/>
      </top>
      <bottom/>
      <diagonal/>
    </border>
    <border>
      <left/>
      <right/>
      <top style="thin">
        <color auto="1"/>
      </top>
      <bottom/>
      <diagonal/>
    </border>
    <border>
      <left/>
      <right/>
      <top style="thin">
        <color auto="1"/>
      </top>
      <bottom style="thin">
        <color auto="1"/>
      </bottom>
      <diagonal/>
    </border>
    <border>
      <left/>
      <right/>
      <top style="thin">
        <color auto="1"/>
      </top>
      <bottom/>
      <diagonal/>
    </border>
    <border>
      <left/>
      <right/>
      <top style="thin">
        <color auto="1"/>
      </top>
      <bottom style="thin">
        <color auto="1"/>
      </bottom>
      <diagonal/>
    </border>
    <border>
      <left/>
      <right style="thin">
        <color indexed="64"/>
      </right>
      <top style="thin">
        <color auto="1"/>
      </top>
      <bottom style="thin">
        <color auto="1"/>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style="thick">
        <color rgb="FFFF0000"/>
      </left>
      <right style="thick">
        <color rgb="FFFF0000"/>
      </right>
      <top style="thick">
        <color rgb="FFFF0000"/>
      </top>
      <bottom/>
      <diagonal/>
    </border>
    <border>
      <left style="thick">
        <color rgb="FFFF0000"/>
      </left>
      <right style="thick">
        <color rgb="FFFF0000"/>
      </right>
      <top/>
      <bottom style="thick">
        <color rgb="FFFF0000"/>
      </bottom>
      <diagonal/>
    </border>
    <border>
      <left style="thick">
        <color rgb="FFFF0000"/>
      </left>
      <right style="thick">
        <color rgb="FFFF0000"/>
      </right>
      <top/>
      <bottom/>
      <diagonal/>
    </border>
  </borders>
  <cellStyleXfs count="195">
    <xf numFmtId="0" fontId="0" fillId="0" borderId="0"/>
    <xf numFmtId="0" fontId="2" fillId="0" borderId="0" applyNumberFormat="0" applyFill="0" applyBorder="0" applyAlignment="0" applyProtection="0"/>
    <xf numFmtId="0" fontId="1" fillId="0" borderId="0"/>
    <xf numFmtId="164" fontId="4" fillId="0" borderId="0" applyFont="0" applyFill="0" applyBorder="0" applyAlignment="0" applyProtection="0"/>
    <xf numFmtId="0" fontId="8" fillId="0" borderId="0"/>
    <xf numFmtId="0" fontId="15" fillId="0" borderId="0"/>
    <xf numFmtId="9" fontId="1" fillId="0" borderId="0" applyFont="0" applyFill="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20" fillId="17" borderId="4" applyNumberFormat="0" applyAlignment="0" applyProtection="0"/>
    <xf numFmtId="0" fontId="20" fillId="17" borderId="4" applyNumberFormat="0" applyAlignment="0" applyProtection="0"/>
    <xf numFmtId="0" fontId="20" fillId="17" borderId="4" applyNumberFormat="0" applyAlignment="0" applyProtection="0"/>
    <xf numFmtId="0" fontId="21" fillId="18" borderId="5" applyNumberFormat="0" applyAlignment="0" applyProtection="0"/>
    <xf numFmtId="0" fontId="21" fillId="18" borderId="5" applyNumberFormat="0" applyAlignment="0" applyProtection="0"/>
    <xf numFmtId="0" fontId="21" fillId="18" borderId="5" applyNumberFormat="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18" fillId="19" borderId="0" applyNumberFormat="0" applyBorder="0" applyAlignment="0" applyProtection="0"/>
    <xf numFmtId="0" fontId="18" fillId="19" borderId="0" applyNumberFormat="0" applyBorder="0" applyAlignment="0" applyProtection="0"/>
    <xf numFmtId="0" fontId="18" fillId="19" borderId="0" applyNumberFormat="0" applyBorder="0" applyAlignment="0" applyProtection="0"/>
    <xf numFmtId="0" fontId="18" fillId="20" borderId="0" applyNumberFormat="0" applyBorder="0" applyAlignment="0" applyProtection="0"/>
    <xf numFmtId="0" fontId="18" fillId="20"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18" fillId="21" borderId="0" applyNumberFormat="0" applyBorder="0" applyAlignment="0" applyProtection="0"/>
    <xf numFmtId="0" fontId="18" fillId="21"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22" borderId="0" applyNumberFormat="0" applyBorder="0" applyAlignment="0" applyProtection="0"/>
    <xf numFmtId="0" fontId="18" fillId="22" borderId="0" applyNumberFormat="0" applyBorder="0" applyAlignment="0" applyProtection="0"/>
    <xf numFmtId="0" fontId="18" fillId="22" borderId="0" applyNumberFormat="0" applyBorder="0" applyAlignment="0" applyProtection="0"/>
    <xf numFmtId="0" fontId="23" fillId="8" borderId="4" applyNumberFormat="0" applyAlignment="0" applyProtection="0"/>
    <xf numFmtId="0" fontId="23" fillId="8" borderId="4" applyNumberFormat="0" applyAlignment="0" applyProtection="0"/>
    <xf numFmtId="0" fontId="23" fillId="8" borderId="4" applyNumberFormat="0" applyAlignment="0" applyProtection="0"/>
    <xf numFmtId="0" fontId="17" fillId="0" borderId="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167" fontId="25" fillId="0" borderId="0" applyFill="0" applyBorder="0" applyProtection="0">
      <alignment vertical="center"/>
    </xf>
    <xf numFmtId="165" fontId="25" fillId="0" borderId="0" applyFill="0" applyBorder="0" applyProtection="0">
      <alignment vertical="center"/>
    </xf>
    <xf numFmtId="165" fontId="25" fillId="0" borderId="0" applyFill="0" applyBorder="0" applyProtection="0">
      <alignment vertical="center"/>
    </xf>
    <xf numFmtId="167" fontId="25" fillId="0" borderId="0" applyFill="0" applyBorder="0" applyProtection="0">
      <alignment vertical="center"/>
    </xf>
    <xf numFmtId="168" fontId="25" fillId="0" borderId="0" applyFill="0" applyBorder="0" applyProtection="0">
      <alignment vertical="center"/>
    </xf>
    <xf numFmtId="44" fontId="1" fillId="0" borderId="0" applyFont="0" applyFill="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4" fillId="0" borderId="0"/>
    <xf numFmtId="0" fontId="8" fillId="0" borderId="0"/>
    <xf numFmtId="0" fontId="8" fillId="0" borderId="0"/>
    <xf numFmtId="0" fontId="8" fillId="0" borderId="0"/>
    <xf numFmtId="0" fontId="1" fillId="0" borderId="0"/>
    <xf numFmtId="0" fontId="8" fillId="0" borderId="0"/>
    <xf numFmtId="0" fontId="4" fillId="24" borderId="7" applyNumberFormat="0" applyAlignment="0" applyProtection="0"/>
    <xf numFmtId="0" fontId="4" fillId="24" borderId="7" applyNumberFormat="0" applyAlignment="0" applyProtection="0"/>
    <xf numFmtId="0" fontId="4" fillId="24" borderId="7" applyNumberFormat="0" applyAlignment="0" applyProtection="0"/>
    <xf numFmtId="1" fontId="25" fillId="0" borderId="0" applyFill="0" applyBorder="0" applyProtection="0">
      <alignment vertical="center"/>
    </xf>
    <xf numFmtId="1" fontId="25" fillId="0" borderId="0" applyFill="0" applyBorder="0" applyProtection="0">
      <alignment vertical="center"/>
    </xf>
    <xf numFmtId="9" fontId="1" fillId="0" borderId="0" applyFont="0" applyFill="0" applyBorder="0" applyAlignment="0" applyProtection="0"/>
    <xf numFmtId="9" fontId="1" fillId="0" borderId="0" applyFont="0" applyFill="0" applyBorder="0" applyAlignment="0" applyProtection="0"/>
    <xf numFmtId="0" fontId="27" fillId="17" borderId="8" applyNumberFormat="0" applyAlignment="0" applyProtection="0"/>
    <xf numFmtId="0" fontId="27" fillId="17" borderId="8" applyNumberFormat="0" applyAlignment="0" applyProtection="0"/>
    <xf numFmtId="0" fontId="27" fillId="17" borderId="8" applyNumberFormat="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4" fillId="0" borderId="10" applyNumberFormat="0" applyFill="0" applyAlignment="0" applyProtection="0"/>
    <xf numFmtId="0" fontId="34" fillId="0" borderId="10" applyNumberFormat="0" applyFill="0" applyAlignment="0" applyProtection="0"/>
    <xf numFmtId="0" fontId="34" fillId="0" borderId="10" applyNumberFormat="0" applyFill="0" applyAlignment="0" applyProtection="0"/>
    <xf numFmtId="0" fontId="35" fillId="0" borderId="11" applyNumberFormat="0" applyFill="0" applyAlignment="0" applyProtection="0"/>
    <xf numFmtId="0" fontId="35" fillId="0" borderId="11" applyNumberFormat="0" applyFill="0" applyAlignment="0" applyProtection="0"/>
    <xf numFmtId="0" fontId="35" fillId="0" borderId="11" applyNumberFormat="0" applyFill="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6" fillId="0" borderId="12" applyNumberFormat="0" applyFill="0" applyAlignment="0" applyProtection="0"/>
    <xf numFmtId="0" fontId="36" fillId="0" borderId="12" applyNumberFormat="0" applyFill="0" applyAlignment="0" applyProtection="0"/>
    <xf numFmtId="0" fontId="36" fillId="0" borderId="12" applyNumberFormat="0" applyFill="0" applyAlignment="0" applyProtection="0"/>
    <xf numFmtId="0" fontId="40" fillId="0" borderId="0"/>
    <xf numFmtId="9" fontId="8" fillId="0" borderId="0" applyFont="0" applyFill="0" applyBorder="0" applyAlignment="0" applyProtection="0"/>
    <xf numFmtId="0" fontId="42" fillId="0" borderId="0" applyNumberFormat="0" applyFill="0" applyBorder="0" applyAlignment="0" applyProtection="0">
      <alignment vertical="top"/>
      <protection locked="0"/>
    </xf>
    <xf numFmtId="0" fontId="43" fillId="0" borderId="0"/>
    <xf numFmtId="9" fontId="1" fillId="0" borderId="0" applyFont="0" applyFill="0" applyBorder="0" applyAlignment="0" applyProtection="0"/>
    <xf numFmtId="0" fontId="8" fillId="0" borderId="0"/>
    <xf numFmtId="0" fontId="42"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54" fillId="0" borderId="0" applyNumberFormat="0" applyFill="0" applyBorder="0" applyAlignment="0" applyProtection="0">
      <alignment vertical="top"/>
      <protection locked="0"/>
    </xf>
    <xf numFmtId="0" fontId="4" fillId="0" borderId="0"/>
    <xf numFmtId="9" fontId="4" fillId="0" borderId="0" applyFont="0" applyFill="0" applyBorder="0" applyAlignment="0" applyProtection="0"/>
    <xf numFmtId="43" fontId="4" fillId="0" borderId="0" applyFont="0" applyFill="0" applyBorder="0" applyAlignment="0" applyProtection="0"/>
    <xf numFmtId="174" fontId="1" fillId="0" borderId="0" applyFont="0" applyFill="0" applyBorder="0" applyAlignment="0" applyProtection="0"/>
    <xf numFmtId="0" fontId="61" fillId="27" borderId="41" applyNumberFormat="0" applyAlignment="0" applyProtection="0"/>
  </cellStyleXfs>
  <cellXfs count="857">
    <xf numFmtId="0" fontId="0" fillId="0" borderId="0" xfId="0"/>
    <xf numFmtId="0" fontId="3" fillId="0" borderId="0" xfId="2" applyFont="1" applyFill="1" applyBorder="1" applyAlignment="1" applyProtection="1">
      <alignment horizontal="left" vertical="center"/>
      <protection locked="0"/>
    </xf>
    <xf numFmtId="49" fontId="5" fillId="0" borderId="0" xfId="3" applyNumberFormat="1" applyFont="1" applyFill="1" applyBorder="1" applyAlignment="1" applyProtection="1">
      <alignment horizontal="center" vertical="center"/>
      <protection locked="0"/>
    </xf>
    <xf numFmtId="165" fontId="5" fillId="0" borderId="0" xfId="3" applyNumberFormat="1" applyFont="1" applyFill="1" applyBorder="1" applyAlignment="1" applyProtection="1">
      <alignment horizontal="center" vertical="center"/>
      <protection locked="0"/>
    </xf>
    <xf numFmtId="165" fontId="6" fillId="0" borderId="0" xfId="2" applyNumberFormat="1" applyFont="1" applyBorder="1" applyAlignment="1" applyProtection="1">
      <alignment horizontal="center" vertical="center"/>
      <protection locked="0"/>
    </xf>
    <xf numFmtId="0" fontId="7" fillId="0" borderId="0" xfId="2" applyFont="1" applyFill="1" applyBorder="1" applyAlignment="1" applyProtection="1">
      <alignment horizontal="center" vertical="center"/>
      <protection locked="0"/>
    </xf>
    <xf numFmtId="0" fontId="11" fillId="0" borderId="1" xfId="1" applyFont="1" applyFill="1" applyBorder="1" applyAlignment="1" applyProtection="1">
      <alignment horizontal="center" vertical="center"/>
      <protection locked="0"/>
    </xf>
    <xf numFmtId="165" fontId="10" fillId="0" borderId="0" xfId="4" applyNumberFormat="1" applyFont="1" applyFill="1" applyBorder="1" applyAlignment="1" applyProtection="1">
      <alignment horizontal="center" vertical="center" wrapText="1"/>
      <protection locked="0"/>
    </xf>
    <xf numFmtId="165" fontId="13" fillId="0" borderId="0" xfId="4" applyNumberFormat="1" applyFont="1" applyFill="1" applyBorder="1" applyAlignment="1" applyProtection="1">
      <alignment horizontal="center" vertical="center"/>
      <protection locked="0"/>
    </xf>
    <xf numFmtId="165" fontId="7" fillId="0" borderId="0" xfId="2" applyNumberFormat="1" applyFont="1" applyFill="1" applyBorder="1" applyAlignment="1" applyProtection="1">
      <alignment horizontal="center" vertical="center"/>
      <protection locked="0"/>
    </xf>
    <xf numFmtId="165" fontId="3" fillId="0" borderId="0" xfId="2" applyNumberFormat="1" applyFont="1" applyFill="1" applyBorder="1" applyAlignment="1" applyProtection="1">
      <alignment horizontal="right" vertical="center"/>
      <protection locked="0"/>
    </xf>
    <xf numFmtId="0" fontId="3" fillId="0" borderId="0" xfId="2" applyFont="1" applyFill="1" applyBorder="1" applyAlignment="1" applyProtection="1">
      <alignment horizontal="left" vertical="center"/>
      <protection hidden="1"/>
    </xf>
    <xf numFmtId="1" fontId="5" fillId="2" borderId="0" xfId="4" applyNumberFormat="1" applyFont="1" applyFill="1" applyBorder="1" applyAlignment="1" applyProtection="1">
      <alignment horizontal="left" vertical="center" wrapText="1"/>
      <protection hidden="1"/>
    </xf>
    <xf numFmtId="0" fontId="5" fillId="2" borderId="0" xfId="4" applyFont="1" applyFill="1" applyBorder="1" applyAlignment="1" applyProtection="1">
      <alignment horizontal="center" vertical="center" wrapText="1"/>
      <protection hidden="1"/>
    </xf>
    <xf numFmtId="165" fontId="5" fillId="2" borderId="0" xfId="4" applyNumberFormat="1" applyFont="1" applyFill="1" applyBorder="1" applyAlignment="1" applyProtection="1">
      <alignment horizontal="center" vertical="center" wrapText="1"/>
      <protection hidden="1"/>
    </xf>
    <xf numFmtId="165" fontId="3" fillId="0" borderId="0" xfId="2" applyNumberFormat="1" applyFont="1" applyFill="1" applyBorder="1" applyAlignment="1" applyProtection="1">
      <alignment horizontal="center" vertical="center" wrapText="1"/>
      <protection hidden="1"/>
    </xf>
    <xf numFmtId="0" fontId="3" fillId="0" borderId="0" xfId="2" applyFont="1" applyFill="1" applyBorder="1" applyAlignment="1" applyProtection="1">
      <alignment horizontal="left" vertical="center" wrapText="1"/>
      <protection hidden="1"/>
    </xf>
    <xf numFmtId="0" fontId="3" fillId="0" borderId="0" xfId="2" applyFont="1" applyFill="1" applyBorder="1" applyAlignment="1" applyProtection="1">
      <alignment horizontal="center" vertical="center" wrapText="1"/>
      <protection hidden="1"/>
    </xf>
    <xf numFmtId="0" fontId="3" fillId="0" borderId="0" xfId="2" applyNumberFormat="1" applyFont="1" applyFill="1" applyBorder="1" applyAlignment="1" applyProtection="1">
      <alignment horizontal="center" vertical="center" wrapText="1"/>
      <protection hidden="1"/>
    </xf>
    <xf numFmtId="0" fontId="3" fillId="0" borderId="0" xfId="0" applyNumberFormat="1" applyFont="1" applyFill="1" applyBorder="1" applyAlignment="1" applyProtection="1">
      <alignment horizontal="center" vertical="center" wrapText="1"/>
      <protection hidden="1"/>
    </xf>
    <xf numFmtId="0" fontId="9" fillId="0" borderId="0" xfId="4" applyFont="1" applyFill="1" applyBorder="1" applyAlignment="1" applyProtection="1">
      <alignment horizontal="center" vertical="center"/>
      <protection locked="0"/>
    </xf>
    <xf numFmtId="0" fontId="16" fillId="0" borderId="0" xfId="177" applyFont="1" applyFill="1" applyBorder="1" applyAlignment="1" applyProtection="1">
      <alignment vertical="center"/>
      <protection hidden="1"/>
    </xf>
    <xf numFmtId="165" fontId="3" fillId="0" borderId="0" xfId="2" applyNumberFormat="1" applyFont="1" applyFill="1" applyBorder="1" applyAlignment="1" applyProtection="1">
      <alignment vertical="center"/>
      <protection hidden="1"/>
    </xf>
    <xf numFmtId="49" fontId="14" fillId="0" borderId="0" xfId="139" applyNumberFormat="1" applyFont="1" applyFill="1" applyBorder="1" applyAlignment="1" applyProtection="1">
      <alignment vertical="center"/>
      <protection hidden="1"/>
    </xf>
    <xf numFmtId="49" fontId="14" fillId="0" borderId="0" xfId="139" applyNumberFormat="1" applyFont="1" applyFill="1" applyBorder="1" applyAlignment="1" applyProtection="1">
      <alignment horizontal="center" vertical="center"/>
      <protection hidden="1"/>
    </xf>
    <xf numFmtId="165" fontId="14" fillId="0" borderId="0" xfId="139" applyNumberFormat="1" applyFont="1" applyFill="1" applyBorder="1" applyAlignment="1" applyProtection="1">
      <alignment horizontal="right" vertical="center"/>
      <protection hidden="1"/>
    </xf>
    <xf numFmtId="0" fontId="6" fillId="0" borderId="0" xfId="107" applyFont="1" applyFill="1" applyBorder="1" applyAlignment="1" applyProtection="1">
      <alignment horizontal="right" vertical="center"/>
      <protection hidden="1"/>
    </xf>
    <xf numFmtId="165" fontId="3" fillId="0" borderId="0" xfId="107" applyNumberFormat="1" applyFont="1" applyFill="1" applyBorder="1" applyAlignment="1" applyProtection="1">
      <alignment horizontal="right" vertical="center"/>
      <protection hidden="1"/>
    </xf>
    <xf numFmtId="0" fontId="3" fillId="0" borderId="0" xfId="107" applyFont="1" applyFill="1" applyBorder="1" applyAlignment="1" applyProtection="1">
      <alignment horizontal="left" vertical="center"/>
      <protection hidden="1"/>
    </xf>
    <xf numFmtId="0" fontId="3" fillId="0" borderId="0" xfId="107" applyFont="1" applyFill="1" applyBorder="1" applyAlignment="1" applyProtection="1">
      <alignment horizontal="right" vertical="center"/>
      <protection hidden="1"/>
    </xf>
    <xf numFmtId="0" fontId="3" fillId="0" borderId="0" xfId="107" applyFont="1" applyFill="1" applyBorder="1" applyAlignment="1" applyProtection="1">
      <alignment horizontal="center" vertical="center"/>
      <protection hidden="1"/>
    </xf>
    <xf numFmtId="0" fontId="38" fillId="0" borderId="0" xfId="4" applyFont="1" applyFill="1" applyBorder="1" applyAlignment="1" applyProtection="1">
      <alignment vertical="center"/>
      <protection hidden="1"/>
    </xf>
    <xf numFmtId="0" fontId="38" fillId="0" borderId="0" xfId="4" applyFont="1" applyFill="1" applyBorder="1" applyAlignment="1" applyProtection="1">
      <alignment horizontal="center" vertical="center"/>
      <protection hidden="1"/>
    </xf>
    <xf numFmtId="165" fontId="6" fillId="0" borderId="0" xfId="4" applyNumberFormat="1" applyFont="1" applyFill="1" applyBorder="1" applyAlignment="1" applyProtection="1">
      <alignment horizontal="right" vertical="center"/>
      <protection hidden="1"/>
    </xf>
    <xf numFmtId="14" fontId="6" fillId="0" borderId="0" xfId="4" applyNumberFormat="1" applyFont="1" applyFill="1" applyBorder="1" applyAlignment="1" applyProtection="1">
      <alignment horizontal="right" vertical="center"/>
      <protection hidden="1"/>
    </xf>
    <xf numFmtId="0" fontId="6" fillId="0" borderId="0" xfId="4" applyFont="1" applyFill="1" applyBorder="1" applyAlignment="1" applyProtection="1">
      <alignment horizontal="left" vertical="center" wrapText="1"/>
      <protection hidden="1"/>
    </xf>
    <xf numFmtId="0" fontId="6" fillId="0" borderId="0" xfId="4" applyFont="1" applyFill="1" applyBorder="1" applyAlignment="1" applyProtection="1">
      <alignment horizontal="right" vertical="center"/>
      <protection hidden="1"/>
    </xf>
    <xf numFmtId="0" fontId="6" fillId="0" borderId="0" xfId="4" applyFont="1" applyFill="1" applyBorder="1" applyAlignment="1" applyProtection="1">
      <alignment horizontal="center" vertical="center"/>
      <protection hidden="1"/>
    </xf>
    <xf numFmtId="10" fontId="38" fillId="0" borderId="0" xfId="4" applyNumberFormat="1" applyFont="1" applyFill="1" applyBorder="1" applyAlignment="1" applyProtection="1">
      <alignment horizontal="right" vertical="center"/>
      <protection hidden="1"/>
    </xf>
    <xf numFmtId="0" fontId="13" fillId="0" borderId="0" xfId="4" applyFont="1" applyFill="1" applyBorder="1" applyAlignment="1" applyProtection="1">
      <alignment horizontal="center" vertical="center"/>
      <protection hidden="1"/>
    </xf>
    <xf numFmtId="165" fontId="13" fillId="0" borderId="0" xfId="4" applyNumberFormat="1" applyFont="1" applyFill="1" applyBorder="1" applyAlignment="1" applyProtection="1">
      <alignment horizontal="right" vertical="center"/>
      <protection hidden="1"/>
    </xf>
    <xf numFmtId="0" fontId="16" fillId="0" borderId="0" xfId="107" applyFont="1" applyFill="1" applyBorder="1" applyAlignment="1" applyProtection="1">
      <alignment vertical="center"/>
      <protection hidden="1"/>
    </xf>
    <xf numFmtId="0" fontId="3" fillId="0" borderId="0" xfId="180" applyFont="1" applyFill="1" applyBorder="1" applyAlignment="1" applyProtection="1">
      <alignment vertical="center"/>
      <protection hidden="1"/>
    </xf>
    <xf numFmtId="0" fontId="16" fillId="0" borderId="0" xfId="107" applyNumberFormat="1" applyFont="1" applyFill="1" applyBorder="1" applyAlignment="1" applyProtection="1">
      <alignment vertical="center" wrapText="1"/>
      <protection hidden="1"/>
    </xf>
    <xf numFmtId="0" fontId="16" fillId="0" borderId="2" xfId="107" applyNumberFormat="1" applyFont="1" applyFill="1" applyBorder="1" applyAlignment="1" applyProtection="1">
      <alignment vertical="center" wrapText="1"/>
      <protection hidden="1"/>
    </xf>
    <xf numFmtId="0" fontId="41" fillId="26" borderId="21" xfId="107" applyFont="1" applyFill="1" applyBorder="1" applyAlignment="1" applyProtection="1">
      <alignment horizontal="center" vertical="center" wrapText="1"/>
      <protection hidden="1"/>
    </xf>
    <xf numFmtId="0" fontId="41" fillId="26" borderId="22" xfId="107" applyFont="1" applyFill="1" applyBorder="1" applyAlignment="1" applyProtection="1">
      <alignment vertical="center" wrapText="1"/>
      <protection hidden="1"/>
    </xf>
    <xf numFmtId="0" fontId="2" fillId="0" borderId="21" xfId="1" applyFont="1" applyFill="1" applyBorder="1" applyAlignment="1" applyProtection="1">
      <alignment horizontal="center" vertical="center" wrapText="1"/>
      <protection hidden="1"/>
    </xf>
    <xf numFmtId="0" fontId="37" fillId="0" borderId="16" xfId="107" applyFont="1" applyBorder="1" applyAlignment="1" applyProtection="1">
      <alignment vertical="center" wrapText="1"/>
      <protection hidden="1"/>
    </xf>
    <xf numFmtId="0" fontId="11" fillId="0" borderId="21" xfId="1" applyFont="1" applyFill="1" applyBorder="1" applyAlignment="1" applyProtection="1">
      <alignment horizontal="center" vertical="center" wrapText="1"/>
      <protection hidden="1"/>
    </xf>
    <xf numFmtId="0" fontId="16" fillId="0" borderId="22" xfId="107" applyFont="1" applyBorder="1" applyAlignment="1" applyProtection="1">
      <alignment vertical="center" wrapText="1"/>
      <protection hidden="1"/>
    </xf>
    <xf numFmtId="0" fontId="16" fillId="0" borderId="22" xfId="177" applyFont="1" applyBorder="1" applyAlignment="1" applyProtection="1">
      <alignment vertical="center" wrapText="1"/>
      <protection hidden="1"/>
    </xf>
    <xf numFmtId="0" fontId="37" fillId="0" borderId="22" xfId="107" applyFont="1" applyBorder="1" applyAlignment="1" applyProtection="1">
      <alignment vertical="center" wrapText="1"/>
      <protection hidden="1"/>
    </xf>
    <xf numFmtId="0" fontId="16" fillId="0" borderId="18" xfId="107" applyNumberFormat="1" applyFont="1" applyFill="1" applyBorder="1" applyAlignment="1" applyProtection="1">
      <alignment vertical="center" wrapText="1"/>
      <protection hidden="1"/>
    </xf>
    <xf numFmtId="0" fontId="16" fillId="0" borderId="21" xfId="107" applyFont="1" applyBorder="1" applyAlignment="1" applyProtection="1">
      <alignment horizontal="center" vertical="center" wrapText="1"/>
      <protection hidden="1"/>
    </xf>
    <xf numFmtId="0" fontId="3" fillId="0" borderId="22" xfId="107" applyFont="1" applyFill="1" applyBorder="1" applyAlignment="1" applyProtection="1">
      <alignment vertical="center" wrapText="1"/>
      <protection hidden="1"/>
    </xf>
    <xf numFmtId="0" fontId="16" fillId="0" borderId="22" xfId="107" applyFont="1" applyFill="1" applyBorder="1" applyAlignment="1" applyProtection="1">
      <alignment vertical="center" wrapText="1"/>
      <protection hidden="1"/>
    </xf>
    <xf numFmtId="0" fontId="37" fillId="0" borderId="21" xfId="107" applyFont="1" applyBorder="1" applyAlignment="1" applyProtection="1">
      <alignment horizontal="center" vertical="center" wrapText="1"/>
      <protection hidden="1"/>
    </xf>
    <xf numFmtId="0" fontId="16" fillId="0" borderId="21" xfId="107" applyFont="1" applyBorder="1" applyAlignment="1" applyProtection="1">
      <alignment vertical="center" wrapText="1"/>
      <protection hidden="1"/>
    </xf>
    <xf numFmtId="0" fontId="44" fillId="0" borderId="0" xfId="107" applyFont="1" applyAlignment="1" applyProtection="1">
      <alignment vertical="center"/>
      <protection hidden="1"/>
    </xf>
    <xf numFmtId="49" fontId="5" fillId="0" borderId="0" xfId="3" applyNumberFormat="1" applyFont="1" applyFill="1" applyBorder="1" applyAlignment="1" applyProtection="1">
      <alignment horizontal="left" vertical="center" wrapText="1"/>
      <protection locked="0"/>
    </xf>
    <xf numFmtId="49" fontId="5" fillId="0" borderId="0" xfId="3" applyNumberFormat="1" applyFont="1" applyFill="1" applyBorder="1" applyAlignment="1" applyProtection="1">
      <alignment horizontal="left" vertical="center"/>
      <protection locked="0"/>
    </xf>
    <xf numFmtId="0" fontId="10" fillId="0" borderId="0" xfId="108" applyFont="1" applyBorder="1" applyAlignment="1" applyProtection="1">
      <alignment vertical="center"/>
      <protection hidden="1"/>
    </xf>
    <xf numFmtId="0" fontId="12" fillId="0" borderId="0" xfId="110" applyFont="1" applyBorder="1" applyAlignment="1" applyProtection="1">
      <alignment vertical="center"/>
      <protection hidden="1"/>
    </xf>
    <xf numFmtId="0" fontId="10" fillId="0" borderId="0" xfId="108" applyFont="1" applyAlignment="1" applyProtection="1">
      <alignment vertical="center"/>
      <protection hidden="1"/>
    </xf>
    <xf numFmtId="0" fontId="12" fillId="0" borderId="0" xfId="110" applyFont="1" applyAlignment="1" applyProtection="1">
      <alignment vertical="center"/>
      <protection hidden="1"/>
    </xf>
    <xf numFmtId="0" fontId="5" fillId="0" borderId="0" xfId="110" applyFont="1" applyBorder="1" applyAlignment="1" applyProtection="1">
      <alignment horizontal="center" vertical="center"/>
      <protection hidden="1"/>
    </xf>
    <xf numFmtId="0" fontId="45" fillId="0" borderId="0" xfId="110" applyFont="1" applyAlignment="1" applyProtection="1">
      <alignment vertical="center"/>
      <protection hidden="1"/>
    </xf>
    <xf numFmtId="0" fontId="46" fillId="0" borderId="0" xfId="110" applyFont="1" applyAlignment="1" applyProtection="1">
      <alignment vertical="center"/>
      <protection hidden="1"/>
    </xf>
    <xf numFmtId="0" fontId="12" fillId="0" borderId="0" xfId="110" applyFont="1" applyAlignment="1" applyProtection="1">
      <alignment horizontal="right" vertical="center"/>
      <protection hidden="1"/>
    </xf>
    <xf numFmtId="170" fontId="47" fillId="0" borderId="0" xfId="110" applyNumberFormat="1" applyFont="1" applyFill="1" applyAlignment="1" applyProtection="1">
      <alignment horizontal="center" vertical="center"/>
      <protection hidden="1"/>
    </xf>
    <xf numFmtId="0" fontId="12" fillId="0" borderId="0" xfId="110" applyFont="1" applyAlignment="1" applyProtection="1">
      <alignment horizontal="center" vertical="center"/>
      <protection hidden="1"/>
    </xf>
    <xf numFmtId="10" fontId="5" fillId="0" borderId="0" xfId="126" applyNumberFormat="1" applyFont="1" applyFill="1" applyAlignment="1" applyProtection="1">
      <alignment horizontal="center" vertical="center"/>
      <protection hidden="1"/>
    </xf>
    <xf numFmtId="0" fontId="12" fillId="0" borderId="0" xfId="110" applyFont="1" applyAlignment="1" applyProtection="1">
      <alignment vertical="center" wrapText="1"/>
      <protection hidden="1"/>
    </xf>
    <xf numFmtId="0" fontId="12" fillId="0" borderId="23" xfId="110" applyFont="1" applyBorder="1" applyAlignment="1" applyProtection="1">
      <alignment vertical="center"/>
      <protection hidden="1"/>
    </xf>
    <xf numFmtId="0" fontId="5" fillId="0" borderId="24" xfId="110" applyFont="1" applyFill="1" applyBorder="1" applyAlignment="1" applyProtection="1">
      <alignment horizontal="center" vertical="center"/>
      <protection hidden="1"/>
    </xf>
    <xf numFmtId="10" fontId="12" fillId="0" borderId="25" xfId="110" applyNumberFormat="1" applyFont="1" applyFill="1" applyBorder="1" applyAlignment="1" applyProtection="1">
      <alignment horizontal="center" vertical="center"/>
      <protection locked="0"/>
    </xf>
    <xf numFmtId="0" fontId="12" fillId="0" borderId="23" xfId="110" applyFont="1" applyFill="1" applyBorder="1" applyAlignment="1" applyProtection="1">
      <alignment vertical="center"/>
      <protection hidden="1"/>
    </xf>
    <xf numFmtId="10" fontId="48" fillId="0" borderId="26" xfId="126" applyNumberFormat="1" applyFont="1" applyFill="1" applyBorder="1" applyAlignment="1" applyProtection="1">
      <alignment horizontal="center" vertical="center"/>
      <protection hidden="1"/>
    </xf>
    <xf numFmtId="0" fontId="5" fillId="0" borderId="0" xfId="110" applyFont="1" applyFill="1" applyAlignment="1" applyProtection="1">
      <alignment horizontal="center" vertical="center"/>
      <protection hidden="1"/>
    </xf>
    <xf numFmtId="0" fontId="5" fillId="0" borderId="23" xfId="110" applyFont="1" applyFill="1" applyBorder="1" applyAlignment="1" applyProtection="1">
      <alignment vertical="center"/>
      <protection hidden="1"/>
    </xf>
    <xf numFmtId="2" fontId="12" fillId="0" borderId="26" xfId="110" applyNumberFormat="1" applyFont="1" applyFill="1" applyBorder="1" applyAlignment="1" applyProtection="1">
      <alignment vertical="center"/>
      <protection hidden="1"/>
    </xf>
    <xf numFmtId="0" fontId="12" fillId="0" borderId="0" xfId="110" applyFont="1" applyFill="1" applyBorder="1" applyAlignment="1" applyProtection="1">
      <alignment vertical="center"/>
      <protection hidden="1"/>
    </xf>
    <xf numFmtId="0" fontId="5" fillId="0" borderId="0" xfId="110" applyFont="1" applyFill="1" applyBorder="1" applyAlignment="1" applyProtection="1">
      <alignment vertical="center"/>
      <protection hidden="1"/>
    </xf>
    <xf numFmtId="2" fontId="12" fillId="0" borderId="0" xfId="110" applyNumberFormat="1" applyFont="1" applyFill="1" applyBorder="1" applyAlignment="1" applyProtection="1">
      <alignment vertical="center"/>
      <protection hidden="1"/>
    </xf>
    <xf numFmtId="10" fontId="12" fillId="0" borderId="27" xfId="110" applyNumberFormat="1" applyFont="1" applyFill="1" applyBorder="1" applyAlignment="1" applyProtection="1">
      <alignment horizontal="center" vertical="center"/>
      <protection locked="0"/>
    </xf>
    <xf numFmtId="2" fontId="12" fillId="0" borderId="26" xfId="110" applyNumberFormat="1" applyFont="1" applyFill="1" applyBorder="1" applyAlignment="1" applyProtection="1">
      <alignment horizontal="center" vertical="center"/>
      <protection hidden="1"/>
    </xf>
    <xf numFmtId="0" fontId="12" fillId="0" borderId="0" xfId="110" applyFont="1" applyFill="1" applyAlignment="1" applyProtection="1">
      <alignment vertical="center"/>
      <protection hidden="1"/>
    </xf>
    <xf numFmtId="2" fontId="12" fillId="0" borderId="0" xfId="110" applyNumberFormat="1" applyFont="1" applyFill="1" applyAlignment="1" applyProtection="1">
      <alignment horizontal="center" vertical="center"/>
      <protection hidden="1"/>
    </xf>
    <xf numFmtId="0" fontId="46" fillId="0" borderId="23" xfId="110" applyFont="1" applyFill="1" applyBorder="1" applyAlignment="1" applyProtection="1">
      <alignment horizontal="right" vertical="center"/>
      <protection hidden="1"/>
    </xf>
    <xf numFmtId="0" fontId="46" fillId="0" borderId="23" xfId="110" applyFont="1" applyFill="1" applyBorder="1" applyAlignment="1" applyProtection="1">
      <alignment horizontal="left" vertical="center"/>
      <protection hidden="1"/>
    </xf>
    <xf numFmtId="2" fontId="12" fillId="0" borderId="23" xfId="110" applyNumberFormat="1" applyFont="1" applyFill="1" applyBorder="1" applyAlignment="1" applyProtection="1">
      <alignment vertical="center"/>
      <protection hidden="1"/>
    </xf>
    <xf numFmtId="10" fontId="12" fillId="0" borderId="0" xfId="110" applyNumberFormat="1" applyFont="1" applyFill="1" applyAlignment="1" applyProtection="1">
      <alignment horizontal="center" vertical="center"/>
      <protection hidden="1"/>
    </xf>
    <xf numFmtId="0" fontId="46" fillId="0" borderId="0" xfId="110" applyFont="1" applyFill="1" applyAlignment="1" applyProtection="1">
      <alignment horizontal="right" vertical="center"/>
      <protection hidden="1"/>
    </xf>
    <xf numFmtId="0" fontId="46" fillId="0" borderId="0" xfId="110" applyFont="1" applyFill="1" applyAlignment="1" applyProtection="1">
      <alignment horizontal="left" vertical="center"/>
      <protection hidden="1"/>
    </xf>
    <xf numFmtId="0" fontId="5" fillId="0" borderId="28" xfId="110" applyFont="1" applyBorder="1" applyAlignment="1" applyProtection="1">
      <alignment vertical="center" wrapText="1"/>
      <protection hidden="1"/>
    </xf>
    <xf numFmtId="0" fontId="5" fillId="0" borderId="29" xfId="110" applyFont="1" applyBorder="1" applyAlignment="1" applyProtection="1">
      <alignment horizontal="center" vertical="center" wrapText="1"/>
      <protection hidden="1"/>
    </xf>
    <xf numFmtId="0" fontId="5" fillId="0" borderId="30" xfId="110" applyFont="1" applyBorder="1" applyAlignment="1" applyProtection="1">
      <alignment horizontal="center" vertical="center" wrapText="1"/>
      <protection hidden="1"/>
    </xf>
    <xf numFmtId="0" fontId="12" fillId="0" borderId="19" xfId="110" applyFont="1" applyBorder="1" applyAlignment="1" applyProtection="1">
      <alignment vertical="center" wrapText="1"/>
      <protection hidden="1"/>
    </xf>
    <xf numFmtId="0" fontId="12" fillId="0" borderId="14" xfId="110" applyFont="1" applyBorder="1" applyAlignment="1" applyProtection="1">
      <alignment horizontal="center" vertical="center" wrapText="1"/>
      <protection hidden="1"/>
    </xf>
    <xf numFmtId="10" fontId="12" fillId="0" borderId="14" xfId="110" applyNumberFormat="1" applyFont="1" applyBorder="1" applyAlignment="1" applyProtection="1">
      <alignment horizontal="center" vertical="center" wrapText="1"/>
      <protection hidden="1"/>
    </xf>
    <xf numFmtId="0" fontId="12" fillId="0" borderId="20" xfId="110" applyFont="1" applyBorder="1" applyAlignment="1" applyProtection="1">
      <alignment horizontal="center" vertical="center" wrapText="1"/>
      <protection hidden="1"/>
    </xf>
    <xf numFmtId="10" fontId="12" fillId="0" borderId="31" xfId="110" applyNumberFormat="1" applyFont="1" applyBorder="1" applyAlignment="1" applyProtection="1">
      <alignment horizontal="center" vertical="center" wrapText="1"/>
      <protection locked="0"/>
    </xf>
    <xf numFmtId="0" fontId="12" fillId="0" borderId="21" xfId="110" applyFont="1" applyBorder="1" applyAlignment="1" applyProtection="1">
      <alignment vertical="center" wrapText="1"/>
      <protection hidden="1"/>
    </xf>
    <xf numFmtId="0" fontId="12" fillId="0" borderId="13" xfId="110" applyFont="1" applyBorder="1" applyAlignment="1" applyProtection="1">
      <alignment horizontal="center" vertical="center" wrapText="1"/>
      <protection hidden="1"/>
    </xf>
    <xf numFmtId="10" fontId="12" fillId="0" borderId="13" xfId="110" applyNumberFormat="1" applyFont="1" applyBorder="1" applyAlignment="1" applyProtection="1">
      <alignment horizontal="center" vertical="center" wrapText="1"/>
      <protection hidden="1"/>
    </xf>
    <xf numFmtId="0" fontId="12" fillId="0" borderId="22" xfId="110" applyFont="1" applyBorder="1" applyAlignment="1" applyProtection="1">
      <alignment horizontal="center" vertical="center" wrapText="1"/>
      <protection hidden="1"/>
    </xf>
    <xf numFmtId="10" fontId="12" fillId="0" borderId="32" xfId="110" applyNumberFormat="1" applyFont="1" applyBorder="1" applyAlignment="1" applyProtection="1">
      <alignment horizontal="center" vertical="center" wrapText="1"/>
      <protection locked="0"/>
    </xf>
    <xf numFmtId="10" fontId="12" fillId="0" borderId="25" xfId="110" applyNumberFormat="1" applyFont="1" applyFill="1" applyBorder="1" applyAlignment="1" applyProtection="1">
      <alignment horizontal="center" vertical="center" wrapText="1"/>
      <protection locked="0"/>
    </xf>
    <xf numFmtId="0" fontId="5" fillId="0" borderId="33" xfId="110" applyFont="1" applyBorder="1" applyAlignment="1" applyProtection="1">
      <alignment vertical="center" wrapText="1"/>
      <protection hidden="1"/>
    </xf>
    <xf numFmtId="0" fontId="5" fillId="0" borderId="34" xfId="110" applyFont="1" applyBorder="1" applyAlignment="1" applyProtection="1">
      <alignment horizontal="center" vertical="center" wrapText="1"/>
      <protection hidden="1"/>
    </xf>
    <xf numFmtId="10" fontId="5" fillId="0" borderId="35" xfId="110" applyNumberFormat="1" applyFont="1" applyBorder="1" applyAlignment="1" applyProtection="1">
      <alignment horizontal="center" vertical="center" wrapText="1"/>
      <protection hidden="1"/>
    </xf>
    <xf numFmtId="0" fontId="12" fillId="0" borderId="0" xfId="110" applyFont="1" applyFill="1" applyAlignment="1" applyProtection="1">
      <alignment horizontal="right" vertical="center"/>
      <protection hidden="1"/>
    </xf>
    <xf numFmtId="0" fontId="12" fillId="0" borderId="0" xfId="110" applyFont="1" applyFill="1" applyAlignment="1" applyProtection="1">
      <alignment horizontal="center" vertical="center"/>
      <protection hidden="1"/>
    </xf>
    <xf numFmtId="0" fontId="5" fillId="0" borderId="24" xfId="110" applyFont="1" applyFill="1" applyBorder="1" applyAlignment="1" applyProtection="1">
      <alignment vertical="center"/>
      <protection hidden="1"/>
    </xf>
    <xf numFmtId="10" fontId="12" fillId="0" borderId="0" xfId="110" applyNumberFormat="1" applyFont="1" applyAlignment="1" applyProtection="1">
      <alignment vertical="center"/>
      <protection hidden="1"/>
    </xf>
    <xf numFmtId="165" fontId="12" fillId="0" borderId="0" xfId="100" applyNumberFormat="1" applyFont="1" applyAlignment="1" applyProtection="1">
      <alignment horizontal="right" vertical="center"/>
      <protection hidden="1"/>
    </xf>
    <xf numFmtId="0" fontId="10" fillId="0" borderId="0" xfId="2" applyFont="1" applyBorder="1" applyAlignment="1" applyProtection="1">
      <alignment vertical="center"/>
      <protection hidden="1"/>
    </xf>
    <xf numFmtId="0" fontId="10" fillId="0" borderId="0" xfId="2" applyFont="1" applyAlignment="1" applyProtection="1">
      <alignment vertical="center"/>
      <protection hidden="1"/>
    </xf>
    <xf numFmtId="0" fontId="9" fillId="0" borderId="0" xfId="2" applyFont="1" applyAlignment="1" applyProtection="1">
      <alignment vertical="center"/>
      <protection hidden="1"/>
    </xf>
    <xf numFmtId="0" fontId="5" fillId="0" borderId="0" xfId="110" applyFont="1" applyBorder="1" applyAlignment="1" applyProtection="1">
      <alignment vertical="center"/>
      <protection hidden="1"/>
    </xf>
    <xf numFmtId="0" fontId="5" fillId="0" borderId="0" xfId="110" applyFont="1" applyAlignment="1" applyProtection="1">
      <alignment vertical="center"/>
      <protection hidden="1"/>
    </xf>
    <xf numFmtId="0" fontId="10" fillId="0" borderId="0" xfId="2" applyFont="1" applyAlignment="1" applyProtection="1">
      <protection hidden="1"/>
    </xf>
    <xf numFmtId="10" fontId="9" fillId="0" borderId="0" xfId="2" applyNumberFormat="1" applyFont="1" applyAlignment="1" applyProtection="1">
      <alignment vertical="center"/>
      <protection hidden="1"/>
    </xf>
    <xf numFmtId="0" fontId="10" fillId="0" borderId="0" xfId="2" applyFont="1" applyFill="1" applyBorder="1" applyAlignment="1" applyProtection="1">
      <alignment vertical="center"/>
      <protection hidden="1"/>
    </xf>
    <xf numFmtId="0" fontId="12" fillId="0" borderId="0" xfId="110" applyFont="1" applyFill="1" applyBorder="1" applyAlignment="1" applyProtection="1">
      <alignment horizontal="right" vertical="center"/>
      <protection hidden="1"/>
    </xf>
    <xf numFmtId="0" fontId="12" fillId="0" borderId="0" xfId="110" applyFont="1" applyFill="1" applyBorder="1" applyAlignment="1" applyProtection="1">
      <alignment horizontal="center" vertical="center"/>
      <protection hidden="1"/>
    </xf>
    <xf numFmtId="0" fontId="3" fillId="0" borderId="0" xfId="0" applyNumberFormat="1" applyFont="1" applyFill="1" applyBorder="1" applyAlignment="1" applyProtection="1">
      <alignment horizontal="center" vertical="center"/>
      <protection hidden="1"/>
    </xf>
    <xf numFmtId="0" fontId="10" fillId="0" borderId="0" xfId="108" applyFont="1" applyAlignment="1" applyProtection="1">
      <alignment vertical="center" wrapText="1"/>
      <protection hidden="1"/>
    </xf>
    <xf numFmtId="4" fontId="10" fillId="0" borderId="0" xfId="4" applyNumberFormat="1" applyFont="1" applyFill="1" applyBorder="1" applyAlignment="1" applyProtection="1">
      <alignment horizontal="left" vertical="center"/>
      <protection hidden="1"/>
    </xf>
    <xf numFmtId="4" fontId="12" fillId="0" borderId="0" xfId="108" applyNumberFormat="1" applyFont="1" applyFill="1" applyBorder="1" applyAlignment="1" applyProtection="1">
      <alignment vertical="center" wrapText="1"/>
      <protection hidden="1"/>
    </xf>
    <xf numFmtId="0" fontId="10" fillId="0" borderId="0" xfId="108" applyFont="1" applyBorder="1" applyAlignment="1" applyProtection="1">
      <alignment vertical="center" wrapText="1"/>
      <protection hidden="1"/>
    </xf>
    <xf numFmtId="4" fontId="5" fillId="0" borderId="0" xfId="4" applyNumberFormat="1" applyFont="1" applyFill="1" applyBorder="1" applyAlignment="1" applyProtection="1">
      <alignment horizontal="left" vertical="center"/>
      <protection hidden="1"/>
    </xf>
    <xf numFmtId="0" fontId="10" fillId="0" borderId="0" xfId="108" applyFont="1" applyAlignment="1" applyProtection="1">
      <alignment horizontal="center" vertical="center"/>
      <protection hidden="1"/>
    </xf>
    <xf numFmtId="0" fontId="10" fillId="0" borderId="13" xfId="108" applyFont="1" applyBorder="1" applyAlignment="1" applyProtection="1">
      <alignment vertical="center"/>
      <protection hidden="1"/>
    </xf>
    <xf numFmtId="10" fontId="10" fillId="0" borderId="13" xfId="108" applyNumberFormat="1" applyFont="1" applyBorder="1" applyAlignment="1" applyProtection="1">
      <alignment vertical="center"/>
      <protection hidden="1"/>
    </xf>
    <xf numFmtId="0" fontId="10" fillId="0" borderId="13" xfId="108" applyFont="1" applyBorder="1" applyAlignment="1" applyProtection="1">
      <alignment horizontal="center" vertical="center"/>
      <protection hidden="1"/>
    </xf>
    <xf numFmtId="0" fontId="10" fillId="0" borderId="0" xfId="108" applyFont="1" applyAlignment="1" applyProtection="1">
      <alignment horizontal="center" vertical="center" wrapText="1"/>
      <protection hidden="1"/>
    </xf>
    <xf numFmtId="0" fontId="10" fillId="0" borderId="0" xfId="108" applyFont="1" applyBorder="1" applyAlignment="1" applyProtection="1">
      <alignment horizontal="center" vertical="center" wrapText="1"/>
      <protection hidden="1"/>
    </xf>
    <xf numFmtId="10" fontId="10" fillId="0" borderId="13" xfId="108" applyNumberFormat="1" applyFont="1" applyBorder="1" applyAlignment="1" applyProtection="1">
      <alignment horizontal="center" vertical="center"/>
      <protection hidden="1"/>
    </xf>
    <xf numFmtId="10" fontId="10" fillId="0" borderId="17" xfId="108" applyNumberFormat="1" applyFont="1" applyBorder="1" applyAlignment="1" applyProtection="1">
      <alignment horizontal="center" vertical="center"/>
      <protection hidden="1"/>
    </xf>
    <xf numFmtId="4" fontId="10" fillId="0" borderId="13" xfId="108" applyNumberFormat="1" applyFont="1" applyBorder="1" applyAlignment="1" applyProtection="1">
      <alignment vertical="center"/>
      <protection hidden="1"/>
    </xf>
    <xf numFmtId="0" fontId="10" fillId="0" borderId="17" xfId="108" applyFont="1" applyBorder="1" applyAlignment="1" applyProtection="1">
      <alignment vertical="center" wrapText="1"/>
      <protection hidden="1"/>
    </xf>
    <xf numFmtId="10" fontId="10" fillId="0" borderId="17" xfId="108" applyNumberFormat="1" applyFont="1" applyBorder="1" applyAlignment="1" applyProtection="1">
      <alignment vertical="center" wrapText="1"/>
      <protection hidden="1"/>
    </xf>
    <xf numFmtId="0" fontId="10" fillId="0" borderId="13" xfId="108" applyFont="1" applyBorder="1" applyAlignment="1" applyProtection="1">
      <alignment horizontal="center" vertical="center"/>
      <protection hidden="1"/>
    </xf>
    <xf numFmtId="0" fontId="3" fillId="0" borderId="0" xfId="0" applyNumberFormat="1" applyFont="1" applyFill="1" applyBorder="1" applyAlignment="1">
      <alignment horizontal="center" vertical="center"/>
    </xf>
    <xf numFmtId="165" fontId="3" fillId="0" borderId="0" xfId="2" applyNumberFormat="1" applyFont="1" applyFill="1" applyBorder="1" applyAlignment="1" applyProtection="1">
      <alignment vertical="center"/>
      <protection locked="0"/>
    </xf>
    <xf numFmtId="4" fontId="5" fillId="0" borderId="0" xfId="3" applyNumberFormat="1" applyFont="1" applyFill="1" applyBorder="1" applyAlignment="1" applyProtection="1">
      <alignment horizontal="center" vertical="center"/>
      <protection locked="0"/>
    </xf>
    <xf numFmtId="4" fontId="5" fillId="2" borderId="0" xfId="4" applyNumberFormat="1" applyFont="1" applyFill="1" applyBorder="1" applyAlignment="1" applyProtection="1">
      <alignment horizontal="center" vertical="center" wrapText="1"/>
      <protection hidden="1"/>
    </xf>
    <xf numFmtId="4" fontId="3" fillId="0" borderId="0" xfId="2" applyNumberFormat="1" applyFont="1" applyFill="1" applyBorder="1" applyAlignment="1" applyProtection="1">
      <alignment horizontal="center" vertical="center" wrapText="1"/>
      <protection hidden="1"/>
    </xf>
    <xf numFmtId="2" fontId="12" fillId="0" borderId="0" xfId="110" applyNumberFormat="1" applyFont="1" applyBorder="1" applyAlignment="1" applyProtection="1">
      <alignment vertical="center"/>
      <protection hidden="1"/>
    </xf>
    <xf numFmtId="2" fontId="5" fillId="0" borderId="0" xfId="110" applyNumberFormat="1" applyFont="1" applyBorder="1" applyAlignment="1" applyProtection="1">
      <alignment vertical="center"/>
      <protection hidden="1"/>
    </xf>
    <xf numFmtId="0" fontId="12" fillId="0" borderId="0" xfId="4" applyFont="1" applyFill="1" applyBorder="1" applyAlignment="1" applyProtection="1">
      <alignment vertical="center" wrapText="1"/>
      <protection locked="0"/>
    </xf>
    <xf numFmtId="0" fontId="5" fillId="25" borderId="2" xfId="110" applyFont="1" applyFill="1" applyBorder="1" applyAlignment="1" applyProtection="1">
      <alignment horizontal="center" vertical="center" wrapText="1"/>
      <protection hidden="1"/>
    </xf>
    <xf numFmtId="0" fontId="10" fillId="0" borderId="0" xfId="2" applyFont="1" applyAlignment="1" applyProtection="1">
      <alignment horizontal="center" vertical="center"/>
      <protection hidden="1"/>
    </xf>
    <xf numFmtId="0" fontId="10" fillId="0" borderId="0" xfId="2" applyFont="1" applyFill="1" applyBorder="1" applyAlignment="1" applyProtection="1">
      <alignment horizontal="left" vertical="center"/>
      <protection hidden="1"/>
    </xf>
    <xf numFmtId="2" fontId="51" fillId="25" borderId="21" xfId="110" applyNumberFormat="1" applyFont="1" applyFill="1" applyBorder="1" applyAlignment="1" applyProtection="1">
      <alignment horizontal="right" vertical="center"/>
      <protection hidden="1"/>
    </xf>
    <xf numFmtId="2" fontId="51" fillId="25" borderId="22" xfId="110" applyNumberFormat="1" applyFont="1" applyFill="1" applyBorder="1" applyAlignment="1" applyProtection="1">
      <alignment horizontal="right" vertical="center"/>
      <protection hidden="1"/>
    </xf>
    <xf numFmtId="0" fontId="12" fillId="0" borderId="2" xfId="110" applyFont="1" applyBorder="1" applyAlignment="1" applyProtection="1">
      <alignment vertical="center" wrapText="1"/>
      <protection hidden="1"/>
    </xf>
    <xf numFmtId="0" fontId="5" fillId="25" borderId="19" xfId="110" applyFont="1" applyFill="1" applyBorder="1" applyAlignment="1" applyProtection="1">
      <alignment horizontal="center" vertical="center" wrapText="1"/>
      <protection hidden="1"/>
    </xf>
    <xf numFmtId="0" fontId="5" fillId="25" borderId="20" xfId="110" applyFont="1" applyFill="1" applyBorder="1" applyAlignment="1" applyProtection="1">
      <alignment horizontal="center" vertical="center" wrapText="1"/>
      <protection hidden="1"/>
    </xf>
    <xf numFmtId="0" fontId="3" fillId="0" borderId="0" xfId="2" applyFont="1" applyFill="1" applyBorder="1" applyAlignment="1" applyProtection="1">
      <alignment horizontal="center" vertical="center"/>
      <protection locked="0"/>
    </xf>
    <xf numFmtId="0" fontId="16" fillId="0" borderId="0" xfId="107" applyNumberFormat="1" applyFont="1" applyFill="1" applyBorder="1" applyAlignment="1" applyProtection="1">
      <alignment horizontal="left" vertical="center" wrapText="1"/>
      <protection hidden="1"/>
    </xf>
    <xf numFmtId="0" fontId="3" fillId="0" borderId="0" xfId="107" applyFont="1" applyFill="1" applyBorder="1" applyAlignment="1" applyProtection="1">
      <alignment vertical="center"/>
      <protection hidden="1"/>
    </xf>
    <xf numFmtId="0" fontId="3" fillId="0" borderId="0" xfId="2" applyFont="1" applyFill="1" applyBorder="1" applyAlignment="1" applyProtection="1">
      <alignment horizontal="right" vertical="center" wrapText="1"/>
      <protection hidden="1"/>
    </xf>
    <xf numFmtId="0" fontId="3" fillId="0" borderId="0" xfId="0" applyFont="1" applyFill="1" applyAlignment="1" applyProtection="1">
      <alignment vertical="center"/>
      <protection hidden="1"/>
    </xf>
    <xf numFmtId="14" fontId="16" fillId="0" borderId="0" xfId="107" applyNumberFormat="1" applyFont="1" applyFill="1" applyBorder="1" applyAlignment="1" applyProtection="1">
      <alignment horizontal="left" vertical="center" wrapText="1"/>
      <protection hidden="1"/>
    </xf>
    <xf numFmtId="165" fontId="38" fillId="0" borderId="0" xfId="4" applyNumberFormat="1" applyFont="1" applyFill="1" applyBorder="1" applyAlignment="1" applyProtection="1">
      <alignment horizontal="right" vertical="center"/>
      <protection locked="0"/>
    </xf>
    <xf numFmtId="14" fontId="38" fillId="0" borderId="0" xfId="4" applyNumberFormat="1" applyFont="1" applyBorder="1" applyAlignment="1" applyProtection="1">
      <alignment vertical="center"/>
      <protection locked="0"/>
    </xf>
    <xf numFmtId="165" fontId="38" fillId="0" borderId="0" xfId="4" applyNumberFormat="1" applyFont="1" applyBorder="1" applyAlignment="1" applyProtection="1">
      <alignment vertical="center"/>
      <protection locked="0"/>
    </xf>
    <xf numFmtId="165" fontId="14" fillId="0" borderId="0" xfId="2" applyNumberFormat="1" applyFont="1" applyFill="1" applyBorder="1" applyAlignment="1" applyProtection="1">
      <alignment horizontal="center" vertical="center"/>
      <protection locked="0"/>
    </xf>
    <xf numFmtId="0" fontId="3" fillId="0" borderId="0" xfId="2" applyFont="1" applyFill="1" applyBorder="1" applyAlignment="1" applyProtection="1">
      <alignment vertical="center"/>
      <protection locked="0"/>
    </xf>
    <xf numFmtId="0" fontId="3" fillId="0" borderId="2" xfId="2" applyFont="1" applyFill="1" applyBorder="1" applyAlignment="1" applyProtection="1">
      <alignment vertical="center"/>
      <protection locked="0"/>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vertical="center"/>
    </xf>
    <xf numFmtId="1" fontId="14" fillId="2" borderId="2" xfId="4" applyNumberFormat="1" applyFont="1" applyFill="1" applyBorder="1" applyAlignment="1" applyProtection="1">
      <alignment horizontal="center" vertical="center" wrapText="1"/>
      <protection hidden="1"/>
    </xf>
    <xf numFmtId="0" fontId="14" fillId="2" borderId="2" xfId="4" applyFont="1" applyFill="1" applyBorder="1" applyAlignment="1" applyProtection="1">
      <alignment horizontal="center" vertical="center"/>
      <protection hidden="1"/>
    </xf>
    <xf numFmtId="0" fontId="14" fillId="2" borderId="3" xfId="4" applyFont="1" applyFill="1" applyBorder="1" applyAlignment="1" applyProtection="1">
      <alignment horizontal="left" vertical="center" wrapText="1"/>
      <protection hidden="1"/>
    </xf>
    <xf numFmtId="0" fontId="3" fillId="0" borderId="0" xfId="0" applyFont="1" applyFill="1" applyAlignment="1">
      <alignment horizontal="center" vertical="center"/>
    </xf>
    <xf numFmtId="0" fontId="3" fillId="0" borderId="0" xfId="0" quotePrefix="1" applyFont="1" applyFill="1" applyAlignment="1">
      <alignment horizontal="center" vertical="center"/>
    </xf>
    <xf numFmtId="0" fontId="3" fillId="0" borderId="0" xfId="0" applyFont="1" applyFill="1" applyBorder="1" applyAlignment="1" applyProtection="1">
      <alignment horizontal="left" vertical="center" wrapText="1"/>
      <protection hidden="1"/>
    </xf>
    <xf numFmtId="0" fontId="12" fillId="0" borderId="0" xfId="2" applyFont="1" applyFill="1" applyBorder="1" applyAlignment="1" applyProtection="1">
      <alignment horizontal="center" vertical="center"/>
      <protection locked="0"/>
    </xf>
    <xf numFmtId="0" fontId="12" fillId="0" borderId="0" xfId="2" applyFont="1" applyFill="1" applyBorder="1" applyAlignment="1" applyProtection="1">
      <alignment horizontal="center" vertical="center"/>
      <protection hidden="1"/>
    </xf>
    <xf numFmtId="0" fontId="12" fillId="0" borderId="0" xfId="2" applyFont="1" applyFill="1" applyBorder="1" applyAlignment="1" applyProtection="1">
      <alignment horizontal="center" vertical="center" wrapText="1"/>
      <protection hidden="1"/>
    </xf>
    <xf numFmtId="165" fontId="3" fillId="0" borderId="0" xfId="2" applyNumberFormat="1" applyFont="1" applyFill="1" applyBorder="1" applyAlignment="1" applyProtection="1">
      <alignment horizontal="center" vertical="center"/>
      <protection hidden="1"/>
    </xf>
    <xf numFmtId="0" fontId="14" fillId="2" borderId="3" xfId="4" applyFont="1" applyFill="1" applyBorder="1" applyAlignment="1" applyProtection="1">
      <alignment horizontal="center" vertical="center" wrapText="1"/>
      <protection hidden="1"/>
    </xf>
    <xf numFmtId="2" fontId="3" fillId="0" borderId="0" xfId="0" applyNumberFormat="1" applyFont="1" applyFill="1" applyAlignment="1">
      <alignment horizontal="center" vertical="center"/>
    </xf>
    <xf numFmtId="0" fontId="52" fillId="0" borderId="0" xfId="0" applyFont="1" applyFill="1" applyAlignment="1">
      <alignment vertical="center"/>
    </xf>
    <xf numFmtId="0" fontId="9" fillId="0" borderId="0" xfId="4" applyFont="1" applyFill="1" applyBorder="1" applyAlignment="1" applyProtection="1">
      <alignment horizontal="left" vertical="center" wrapText="1"/>
      <protection locked="0"/>
    </xf>
    <xf numFmtId="4" fontId="9" fillId="0" borderId="0" xfId="4" applyNumberFormat="1" applyFont="1" applyFill="1" applyBorder="1" applyAlignment="1" applyProtection="1">
      <alignment horizontal="center" vertical="center"/>
      <protection locked="0"/>
    </xf>
    <xf numFmtId="12" fontId="3" fillId="0" borderId="0" xfId="0" applyNumberFormat="1" applyFont="1" applyFill="1" applyBorder="1" applyAlignment="1" applyProtection="1">
      <alignment horizontal="center" vertical="center" wrapText="1"/>
      <protection hidden="1"/>
    </xf>
    <xf numFmtId="10" fontId="14" fillId="0" borderId="0" xfId="2" applyNumberFormat="1" applyFont="1" applyFill="1" applyBorder="1" applyAlignment="1" applyProtection="1">
      <alignment horizontal="center" vertical="center"/>
      <protection locked="0"/>
    </xf>
    <xf numFmtId="10" fontId="3" fillId="0" borderId="0" xfId="181" applyNumberFormat="1" applyFont="1" applyFill="1" applyBorder="1" applyAlignment="1" applyProtection="1">
      <alignment horizontal="center" vertical="center"/>
      <protection hidden="1"/>
    </xf>
    <xf numFmtId="0" fontId="9" fillId="0" borderId="0" xfId="4" applyFont="1" applyFill="1" applyBorder="1" applyAlignment="1" applyProtection="1">
      <alignment horizontal="left" vertical="center"/>
      <protection locked="0"/>
    </xf>
    <xf numFmtId="9" fontId="3" fillId="0" borderId="0" xfId="181" applyFont="1" applyFill="1" applyAlignment="1">
      <alignment horizontal="center" vertical="center"/>
    </xf>
    <xf numFmtId="0" fontId="9" fillId="0" borderId="0" xfId="4" applyFont="1" applyFill="1" applyBorder="1" applyAlignment="1" applyProtection="1">
      <alignment vertical="center"/>
      <protection locked="0"/>
    </xf>
    <xf numFmtId="0" fontId="5" fillId="0" borderId="0" xfId="3" applyNumberFormat="1" applyFont="1" applyFill="1" applyBorder="1" applyAlignment="1" applyProtection="1">
      <alignment horizontal="left" vertical="center"/>
      <protection locked="0"/>
    </xf>
    <xf numFmtId="0" fontId="5" fillId="2" borderId="0" xfId="4" applyNumberFormat="1" applyFont="1" applyFill="1" applyBorder="1" applyAlignment="1" applyProtection="1">
      <alignment horizontal="center" vertical="center" wrapText="1"/>
      <protection hidden="1"/>
    </xf>
    <xf numFmtId="0" fontId="3" fillId="0" borderId="0" xfId="2" applyNumberFormat="1" applyFont="1" applyFill="1" applyBorder="1" applyAlignment="1" applyProtection="1">
      <alignment horizontal="center" vertical="center"/>
      <protection hidden="1"/>
    </xf>
    <xf numFmtId="0" fontId="3" fillId="0" borderId="0" xfId="0" applyFont="1" applyFill="1" applyAlignment="1">
      <alignment vertical="center" wrapText="1"/>
    </xf>
    <xf numFmtId="0" fontId="14" fillId="2" borderId="3" xfId="4" applyFont="1" applyFill="1" applyBorder="1" applyAlignment="1" applyProtection="1">
      <alignment vertical="center" wrapText="1"/>
      <protection hidden="1"/>
    </xf>
    <xf numFmtId="0" fontId="3" fillId="0" borderId="0" xfId="0" applyFont="1" applyAlignment="1">
      <alignment horizontal="left" vertical="center" wrapText="1"/>
    </xf>
    <xf numFmtId="0" fontId="5" fillId="2" borderId="0" xfId="4" applyFont="1" applyFill="1" applyBorder="1" applyAlignment="1" applyProtection="1">
      <alignment horizontal="center" vertical="center"/>
      <protection hidden="1"/>
    </xf>
    <xf numFmtId="2" fontId="14" fillId="2" borderId="3" xfId="4" applyNumberFormat="1" applyFont="1" applyFill="1" applyBorder="1" applyAlignment="1" applyProtection="1">
      <alignment horizontal="center" vertical="center" wrapText="1"/>
      <protection hidden="1"/>
    </xf>
    <xf numFmtId="4" fontId="3" fillId="0" borderId="0" xfId="0" applyNumberFormat="1" applyFont="1" applyFill="1" applyBorder="1" applyAlignment="1" applyProtection="1">
      <alignment horizontal="left" vertical="center"/>
      <protection hidden="1"/>
    </xf>
    <xf numFmtId="0" fontId="3" fillId="0" borderId="0" xfId="0" applyNumberFormat="1" applyFont="1" applyFill="1" applyBorder="1" applyAlignment="1" applyProtection="1">
      <alignment horizontal="left" vertical="center"/>
      <protection hidden="1"/>
    </xf>
    <xf numFmtId="10" fontId="3" fillId="0" borderId="0" xfId="2" applyNumberFormat="1" applyFont="1" applyFill="1" applyBorder="1" applyAlignment="1" applyProtection="1">
      <alignment horizontal="center" vertical="center"/>
      <protection locked="0"/>
    </xf>
    <xf numFmtId="10" fontId="3" fillId="0" borderId="0" xfId="2" applyNumberFormat="1" applyFont="1" applyFill="1" applyBorder="1" applyAlignment="1" applyProtection="1">
      <alignment horizontal="center" vertical="center"/>
      <protection hidden="1"/>
    </xf>
    <xf numFmtId="0" fontId="9" fillId="0" borderId="0" xfId="4" applyNumberFormat="1" applyFont="1" applyFill="1" applyBorder="1" applyAlignment="1" applyProtection="1">
      <alignment horizontal="left" vertical="center"/>
      <protection locked="0"/>
    </xf>
    <xf numFmtId="0" fontId="14" fillId="0" borderId="0" xfId="0" applyFont="1" applyFill="1" applyAlignment="1" applyProtection="1">
      <alignment vertical="center"/>
      <protection hidden="1"/>
    </xf>
    <xf numFmtId="0" fontId="9" fillId="0" borderId="0" xfId="4" applyFont="1" applyFill="1" applyBorder="1" applyAlignment="1" applyProtection="1">
      <alignment horizontal="right" vertical="center"/>
      <protection locked="0"/>
    </xf>
    <xf numFmtId="0" fontId="9" fillId="0" borderId="0" xfId="4" applyNumberFormat="1" applyFont="1" applyFill="1" applyBorder="1" applyAlignment="1" applyProtection="1">
      <alignment vertical="center"/>
      <protection locked="0"/>
    </xf>
    <xf numFmtId="0" fontId="6" fillId="0" borderId="0" xfId="4" applyNumberFormat="1" applyFont="1" applyFill="1" applyBorder="1" applyAlignment="1" applyProtection="1">
      <alignment vertical="center"/>
      <protection locked="0"/>
    </xf>
    <xf numFmtId="0" fontId="6" fillId="0" borderId="0" xfId="4" applyFont="1" applyFill="1" applyBorder="1" applyAlignment="1" applyProtection="1">
      <alignment vertical="center"/>
      <protection locked="0"/>
    </xf>
    <xf numFmtId="0" fontId="11" fillId="0" borderId="0" xfId="1" applyFont="1" applyFill="1" applyBorder="1" applyAlignment="1" applyProtection="1">
      <alignment horizontal="center" vertical="center"/>
      <protection locked="0"/>
    </xf>
    <xf numFmtId="4" fontId="14" fillId="0" borderId="0" xfId="4" applyNumberFormat="1" applyFont="1" applyFill="1" applyBorder="1" applyAlignment="1" applyProtection="1">
      <alignment vertical="center" wrapText="1"/>
      <protection hidden="1"/>
    </xf>
    <xf numFmtId="0" fontId="3" fillId="0" borderId="37" xfId="2" applyFont="1" applyFill="1" applyBorder="1" applyAlignment="1" applyProtection="1">
      <alignment horizontal="left" vertical="center"/>
      <protection hidden="1"/>
    </xf>
    <xf numFmtId="2" fontId="10" fillId="0" borderId="0" xfId="4" applyNumberFormat="1" applyFont="1" applyFill="1" applyBorder="1" applyAlignment="1" applyProtection="1">
      <alignment horizontal="center" vertical="center" wrapText="1"/>
      <protection locked="0"/>
    </xf>
    <xf numFmtId="0" fontId="3" fillId="0" borderId="37" xfId="2" applyFont="1" applyFill="1" applyBorder="1" applyAlignment="1" applyProtection="1">
      <alignment horizontal="center" vertical="center"/>
      <protection hidden="1"/>
    </xf>
    <xf numFmtId="10" fontId="3" fillId="0" borderId="37" xfId="181" applyNumberFormat="1" applyFont="1" applyFill="1" applyBorder="1" applyAlignment="1" applyProtection="1">
      <alignment horizontal="center" vertical="center"/>
      <protection hidden="1"/>
    </xf>
    <xf numFmtId="0" fontId="5" fillId="0" borderId="0" xfId="2" applyFont="1" applyFill="1" applyBorder="1" applyAlignment="1" applyProtection="1">
      <alignment horizontal="center" vertical="center"/>
      <protection hidden="1"/>
    </xf>
    <xf numFmtId="1" fontId="5" fillId="0" borderId="0" xfId="4" applyNumberFormat="1" applyFont="1" applyFill="1" applyBorder="1" applyAlignment="1" applyProtection="1">
      <alignment horizontal="center" vertical="center" wrapText="1"/>
      <protection hidden="1"/>
    </xf>
    <xf numFmtId="0" fontId="14" fillId="0" borderId="0" xfId="2" applyFont="1" applyFill="1" applyBorder="1" applyAlignment="1" applyProtection="1">
      <alignment horizontal="left" vertical="center"/>
      <protection hidden="1"/>
    </xf>
    <xf numFmtId="0" fontId="6" fillId="2" borderId="37" xfId="4" applyFont="1" applyFill="1" applyBorder="1" applyAlignment="1" applyProtection="1">
      <alignment horizontal="center" vertical="center"/>
      <protection hidden="1"/>
    </xf>
    <xf numFmtId="0" fontId="6" fillId="2" borderId="0" xfId="4" applyFont="1" applyFill="1" applyBorder="1" applyAlignment="1" applyProtection="1">
      <alignment horizontal="center" vertical="center"/>
      <protection hidden="1"/>
    </xf>
    <xf numFmtId="0" fontId="3" fillId="0" borderId="0" xfId="0" applyFont="1" applyFill="1" applyBorder="1" applyAlignment="1">
      <alignment vertical="center"/>
    </xf>
    <xf numFmtId="2" fontId="3" fillId="0" borderId="0" xfId="0" applyNumberFormat="1" applyFont="1" applyFill="1" applyBorder="1" applyAlignment="1">
      <alignment vertical="center"/>
    </xf>
    <xf numFmtId="170" fontId="3" fillId="0" borderId="0" xfId="0" applyNumberFormat="1" applyFont="1" applyFill="1" applyAlignment="1">
      <alignment vertical="center"/>
    </xf>
    <xf numFmtId="0" fontId="14" fillId="2" borderId="2" xfId="4" applyNumberFormat="1" applyFont="1" applyFill="1" applyBorder="1" applyAlignment="1" applyProtection="1">
      <alignment horizontal="center" vertical="center" wrapText="1"/>
      <protection hidden="1"/>
    </xf>
    <xf numFmtId="0" fontId="3" fillId="0" borderId="0" xfId="0" applyNumberFormat="1" applyFont="1" applyFill="1" applyAlignment="1">
      <alignment horizontal="center" vertical="center"/>
    </xf>
    <xf numFmtId="0" fontId="3" fillId="0" borderId="0" xfId="0" applyNumberFormat="1" applyFont="1" applyAlignment="1">
      <alignment horizontal="center" vertical="center"/>
    </xf>
    <xf numFmtId="0" fontId="3" fillId="0" borderId="0" xfId="0" applyNumberFormat="1" applyFont="1" applyFill="1" applyBorder="1" applyAlignment="1">
      <alignment horizontal="center" vertical="center" wrapText="1"/>
    </xf>
    <xf numFmtId="0" fontId="3" fillId="0" borderId="0" xfId="0" applyFont="1" applyFill="1" applyBorder="1" applyAlignment="1">
      <alignment horizontal="left" vertical="center"/>
    </xf>
    <xf numFmtId="0" fontId="3" fillId="0" borderId="0" xfId="0" applyNumberFormat="1" applyFont="1" applyFill="1" applyBorder="1" applyAlignment="1">
      <alignment horizontal="left" vertical="center"/>
    </xf>
    <xf numFmtId="49" fontId="16" fillId="0" borderId="0" xfId="107" applyNumberFormat="1" applyFont="1" applyFill="1" applyBorder="1" applyAlignment="1" applyProtection="1">
      <alignment horizontal="left" vertical="center" wrapText="1"/>
      <protection hidden="1"/>
    </xf>
    <xf numFmtId="49" fontId="5" fillId="0" borderId="0" xfId="3" applyNumberFormat="1" applyFont="1" applyFill="1" applyBorder="1" applyAlignment="1" applyProtection="1">
      <alignment horizontal="right" vertical="center" wrapText="1"/>
      <protection locked="0"/>
    </xf>
    <xf numFmtId="0" fontId="9" fillId="0" borderId="0" xfId="4" applyFont="1" applyFill="1" applyBorder="1" applyAlignment="1" applyProtection="1">
      <alignment horizontal="right" vertical="center" wrapText="1"/>
      <protection locked="0"/>
    </xf>
    <xf numFmtId="0" fontId="6" fillId="0" borderId="0" xfId="4" applyFont="1" applyFill="1" applyBorder="1" applyAlignment="1" applyProtection="1">
      <alignment horizontal="right" vertical="center"/>
      <protection locked="0"/>
    </xf>
    <xf numFmtId="0" fontId="3" fillId="0" borderId="0" xfId="0" applyNumberFormat="1" applyFont="1" applyFill="1" applyBorder="1" applyAlignment="1" applyProtection="1">
      <alignment horizontal="left" vertical="center" wrapText="1"/>
      <protection hidden="1"/>
    </xf>
    <xf numFmtId="49" fontId="3" fillId="0" borderId="0" xfId="0" applyNumberFormat="1" applyFont="1" applyFill="1" applyBorder="1" applyAlignment="1" applyProtection="1">
      <alignment horizontal="center" vertical="center" wrapText="1"/>
      <protection hidden="1"/>
    </xf>
    <xf numFmtId="10" fontId="3" fillId="0" borderId="0" xfId="2" applyNumberFormat="1" applyFont="1" applyFill="1" applyBorder="1" applyAlignment="1" applyProtection="1">
      <alignment horizontal="left" vertical="center"/>
      <protection locked="0"/>
    </xf>
    <xf numFmtId="10" fontId="3" fillId="0" borderId="0" xfId="2" applyNumberFormat="1" applyFont="1" applyFill="1" applyBorder="1" applyAlignment="1" applyProtection="1">
      <alignment horizontal="left" vertical="center"/>
      <protection hidden="1"/>
    </xf>
    <xf numFmtId="10" fontId="3" fillId="0" borderId="0" xfId="181" applyNumberFormat="1" applyFont="1" applyFill="1" applyBorder="1" applyAlignment="1" applyProtection="1">
      <alignment horizontal="left" vertical="center"/>
      <protection hidden="1"/>
    </xf>
    <xf numFmtId="165" fontId="3" fillId="0" borderId="0" xfId="2" applyNumberFormat="1" applyFont="1" applyFill="1" applyBorder="1" applyAlignment="1" applyProtection="1">
      <alignment horizontal="right" vertical="center"/>
      <protection hidden="1"/>
    </xf>
    <xf numFmtId="0" fontId="3" fillId="0" borderId="0" xfId="107" applyNumberFormat="1" applyFont="1" applyFill="1" applyBorder="1" applyAlignment="1" applyProtection="1">
      <alignment horizontal="left" vertical="center" wrapText="1"/>
      <protection hidden="1"/>
    </xf>
    <xf numFmtId="2" fontId="3" fillId="0" borderId="0" xfId="107" applyNumberFormat="1" applyFont="1" applyFill="1" applyBorder="1" applyAlignment="1" applyProtection="1">
      <alignment horizontal="left" vertical="center" wrapText="1"/>
      <protection hidden="1"/>
    </xf>
    <xf numFmtId="0" fontId="3" fillId="0" borderId="0" xfId="107" applyFont="1" applyFill="1" applyBorder="1" applyAlignment="1" applyProtection="1">
      <alignment horizontal="left"/>
      <protection hidden="1"/>
    </xf>
    <xf numFmtId="0" fontId="3" fillId="0" borderId="0" xfId="107" applyFont="1" applyFill="1" applyBorder="1" applyAlignment="1" applyProtection="1">
      <protection hidden="1"/>
    </xf>
    <xf numFmtId="0" fontId="5" fillId="0" borderId="0" xfId="3" applyNumberFormat="1" applyFont="1" applyFill="1" applyBorder="1" applyAlignment="1" applyProtection="1">
      <alignment horizontal="left"/>
      <protection locked="0"/>
    </xf>
    <xf numFmtId="49" fontId="14" fillId="0" borderId="0" xfId="139" applyNumberFormat="1" applyFont="1" applyFill="1" applyBorder="1" applyAlignment="1" applyProtection="1">
      <alignment horizontal="center"/>
      <protection hidden="1"/>
    </xf>
    <xf numFmtId="165" fontId="14" fillId="0" borderId="0" xfId="139" applyNumberFormat="1" applyFont="1" applyFill="1" applyBorder="1" applyAlignment="1" applyProtection="1">
      <alignment horizontal="left"/>
      <protection hidden="1"/>
    </xf>
    <xf numFmtId="165" fontId="14" fillId="0" borderId="0" xfId="139" applyNumberFormat="1" applyFont="1" applyFill="1" applyBorder="1" applyAlignment="1" applyProtection="1">
      <alignment horizontal="center"/>
      <protection hidden="1"/>
    </xf>
    <xf numFmtId="0" fontId="3" fillId="0" borderId="0" xfId="0" applyFont="1" applyFill="1" applyBorder="1" applyAlignment="1">
      <alignment horizontal="center"/>
    </xf>
    <xf numFmtId="0" fontId="3" fillId="0" borderId="0" xfId="0" applyFont="1" applyFill="1" applyBorder="1" applyAlignment="1"/>
    <xf numFmtId="0" fontId="3" fillId="0" borderId="0" xfId="0" applyNumberFormat="1" applyFont="1" applyFill="1" applyBorder="1" applyAlignment="1" applyProtection="1">
      <alignment horizontal="center"/>
      <protection hidden="1"/>
    </xf>
    <xf numFmtId="0" fontId="3" fillId="0" borderId="0" xfId="107" applyFont="1" applyFill="1" applyBorder="1" applyAlignment="1" applyProtection="1">
      <alignment horizontal="center"/>
      <protection hidden="1"/>
    </xf>
    <xf numFmtId="0" fontId="9" fillId="0" borderId="0" xfId="4" applyNumberFormat="1" applyFont="1" applyFill="1" applyBorder="1" applyAlignment="1" applyProtection="1">
      <alignment horizontal="left"/>
      <protection locked="0"/>
    </xf>
    <xf numFmtId="0" fontId="38" fillId="0" borderId="0" xfId="4" applyFont="1" applyFill="1" applyBorder="1" applyAlignment="1" applyProtection="1">
      <alignment horizontal="center"/>
      <protection hidden="1"/>
    </xf>
    <xf numFmtId="49" fontId="38" fillId="0" borderId="0" xfId="4" applyNumberFormat="1" applyFont="1" applyFill="1" applyBorder="1" applyAlignment="1" applyProtection="1">
      <alignment horizontal="center"/>
      <protection hidden="1"/>
    </xf>
    <xf numFmtId="2" fontId="3" fillId="0" borderId="0" xfId="107" applyNumberFormat="1" applyFont="1" applyFill="1" applyBorder="1" applyAlignment="1" applyProtection="1">
      <alignment horizontal="center"/>
      <protection hidden="1"/>
    </xf>
    <xf numFmtId="0" fontId="3" fillId="0" borderId="0" xfId="107" applyFont="1" applyFill="1" applyBorder="1" applyAlignment="1" applyProtection="1">
      <alignment horizontal="right"/>
      <protection hidden="1"/>
    </xf>
    <xf numFmtId="0" fontId="55" fillId="0" borderId="0" xfId="0" applyFont="1" applyAlignment="1">
      <alignment horizontal="left" vertical="center"/>
    </xf>
    <xf numFmtId="0" fontId="3" fillId="0" borderId="0" xfId="0" quotePrefix="1" applyFont="1" applyFill="1" applyBorder="1" applyAlignment="1">
      <alignment horizontal="center"/>
    </xf>
    <xf numFmtId="0" fontId="56" fillId="0" borderId="0" xfId="0" applyFont="1" applyAlignment="1">
      <alignment horizontal="left" vertical="center"/>
    </xf>
    <xf numFmtId="0" fontId="6" fillId="0" borderId="0" xfId="4" applyFont="1" applyFill="1" applyBorder="1" applyAlignment="1" applyProtection="1">
      <alignment horizontal="center" wrapText="1"/>
      <protection hidden="1"/>
    </xf>
    <xf numFmtId="49" fontId="6" fillId="0" borderId="0" xfId="4" applyNumberFormat="1" applyFont="1" applyFill="1" applyBorder="1" applyAlignment="1" applyProtection="1">
      <alignment horizontal="left" wrapText="1"/>
      <protection hidden="1"/>
    </xf>
    <xf numFmtId="2" fontId="3" fillId="0" borderId="0" xfId="4" applyNumberFormat="1" applyFont="1" applyFill="1" applyBorder="1" applyAlignment="1" applyProtection="1">
      <alignment horizontal="center" wrapText="1"/>
      <protection hidden="1"/>
    </xf>
    <xf numFmtId="0" fontId="57" fillId="0" borderId="0" xfId="0" applyFont="1" applyAlignment="1">
      <alignment horizontal="left" vertical="center"/>
    </xf>
    <xf numFmtId="0" fontId="58" fillId="0" borderId="0" xfId="0" applyFont="1" applyAlignment="1">
      <alignment horizontal="left" vertical="center"/>
    </xf>
    <xf numFmtId="0" fontId="16" fillId="0" borderId="0" xfId="107" applyNumberFormat="1" applyFont="1" applyFill="1" applyBorder="1" applyAlignment="1" applyProtection="1">
      <alignment horizontal="center" wrapText="1"/>
      <protection hidden="1"/>
    </xf>
    <xf numFmtId="49" fontId="13" fillId="0" borderId="0" xfId="4" applyNumberFormat="1" applyFont="1" applyFill="1" applyBorder="1" applyAlignment="1" applyProtection="1">
      <alignment horizontal="center"/>
      <protection hidden="1"/>
    </xf>
    <xf numFmtId="165" fontId="13" fillId="0" borderId="0" xfId="4" applyNumberFormat="1" applyFont="1" applyFill="1" applyBorder="1" applyAlignment="1" applyProtection="1">
      <alignment horizontal="center"/>
      <protection hidden="1"/>
    </xf>
    <xf numFmtId="2" fontId="14" fillId="0" borderId="0" xfId="4" applyNumberFormat="1" applyFont="1" applyFill="1" applyBorder="1" applyAlignment="1" applyProtection="1">
      <alignment horizontal="center"/>
      <protection hidden="1"/>
    </xf>
    <xf numFmtId="165" fontId="13" fillId="0" borderId="0" xfId="4" applyNumberFormat="1" applyFont="1" applyFill="1" applyBorder="1" applyAlignment="1" applyProtection="1">
      <alignment horizontal="left"/>
      <protection hidden="1"/>
    </xf>
    <xf numFmtId="0" fontId="6" fillId="0" borderId="0" xfId="4" applyNumberFormat="1" applyFont="1" applyFill="1" applyBorder="1" applyAlignment="1" applyProtection="1">
      <protection locked="0"/>
    </xf>
    <xf numFmtId="4" fontId="3" fillId="0" borderId="0" xfId="0" applyNumberFormat="1" applyFont="1" applyFill="1" applyAlignment="1">
      <alignment horizontal="center" vertical="center"/>
    </xf>
    <xf numFmtId="4" fontId="3" fillId="0" borderId="0" xfId="0" applyNumberFormat="1" applyFont="1" applyFill="1" applyBorder="1" applyAlignment="1">
      <alignment vertical="center"/>
    </xf>
    <xf numFmtId="2" fontId="3" fillId="0" borderId="0" xfId="2" applyNumberFormat="1" applyFont="1" applyFill="1" applyBorder="1" applyAlignment="1" applyProtection="1">
      <alignment horizontal="center" vertical="center" wrapText="1"/>
      <protection hidden="1"/>
    </xf>
    <xf numFmtId="10" fontId="3" fillId="0" borderId="0" xfId="181" applyNumberFormat="1" applyFont="1" applyFill="1" applyBorder="1" applyAlignment="1" applyProtection="1">
      <alignment horizontal="center" vertical="center" wrapText="1"/>
      <protection hidden="1"/>
    </xf>
    <xf numFmtId="0" fontId="3" fillId="0" borderId="0" xfId="0" quotePrefix="1" applyFont="1" applyFill="1" applyBorder="1" applyAlignment="1">
      <alignment horizontal="center" vertical="center"/>
    </xf>
    <xf numFmtId="0" fontId="3" fillId="0" borderId="0" xfId="0" applyFont="1" applyFill="1" applyBorder="1" applyAlignment="1">
      <alignment horizontal="center" vertical="center"/>
    </xf>
    <xf numFmtId="0" fontId="52" fillId="0" borderId="0" xfId="0" quotePrefix="1" applyFont="1" applyFill="1" applyBorder="1" applyAlignment="1">
      <alignment vertical="center"/>
    </xf>
    <xf numFmtId="0" fontId="11" fillId="0" borderId="1" xfId="1" applyFont="1" applyFill="1" applyBorder="1" applyAlignment="1" applyProtection="1">
      <alignment horizontal="center" vertical="center" wrapText="1"/>
      <protection hidden="1"/>
    </xf>
    <xf numFmtId="0" fontId="9" fillId="0" borderId="0" xfId="4" applyFont="1" applyFill="1" applyBorder="1" applyAlignment="1" applyProtection="1">
      <alignment vertical="center" wrapText="1"/>
      <protection locked="0"/>
    </xf>
    <xf numFmtId="0" fontId="3" fillId="0" borderId="0" xfId="2" applyFont="1" applyFill="1" applyBorder="1" applyAlignment="1" applyProtection="1">
      <alignment horizontal="center" vertical="center"/>
      <protection hidden="1"/>
    </xf>
    <xf numFmtId="49" fontId="3" fillId="0" borderId="0" xfId="0" applyNumberFormat="1" applyFont="1" applyFill="1" applyAlignment="1">
      <alignment horizontal="center" vertical="center"/>
    </xf>
    <xf numFmtId="0" fontId="3" fillId="0" borderId="0" xfId="2" applyFont="1" applyFill="1" applyBorder="1" applyAlignment="1" applyProtection="1">
      <alignment horizontal="center" vertical="center"/>
      <protection hidden="1"/>
    </xf>
    <xf numFmtId="0" fontId="16" fillId="0" borderId="0" xfId="2" applyFont="1" applyAlignment="1" applyProtection="1">
      <alignment vertical="center"/>
      <protection locked="0"/>
    </xf>
    <xf numFmtId="0" fontId="16" fillId="0" borderId="0" xfId="2" applyFont="1" applyAlignment="1" applyProtection="1">
      <alignment horizontal="center" vertical="center"/>
      <protection locked="0"/>
    </xf>
    <xf numFmtId="49" fontId="5" fillId="0" borderId="0" xfId="138" applyNumberFormat="1" applyFont="1" applyFill="1" applyBorder="1" applyAlignment="1" applyProtection="1">
      <alignment horizontal="left" vertical="center"/>
      <protection locked="0"/>
    </xf>
    <xf numFmtId="49" fontId="5" fillId="0" borderId="0" xfId="138" applyNumberFormat="1" applyFont="1" applyFill="1" applyBorder="1" applyAlignment="1" applyProtection="1">
      <alignment horizontal="center" vertical="center"/>
      <protection locked="0"/>
    </xf>
    <xf numFmtId="49" fontId="5" fillId="0" borderId="0" xfId="138" applyNumberFormat="1" applyFont="1" applyFill="1" applyBorder="1" applyAlignment="1" applyProtection="1">
      <alignment horizontal="center" vertical="center" wrapText="1"/>
      <protection locked="0"/>
    </xf>
    <xf numFmtId="172" fontId="5" fillId="0" borderId="0" xfId="138" applyNumberFormat="1" applyFont="1" applyFill="1" applyBorder="1" applyAlignment="1" applyProtection="1">
      <alignment horizontal="center" vertical="center"/>
      <protection locked="0"/>
    </xf>
    <xf numFmtId="2" fontId="6" fillId="0" borderId="0" xfId="2" applyNumberFormat="1" applyFont="1" applyBorder="1" applyAlignment="1" applyProtection="1">
      <alignment horizontal="right" vertical="center"/>
      <protection locked="0"/>
    </xf>
    <xf numFmtId="165" fontId="3" fillId="0" borderId="0" xfId="2" applyNumberFormat="1" applyFont="1" applyFill="1" applyBorder="1" applyAlignment="1" applyProtection="1">
      <alignment horizontal="center" vertical="center"/>
      <protection locked="0"/>
    </xf>
    <xf numFmtId="165" fontId="14" fillId="0" borderId="0" xfId="2" applyNumberFormat="1" applyFont="1" applyAlignment="1" applyProtection="1">
      <alignment horizontal="right" vertical="center"/>
      <protection locked="0"/>
    </xf>
    <xf numFmtId="165" fontId="16" fillId="0" borderId="0" xfId="2" applyNumberFormat="1" applyFont="1" applyAlignment="1" applyProtection="1">
      <alignment vertical="center"/>
      <protection locked="0"/>
    </xf>
    <xf numFmtId="169" fontId="16" fillId="0" borderId="0" xfId="2" applyNumberFormat="1" applyFont="1" applyAlignment="1" applyProtection="1">
      <alignment vertical="center"/>
      <protection locked="0"/>
    </xf>
    <xf numFmtId="2" fontId="16" fillId="0" borderId="0" xfId="2" applyNumberFormat="1" applyFont="1" applyAlignment="1" applyProtection="1">
      <alignment vertical="center"/>
      <protection locked="0"/>
    </xf>
    <xf numFmtId="49" fontId="9" fillId="0" borderId="0" xfId="4" applyNumberFormat="1" applyFont="1" applyBorder="1" applyAlignment="1" applyProtection="1">
      <alignment horizontal="left" vertical="center"/>
      <protection locked="0"/>
    </xf>
    <xf numFmtId="0" fontId="9" fillId="0" borderId="0" xfId="4" applyFont="1" applyBorder="1" applyAlignment="1" applyProtection="1">
      <alignment horizontal="center" vertical="center"/>
      <protection locked="0"/>
    </xf>
    <xf numFmtId="0" fontId="9" fillId="0" borderId="0" xfId="4" applyFont="1" applyBorder="1" applyAlignment="1" applyProtection="1">
      <alignment horizontal="center" vertical="center" wrapText="1"/>
      <protection locked="0"/>
    </xf>
    <xf numFmtId="172" fontId="3" fillId="0" borderId="0" xfId="2" applyNumberFormat="1" applyFont="1" applyFill="1" applyBorder="1" applyAlignment="1" applyProtection="1">
      <alignment horizontal="center" vertical="center"/>
      <protection locked="0"/>
    </xf>
    <xf numFmtId="2" fontId="3" fillId="0" borderId="0" xfId="2" applyNumberFormat="1" applyFont="1" applyFill="1" applyBorder="1" applyAlignment="1" applyProtection="1">
      <alignment horizontal="right" vertical="center"/>
      <protection locked="0"/>
    </xf>
    <xf numFmtId="165" fontId="3" fillId="0" borderId="0" xfId="4" applyNumberFormat="1" applyFont="1" applyFill="1" applyBorder="1" applyAlignment="1" applyProtection="1">
      <alignment horizontal="center" vertical="center"/>
      <protection locked="0"/>
    </xf>
    <xf numFmtId="14" fontId="6" fillId="0" borderId="0" xfId="4" applyNumberFormat="1" applyFont="1" applyBorder="1" applyAlignment="1" applyProtection="1">
      <alignment horizontal="left" vertical="center"/>
      <protection locked="0"/>
    </xf>
    <xf numFmtId="165" fontId="6" fillId="0" borderId="0" xfId="4" applyNumberFormat="1" applyFont="1" applyBorder="1" applyAlignment="1" applyProtection="1">
      <alignment horizontal="center" vertical="center"/>
      <protection locked="0"/>
    </xf>
    <xf numFmtId="165" fontId="59" fillId="0" borderId="0" xfId="1" applyNumberFormat="1" applyFont="1" applyFill="1" applyBorder="1" applyAlignment="1" applyProtection="1">
      <alignment horizontal="center" vertical="center"/>
      <protection locked="0"/>
    </xf>
    <xf numFmtId="165" fontId="16" fillId="0" borderId="0" xfId="2" applyNumberFormat="1" applyFont="1" applyFill="1" applyBorder="1" applyAlignment="1" applyProtection="1">
      <alignment vertical="center"/>
      <protection locked="0"/>
    </xf>
    <xf numFmtId="4" fontId="12" fillId="0" borderId="0" xfId="4" applyNumberFormat="1" applyFont="1" applyFill="1" applyBorder="1" applyAlignment="1" applyProtection="1">
      <alignment vertical="center" wrapText="1"/>
      <protection locked="0"/>
    </xf>
    <xf numFmtId="0" fontId="13" fillId="0" borderId="0" xfId="4" applyFont="1" applyFill="1" applyBorder="1" applyAlignment="1" applyProtection="1">
      <alignment horizontal="left" vertical="center"/>
      <protection locked="0"/>
    </xf>
    <xf numFmtId="172" fontId="13" fillId="0" borderId="0" xfId="4" applyNumberFormat="1" applyFont="1" applyFill="1" applyBorder="1" applyAlignment="1" applyProtection="1">
      <alignment horizontal="center" vertical="center"/>
      <protection locked="0"/>
    </xf>
    <xf numFmtId="2" fontId="13" fillId="0" borderId="0" xfId="4" applyNumberFormat="1" applyFont="1" applyFill="1" applyBorder="1" applyAlignment="1" applyProtection="1">
      <alignment horizontal="right" vertical="center"/>
      <protection locked="0"/>
    </xf>
    <xf numFmtId="0" fontId="7" fillId="0" borderId="0" xfId="2" applyFont="1" applyFill="1" applyBorder="1" applyAlignment="1" applyProtection="1">
      <alignment vertical="center" wrapText="1"/>
      <protection locked="0"/>
    </xf>
    <xf numFmtId="0" fontId="7" fillId="0" borderId="0" xfId="2" applyFont="1" applyFill="1" applyBorder="1" applyAlignment="1" applyProtection="1">
      <alignment vertical="center"/>
      <protection locked="0"/>
    </xf>
    <xf numFmtId="172" fontId="7" fillId="0" borderId="0" xfId="2" applyNumberFormat="1" applyFont="1" applyFill="1" applyBorder="1" applyAlignment="1" applyProtection="1">
      <alignment horizontal="center" vertical="center"/>
      <protection locked="0"/>
    </xf>
    <xf numFmtId="2" fontId="7" fillId="0" borderId="0" xfId="2" applyNumberFormat="1" applyFont="1" applyFill="1" applyBorder="1" applyAlignment="1" applyProtection="1">
      <alignment horizontal="right" vertical="center"/>
      <protection locked="0"/>
    </xf>
    <xf numFmtId="0" fontId="16" fillId="0" borderId="0" xfId="2" applyFont="1" applyAlignment="1" applyProtection="1">
      <alignment vertical="center"/>
      <protection hidden="1"/>
    </xf>
    <xf numFmtId="0" fontId="16" fillId="0" borderId="0" xfId="2" applyFont="1" applyAlignment="1" applyProtection="1">
      <alignment horizontal="center" vertical="center"/>
      <protection hidden="1"/>
    </xf>
    <xf numFmtId="165" fontId="14" fillId="0" borderId="0" xfId="2" applyNumberFormat="1" applyFont="1" applyAlignment="1" applyProtection="1">
      <alignment horizontal="right" vertical="center"/>
      <protection hidden="1"/>
    </xf>
    <xf numFmtId="0" fontId="3" fillId="0" borderId="0" xfId="2" applyFont="1" applyAlignment="1" applyProtection="1">
      <alignment vertical="center"/>
      <protection hidden="1"/>
    </xf>
    <xf numFmtId="165" fontId="16" fillId="0" borderId="0" xfId="2" applyNumberFormat="1" applyFont="1" applyAlignment="1" applyProtection="1">
      <alignment vertical="center"/>
      <protection hidden="1"/>
    </xf>
    <xf numFmtId="169" fontId="16" fillId="0" borderId="0" xfId="2" applyNumberFormat="1" applyFont="1" applyAlignment="1" applyProtection="1">
      <alignment vertical="center"/>
      <protection hidden="1"/>
    </xf>
    <xf numFmtId="2" fontId="16" fillId="0" borderId="0" xfId="2" applyNumberFormat="1" applyFont="1" applyAlignment="1" applyProtection="1">
      <alignment vertical="center"/>
      <protection hidden="1"/>
    </xf>
    <xf numFmtId="0" fontId="58" fillId="25" borderId="0" xfId="2" applyFont="1" applyFill="1" applyAlignment="1" applyProtection="1">
      <alignment vertical="center"/>
      <protection hidden="1"/>
    </xf>
    <xf numFmtId="1" fontId="5" fillId="25" borderId="0" xfId="2" applyNumberFormat="1" applyFont="1" applyFill="1" applyBorder="1" applyAlignment="1" applyProtection="1">
      <alignment horizontal="center" vertical="center"/>
      <protection hidden="1"/>
    </xf>
    <xf numFmtId="0" fontId="9" fillId="25" borderId="0" xfId="2" applyFont="1" applyFill="1" applyBorder="1" applyAlignment="1" applyProtection="1">
      <alignment horizontal="center" vertical="center"/>
      <protection hidden="1"/>
    </xf>
    <xf numFmtId="49" fontId="9" fillId="25" borderId="0" xfId="2" applyNumberFormat="1" applyFont="1" applyFill="1" applyBorder="1" applyAlignment="1" applyProtection="1">
      <alignment horizontal="center" vertical="center"/>
      <protection hidden="1"/>
    </xf>
    <xf numFmtId="0" fontId="5" fillId="25" borderId="0" xfId="2" applyFont="1" applyFill="1" applyAlignment="1" applyProtection="1">
      <alignment horizontal="center" vertical="center"/>
      <protection hidden="1"/>
    </xf>
    <xf numFmtId="0" fontId="9" fillId="25" borderId="0" xfId="2" applyFont="1" applyFill="1" applyBorder="1" applyAlignment="1" applyProtection="1">
      <alignment horizontal="left" vertical="center" wrapText="1"/>
      <protection hidden="1"/>
    </xf>
    <xf numFmtId="172" fontId="9" fillId="25" borderId="0" xfId="2" applyNumberFormat="1" applyFont="1" applyFill="1" applyBorder="1" applyAlignment="1" applyProtection="1">
      <alignment horizontal="center" vertical="center"/>
      <protection hidden="1"/>
    </xf>
    <xf numFmtId="2" fontId="9" fillId="25" borderId="0" xfId="2" applyNumberFormat="1" applyFont="1" applyFill="1" applyBorder="1" applyAlignment="1" applyProtection="1">
      <alignment horizontal="center" vertical="center"/>
      <protection hidden="1"/>
    </xf>
    <xf numFmtId="165" fontId="5" fillId="25" borderId="0" xfId="2" applyNumberFormat="1" applyFont="1" applyFill="1" applyBorder="1" applyAlignment="1" applyProtection="1">
      <alignment horizontal="center" vertical="center" wrapText="1"/>
      <protection hidden="1"/>
    </xf>
    <xf numFmtId="165" fontId="9" fillId="25" borderId="0" xfId="2" applyNumberFormat="1" applyFont="1" applyFill="1" applyBorder="1" applyAlignment="1" applyProtection="1">
      <alignment horizontal="center" vertical="center" wrapText="1"/>
      <protection hidden="1"/>
    </xf>
    <xf numFmtId="49" fontId="5" fillId="25" borderId="0" xfId="2" applyNumberFormat="1" applyFont="1" applyFill="1" applyAlignment="1" applyProtection="1">
      <alignment horizontal="right" vertical="center"/>
      <protection hidden="1"/>
    </xf>
    <xf numFmtId="49" fontId="5" fillId="25" borderId="0" xfId="2" applyNumberFormat="1" applyFont="1" applyFill="1" applyAlignment="1" applyProtection="1">
      <alignment horizontal="center" vertical="center"/>
      <protection hidden="1"/>
    </xf>
    <xf numFmtId="0" fontId="53" fillId="25" borderId="0" xfId="2" applyFont="1" applyFill="1" applyAlignment="1" applyProtection="1">
      <alignment horizontal="center" vertical="center"/>
      <protection hidden="1"/>
    </xf>
    <xf numFmtId="165" fontId="58" fillId="25" borderId="0" xfId="2" applyNumberFormat="1" applyFont="1" applyFill="1" applyAlignment="1" applyProtection="1">
      <alignment horizontal="center" vertical="center"/>
      <protection hidden="1"/>
    </xf>
    <xf numFmtId="169" fontId="58" fillId="25" borderId="0" xfId="2" applyNumberFormat="1" applyFont="1" applyFill="1" applyAlignment="1" applyProtection="1">
      <alignment horizontal="center" vertical="center"/>
      <protection hidden="1"/>
    </xf>
    <xf numFmtId="2" fontId="58" fillId="25" borderId="0" xfId="2" applyNumberFormat="1" applyFont="1" applyFill="1" applyAlignment="1" applyProtection="1">
      <alignment horizontal="center" vertical="center"/>
      <protection hidden="1"/>
    </xf>
    <xf numFmtId="49" fontId="58" fillId="25" borderId="0" xfId="2" applyNumberFormat="1" applyFont="1" applyFill="1" applyAlignment="1" applyProtection="1">
      <alignment horizontal="center" vertical="center"/>
      <protection hidden="1"/>
    </xf>
    <xf numFmtId="1" fontId="41" fillId="25" borderId="0" xfId="4" applyNumberFormat="1" applyFont="1" applyFill="1" applyBorder="1" applyAlignment="1" applyProtection="1">
      <alignment horizontal="center" vertical="center"/>
      <protection locked="0"/>
    </xf>
    <xf numFmtId="1" fontId="14" fillId="25" borderId="0" xfId="4" applyNumberFormat="1" applyFont="1" applyFill="1" applyBorder="1" applyAlignment="1" applyProtection="1">
      <alignment horizontal="center" vertical="center"/>
      <protection hidden="1"/>
    </xf>
    <xf numFmtId="2" fontId="14" fillId="25" borderId="0" xfId="4" applyNumberFormat="1" applyFont="1" applyFill="1" applyBorder="1" applyAlignment="1" applyProtection="1">
      <alignment horizontal="left" vertical="center" wrapText="1"/>
      <protection hidden="1"/>
    </xf>
    <xf numFmtId="0" fontId="14" fillId="25" borderId="0" xfId="4" applyFont="1" applyFill="1" applyBorder="1" applyAlignment="1" applyProtection="1">
      <alignment horizontal="center" vertical="center" wrapText="1"/>
      <protection hidden="1"/>
    </xf>
    <xf numFmtId="0" fontId="14" fillId="25" borderId="0" xfId="4" applyNumberFormat="1" applyFont="1" applyFill="1" applyBorder="1" applyAlignment="1" applyProtection="1">
      <alignment horizontal="center" vertical="center" wrapText="1"/>
      <protection hidden="1"/>
    </xf>
    <xf numFmtId="0" fontId="14" fillId="25" borderId="0" xfId="4" applyFont="1" applyFill="1" applyBorder="1" applyAlignment="1" applyProtection="1">
      <alignment horizontal="left" vertical="center" wrapText="1"/>
      <protection hidden="1"/>
    </xf>
    <xf numFmtId="169" fontId="14" fillId="25" borderId="0" xfId="4" applyNumberFormat="1" applyFont="1" applyFill="1" applyBorder="1" applyAlignment="1" applyProtection="1">
      <alignment horizontal="center" vertical="center" wrapText="1"/>
      <protection hidden="1"/>
    </xf>
    <xf numFmtId="2" fontId="14" fillId="25" borderId="0" xfId="4" applyNumberFormat="1" applyFont="1" applyFill="1" applyBorder="1" applyAlignment="1" applyProtection="1">
      <alignment horizontal="center" vertical="center" wrapText="1"/>
      <protection hidden="1"/>
    </xf>
    <xf numFmtId="166" fontId="14" fillId="25" borderId="0" xfId="4" applyNumberFormat="1" applyFont="1" applyFill="1" applyBorder="1" applyAlignment="1" applyProtection="1">
      <alignment horizontal="center" vertical="center"/>
      <protection hidden="1"/>
    </xf>
    <xf numFmtId="165" fontId="14" fillId="25" borderId="0" xfId="4" applyNumberFormat="1" applyFont="1" applyFill="1" applyBorder="1" applyAlignment="1" applyProtection="1">
      <alignment horizontal="right" vertical="center"/>
      <protection hidden="1"/>
    </xf>
    <xf numFmtId="165" fontId="16" fillId="0" borderId="0" xfId="182" applyNumberFormat="1" applyFont="1" applyFill="1" applyBorder="1" applyAlignment="1" applyProtection="1">
      <alignment vertical="center"/>
      <protection hidden="1"/>
    </xf>
    <xf numFmtId="0" fontId="16" fillId="0" borderId="0" xfId="182" applyFont="1" applyFill="1" applyBorder="1" applyAlignment="1" applyProtection="1">
      <alignment vertical="center"/>
      <protection hidden="1"/>
    </xf>
    <xf numFmtId="169" fontId="16" fillId="0" borderId="0" xfId="182" applyNumberFormat="1" applyFont="1" applyFill="1" applyBorder="1" applyAlignment="1" applyProtection="1">
      <alignment vertical="center"/>
      <protection hidden="1"/>
    </xf>
    <xf numFmtId="2" fontId="16" fillId="0" borderId="0" xfId="182" applyNumberFormat="1" applyFont="1" applyFill="1" applyBorder="1" applyAlignment="1" applyProtection="1">
      <alignment vertical="center"/>
      <protection hidden="1"/>
    </xf>
    <xf numFmtId="2" fontId="3" fillId="0" borderId="0" xfId="4" applyNumberFormat="1" applyFont="1" applyFill="1" applyBorder="1" applyAlignment="1" applyProtection="1">
      <alignment vertical="center"/>
      <protection hidden="1"/>
    </xf>
    <xf numFmtId="0" fontId="3" fillId="0" borderId="0" xfId="4" applyFont="1" applyFill="1" applyBorder="1" applyAlignment="1" applyProtection="1">
      <alignment horizontal="center" vertical="center"/>
      <protection hidden="1"/>
    </xf>
    <xf numFmtId="49" fontId="3" fillId="0" borderId="0" xfId="182" applyNumberFormat="1" applyFont="1" applyFill="1" applyBorder="1" applyAlignment="1" applyProtection="1">
      <alignment horizontal="center" vertical="center" wrapText="1"/>
      <protection hidden="1"/>
    </xf>
    <xf numFmtId="0" fontId="3" fillId="0" borderId="0" xfId="182" applyFont="1" applyFill="1" applyBorder="1" applyAlignment="1" applyProtection="1">
      <alignment horizontal="center" vertical="center" wrapText="1"/>
      <protection hidden="1"/>
    </xf>
    <xf numFmtId="0" fontId="3" fillId="0" borderId="0" xfId="182" applyFont="1" applyFill="1" applyBorder="1" applyAlignment="1" applyProtection="1">
      <alignment horizontal="left" vertical="center" wrapText="1"/>
      <protection hidden="1"/>
    </xf>
    <xf numFmtId="0" fontId="3" fillId="0" borderId="0" xfId="182" applyNumberFormat="1" applyFont="1" applyFill="1" applyBorder="1" applyAlignment="1" applyProtection="1">
      <alignment horizontal="center" vertical="center" wrapText="1"/>
      <protection hidden="1"/>
    </xf>
    <xf numFmtId="172" fontId="3" fillId="0" borderId="0" xfId="182" applyNumberFormat="1" applyFont="1" applyFill="1" applyBorder="1" applyAlignment="1" applyProtection="1">
      <alignment horizontal="center" vertical="center" wrapText="1"/>
      <protection hidden="1"/>
    </xf>
    <xf numFmtId="2" fontId="3" fillId="0" borderId="0" xfId="4" applyNumberFormat="1" applyFont="1" applyFill="1" applyBorder="1" applyAlignment="1" applyProtection="1">
      <alignment horizontal="center" vertical="center"/>
      <protection hidden="1"/>
    </xf>
    <xf numFmtId="165" fontId="3" fillId="0" borderId="0" xfId="4" applyNumberFormat="1" applyFont="1" applyFill="1" applyBorder="1" applyAlignment="1" applyProtection="1">
      <alignment horizontal="center" vertical="center" wrapText="1"/>
      <protection hidden="1"/>
    </xf>
    <xf numFmtId="165" fontId="3" fillId="0" borderId="0" xfId="0" applyNumberFormat="1" applyFont="1" applyFill="1" applyBorder="1" applyAlignment="1" applyProtection="1">
      <alignment horizontal="right" vertical="center"/>
      <protection hidden="1"/>
    </xf>
    <xf numFmtId="0" fontId="16" fillId="0" borderId="0" xfId="4" applyFont="1" applyBorder="1" applyAlignment="1" applyProtection="1">
      <alignment horizontal="center" vertical="center"/>
      <protection hidden="1"/>
    </xf>
    <xf numFmtId="0" fontId="3" fillId="25" borderId="0" xfId="4" applyFont="1" applyFill="1" applyBorder="1" applyAlignment="1" applyProtection="1">
      <alignment vertical="center"/>
      <protection hidden="1"/>
    </xf>
    <xf numFmtId="49" fontId="60" fillId="0" borderId="0" xfId="4" applyNumberFormat="1" applyFont="1" applyFill="1" applyBorder="1" applyAlignment="1" applyProtection="1">
      <alignment wrapText="1"/>
      <protection hidden="1"/>
    </xf>
    <xf numFmtId="0" fontId="3" fillId="0" borderId="0" xfId="4" applyFont="1" applyFill="1" applyBorder="1" applyAlignment="1" applyProtection="1">
      <alignment horizontal="left" vertical="center" wrapText="1"/>
      <protection hidden="1"/>
    </xf>
    <xf numFmtId="0" fontId="3" fillId="0" borderId="0" xfId="4" applyFont="1" applyFill="1" applyBorder="1" applyAlignment="1" applyProtection="1">
      <alignment horizontal="center" vertical="center" wrapText="1"/>
      <protection hidden="1"/>
    </xf>
    <xf numFmtId="169" fontId="3" fillId="0" borderId="0" xfId="4" applyNumberFormat="1" applyFont="1" applyFill="1" applyBorder="1" applyAlignment="1" applyProtection="1">
      <alignment horizontal="center" vertical="center"/>
      <protection hidden="1"/>
    </xf>
    <xf numFmtId="165" fontId="14" fillId="0" borderId="0" xfId="4" applyNumberFormat="1" applyFont="1" applyFill="1" applyBorder="1" applyAlignment="1" applyProtection="1">
      <alignment horizontal="center" vertical="center"/>
      <protection hidden="1"/>
    </xf>
    <xf numFmtId="165" fontId="14" fillId="0" borderId="0" xfId="4" applyNumberFormat="1" applyFont="1" applyFill="1" applyBorder="1" applyAlignment="1" applyProtection="1">
      <alignment horizontal="right" vertical="center"/>
      <protection hidden="1"/>
    </xf>
    <xf numFmtId="165" fontId="3" fillId="0" borderId="0" xfId="4" applyNumberFormat="1" applyFont="1" applyFill="1" applyBorder="1" applyAlignment="1" applyProtection="1">
      <alignment horizontal="right" vertical="center"/>
      <protection hidden="1"/>
    </xf>
    <xf numFmtId="49" fontId="60" fillId="0" borderId="0" xfId="4" applyNumberFormat="1" applyFont="1" applyBorder="1" applyAlignment="1" applyProtection="1">
      <alignment wrapText="1"/>
      <protection hidden="1"/>
    </xf>
    <xf numFmtId="173" fontId="14" fillId="0" borderId="0" xfId="178" applyNumberFormat="1" applyFont="1" applyFill="1" applyBorder="1" applyAlignment="1" applyProtection="1">
      <alignment horizontal="center" vertical="center"/>
      <protection hidden="1"/>
    </xf>
    <xf numFmtId="165" fontId="14" fillId="0" borderId="0" xfId="4" applyNumberFormat="1" applyFont="1" applyBorder="1" applyAlignment="1" applyProtection="1">
      <alignment horizontal="right" vertical="center"/>
      <protection hidden="1"/>
    </xf>
    <xf numFmtId="0" fontId="16" fillId="0" borderId="0" xfId="2" applyFont="1" applyFill="1" applyBorder="1" applyAlignment="1" applyProtection="1">
      <alignment horizontal="center" vertical="center"/>
      <protection hidden="1"/>
    </xf>
    <xf numFmtId="0" fontId="16" fillId="0" borderId="0" xfId="4" applyFont="1" applyFill="1" applyBorder="1" applyAlignment="1" applyProtection="1">
      <alignment horizontal="center" vertical="center"/>
      <protection hidden="1"/>
    </xf>
    <xf numFmtId="173" fontId="3" fillId="0" borderId="0" xfId="178" applyNumberFormat="1" applyFont="1" applyFill="1" applyBorder="1" applyAlignment="1" applyProtection="1">
      <alignment horizontal="center" vertical="center"/>
      <protection hidden="1"/>
    </xf>
    <xf numFmtId="165" fontId="3" fillId="0" borderId="0" xfId="4" applyNumberFormat="1" applyFont="1" applyFill="1" applyBorder="1" applyAlignment="1" applyProtection="1">
      <alignment horizontal="center" vertical="center"/>
      <protection hidden="1"/>
    </xf>
    <xf numFmtId="0" fontId="3" fillId="0" borderId="0" xfId="182" applyFont="1" applyFill="1" applyBorder="1" applyAlignment="1" applyProtection="1">
      <alignment horizontal="center" vertical="center"/>
      <protection hidden="1"/>
    </xf>
    <xf numFmtId="2" fontId="3" fillId="0" borderId="0" xfId="182" applyNumberFormat="1" applyFont="1" applyFill="1" applyBorder="1" applyAlignment="1" applyProtection="1">
      <alignment horizontal="center" vertical="center"/>
      <protection hidden="1"/>
    </xf>
    <xf numFmtId="165" fontId="3" fillId="0" borderId="0" xfId="182" applyNumberFormat="1" applyFont="1" applyFill="1" applyBorder="1" applyAlignment="1" applyProtection="1">
      <alignment horizontal="right" vertical="center"/>
      <protection hidden="1"/>
    </xf>
    <xf numFmtId="166" fontId="3" fillId="0" borderId="0" xfId="182" applyNumberFormat="1" applyFont="1" applyFill="1" applyBorder="1" applyAlignment="1" applyProtection="1">
      <alignment horizontal="center" vertical="center"/>
      <protection hidden="1"/>
    </xf>
    <xf numFmtId="165" fontId="3" fillId="0" borderId="0" xfId="182" applyNumberFormat="1" applyFont="1" applyFill="1" applyBorder="1" applyAlignment="1" applyProtection="1">
      <alignment vertical="center"/>
      <protection hidden="1"/>
    </xf>
    <xf numFmtId="0" fontId="3" fillId="0" borderId="0" xfId="182" applyFont="1" applyFill="1" applyBorder="1" applyAlignment="1" applyProtection="1">
      <alignment vertical="center"/>
      <protection hidden="1"/>
    </xf>
    <xf numFmtId="1" fontId="3" fillId="0" borderId="0" xfId="182" applyNumberFormat="1" applyFont="1" applyFill="1" applyBorder="1" applyAlignment="1" applyProtection="1">
      <alignment horizontal="center" vertical="center"/>
      <protection hidden="1"/>
    </xf>
    <xf numFmtId="49" fontId="3" fillId="0" borderId="0" xfId="182" applyNumberFormat="1" applyFont="1" applyFill="1" applyBorder="1" applyAlignment="1" applyProtection="1">
      <alignment horizontal="center" vertical="center"/>
      <protection hidden="1"/>
    </xf>
    <xf numFmtId="165" fontId="14" fillId="0" borderId="0" xfId="182" applyNumberFormat="1" applyFont="1" applyFill="1" applyBorder="1" applyAlignment="1" applyProtection="1">
      <alignment horizontal="right" vertical="center"/>
      <protection hidden="1"/>
    </xf>
    <xf numFmtId="169" fontId="3" fillId="0" borderId="0" xfId="182" applyNumberFormat="1" applyFont="1" applyFill="1" applyBorder="1" applyAlignment="1" applyProtection="1">
      <alignment vertical="center"/>
      <protection hidden="1"/>
    </xf>
    <xf numFmtId="2" fontId="3" fillId="0" borderId="0" xfId="182" applyNumberFormat="1" applyFont="1" applyFill="1" applyBorder="1" applyAlignment="1" applyProtection="1">
      <alignment vertical="center"/>
      <protection hidden="1"/>
    </xf>
    <xf numFmtId="172" fontId="3" fillId="0" borderId="0" xfId="182" applyNumberFormat="1" applyFont="1" applyFill="1" applyBorder="1" applyAlignment="1" applyProtection="1">
      <alignment horizontal="center" vertical="center"/>
      <protection hidden="1"/>
    </xf>
    <xf numFmtId="165" fontId="3" fillId="0" borderId="0" xfId="182" applyNumberFormat="1" applyFont="1" applyFill="1" applyBorder="1" applyAlignment="1" applyProtection="1">
      <alignment horizontal="center" vertical="center"/>
      <protection hidden="1"/>
    </xf>
    <xf numFmtId="0" fontId="3" fillId="0" borderId="0" xfId="2" applyFont="1" applyFill="1" applyBorder="1" applyAlignment="1" applyProtection="1">
      <alignment vertical="center"/>
      <protection hidden="1"/>
    </xf>
    <xf numFmtId="172" fontId="3" fillId="0" borderId="0" xfId="2" applyNumberFormat="1" applyFont="1" applyFill="1" applyBorder="1" applyAlignment="1" applyProtection="1">
      <alignment horizontal="center" vertical="center" wrapText="1"/>
      <protection hidden="1"/>
    </xf>
    <xf numFmtId="2" fontId="3" fillId="0" borderId="0" xfId="2" applyNumberFormat="1" applyFont="1" applyFill="1" applyBorder="1" applyAlignment="1" applyProtection="1">
      <alignment horizontal="center" vertical="center"/>
      <protection hidden="1"/>
    </xf>
    <xf numFmtId="169" fontId="3" fillId="0" borderId="0" xfId="2" applyNumberFormat="1" applyFont="1" applyFill="1" applyBorder="1" applyAlignment="1" applyProtection="1">
      <alignment vertical="center"/>
      <protection hidden="1"/>
    </xf>
    <xf numFmtId="2" fontId="3" fillId="0" borderId="0" xfId="2" applyNumberFormat="1" applyFont="1" applyFill="1" applyBorder="1" applyAlignment="1" applyProtection="1">
      <alignment vertical="center"/>
      <protection hidden="1"/>
    </xf>
    <xf numFmtId="165" fontId="13" fillId="0" borderId="0" xfId="2" applyNumberFormat="1" applyFont="1" applyFill="1" applyBorder="1" applyAlignment="1" applyProtection="1">
      <alignment horizontal="right" vertical="center"/>
      <protection hidden="1"/>
    </xf>
    <xf numFmtId="165" fontId="3" fillId="0" borderId="0" xfId="6" applyNumberFormat="1" applyFont="1" applyFill="1" applyBorder="1" applyAlignment="1" applyProtection="1">
      <alignment horizontal="center" vertical="center"/>
      <protection hidden="1"/>
    </xf>
    <xf numFmtId="0" fontId="16" fillId="0" borderId="0" xfId="2" applyFont="1" applyFill="1" applyBorder="1" applyAlignment="1" applyProtection="1">
      <alignment vertical="center"/>
      <protection hidden="1"/>
    </xf>
    <xf numFmtId="0" fontId="37" fillId="0" borderId="0" xfId="2" applyFont="1" applyFill="1" applyBorder="1" applyAlignment="1" applyProtection="1">
      <alignment horizontal="center" vertical="center" wrapText="1"/>
      <protection hidden="1"/>
    </xf>
    <xf numFmtId="172" fontId="37" fillId="0" borderId="0" xfId="2" applyNumberFormat="1" applyFont="1" applyFill="1" applyBorder="1" applyAlignment="1" applyProtection="1">
      <alignment horizontal="center" vertical="center" wrapText="1"/>
      <protection hidden="1"/>
    </xf>
    <xf numFmtId="165" fontId="7" fillId="0" borderId="0" xfId="2" applyNumberFormat="1" applyFont="1" applyFill="1" applyBorder="1" applyAlignment="1" applyProtection="1">
      <alignment horizontal="center" vertical="center"/>
      <protection hidden="1"/>
    </xf>
    <xf numFmtId="165" fontId="16" fillId="0" borderId="0" xfId="2" applyNumberFormat="1" applyFont="1" applyFill="1" applyBorder="1" applyAlignment="1" applyProtection="1">
      <alignment vertical="center"/>
      <protection hidden="1"/>
    </xf>
    <xf numFmtId="169" fontId="16" fillId="0" borderId="0" xfId="2" applyNumberFormat="1" applyFont="1" applyFill="1" applyBorder="1" applyAlignment="1" applyProtection="1">
      <alignment vertical="center"/>
      <protection hidden="1"/>
    </xf>
    <xf numFmtId="2" fontId="16" fillId="0" borderId="0" xfId="2" applyNumberFormat="1" applyFont="1" applyFill="1" applyBorder="1" applyAlignment="1" applyProtection="1">
      <alignment vertical="center"/>
      <protection hidden="1"/>
    </xf>
    <xf numFmtId="0" fontId="16" fillId="0" borderId="0" xfId="2" applyFont="1" applyFill="1" applyBorder="1" applyAlignment="1" applyProtection="1">
      <alignment horizontal="center" vertical="center" wrapText="1"/>
      <protection hidden="1"/>
    </xf>
    <xf numFmtId="166" fontId="3" fillId="0" borderId="0" xfId="2" applyNumberFormat="1" applyFont="1" applyFill="1" applyBorder="1" applyAlignment="1" applyProtection="1">
      <alignment horizontal="center" vertical="center"/>
      <protection hidden="1"/>
    </xf>
    <xf numFmtId="2" fontId="3" fillId="0" borderId="0" xfId="2" applyNumberFormat="1" applyFont="1" applyFill="1" applyBorder="1" applyAlignment="1" applyProtection="1">
      <alignment horizontal="right" vertical="center"/>
      <protection hidden="1"/>
    </xf>
    <xf numFmtId="165" fontId="37" fillId="0" borderId="0" xfId="2" applyNumberFormat="1" applyFont="1" applyFill="1" applyBorder="1" applyAlignment="1" applyProtection="1">
      <alignment horizontal="center" vertical="center" wrapText="1"/>
      <protection hidden="1"/>
    </xf>
    <xf numFmtId="0" fontId="37" fillId="0" borderId="0" xfId="2" applyFont="1" applyFill="1" applyBorder="1" applyAlignment="1" applyProtection="1">
      <alignment horizontal="left" vertical="center" wrapText="1"/>
      <protection hidden="1"/>
    </xf>
    <xf numFmtId="49" fontId="10" fillId="0" borderId="0" xfId="182" applyNumberFormat="1" applyFont="1" applyFill="1" applyBorder="1" applyAlignment="1">
      <alignment horizontal="center" vertical="center"/>
    </xf>
    <xf numFmtId="0" fontId="16" fillId="0" borderId="0" xfId="2" applyFont="1" applyFill="1" applyBorder="1" applyAlignment="1" applyProtection="1">
      <alignment horizontal="left" vertical="center" wrapText="1"/>
      <protection hidden="1"/>
    </xf>
    <xf numFmtId="49" fontId="37" fillId="0" borderId="0" xfId="2" applyNumberFormat="1" applyFont="1" applyFill="1" applyBorder="1" applyAlignment="1" applyProtection="1">
      <alignment horizontal="center" vertical="center" wrapText="1"/>
      <protection hidden="1"/>
    </xf>
    <xf numFmtId="0" fontId="7" fillId="0" borderId="0" xfId="2" applyFont="1" applyFill="1" applyBorder="1" applyAlignment="1" applyProtection="1">
      <alignment horizontal="center" vertical="center"/>
      <protection hidden="1"/>
    </xf>
    <xf numFmtId="49" fontId="39" fillId="0" borderId="0" xfId="2" applyNumberFormat="1" applyFont="1" applyFill="1" applyBorder="1" applyAlignment="1" applyProtection="1">
      <alignment horizontal="center" vertical="center" wrapText="1"/>
      <protection hidden="1"/>
    </xf>
    <xf numFmtId="49" fontId="16" fillId="0" borderId="0" xfId="2" applyNumberFormat="1" applyFont="1" applyFill="1" applyBorder="1" applyAlignment="1" applyProtection="1">
      <alignment horizontal="center" vertical="center"/>
      <protection hidden="1"/>
    </xf>
    <xf numFmtId="0" fontId="3" fillId="0" borderId="0" xfId="2" applyFont="1" applyFill="1" applyAlignment="1" applyProtection="1">
      <alignment vertical="center"/>
      <protection hidden="1"/>
    </xf>
    <xf numFmtId="49" fontId="37" fillId="0" borderId="0" xfId="2" applyNumberFormat="1" applyFont="1" applyFill="1" applyAlignment="1" applyProtection="1">
      <alignment horizontal="center" vertical="center" wrapText="1"/>
      <protection hidden="1"/>
    </xf>
    <xf numFmtId="0" fontId="3" fillId="0" borderId="0" xfId="2" applyFont="1" applyFill="1" applyAlignment="1" applyProtection="1">
      <alignment horizontal="center" vertical="center"/>
      <protection hidden="1"/>
    </xf>
    <xf numFmtId="0" fontId="16" fillId="0" borderId="0" xfId="2" applyFont="1" applyFill="1" applyAlignment="1" applyProtection="1">
      <alignment horizontal="left" vertical="center" wrapText="1"/>
      <protection hidden="1"/>
    </xf>
    <xf numFmtId="0" fontId="16" fillId="0" borderId="0" xfId="2" applyFont="1" applyFill="1" applyAlignment="1" applyProtection="1">
      <alignment horizontal="center" vertical="center" wrapText="1"/>
      <protection hidden="1"/>
    </xf>
    <xf numFmtId="2" fontId="3" fillId="0" borderId="0" xfId="2" applyNumberFormat="1" applyFont="1" applyFill="1" applyAlignment="1" applyProtection="1">
      <alignment horizontal="right" vertical="center"/>
      <protection hidden="1"/>
    </xf>
    <xf numFmtId="165" fontId="3" fillId="0" borderId="0" xfId="2" applyNumberFormat="1" applyFont="1" applyFill="1" applyAlignment="1" applyProtection="1">
      <alignment horizontal="right" vertical="center"/>
      <protection hidden="1"/>
    </xf>
    <xf numFmtId="0" fontId="16" fillId="0" borderId="0" xfId="2" applyFont="1" applyFill="1" applyAlignment="1" applyProtection="1">
      <alignment horizontal="center" vertical="center"/>
      <protection hidden="1"/>
    </xf>
    <xf numFmtId="165" fontId="16" fillId="0" borderId="0" xfId="2" applyNumberFormat="1" applyFont="1" applyFill="1" applyAlignment="1" applyProtection="1">
      <alignment vertical="center"/>
      <protection hidden="1"/>
    </xf>
    <xf numFmtId="169" fontId="16" fillId="0" borderId="0" xfId="2" applyNumberFormat="1" applyFont="1" applyFill="1" applyAlignment="1" applyProtection="1">
      <alignment vertical="center"/>
      <protection hidden="1"/>
    </xf>
    <xf numFmtId="2" fontId="16" fillId="0" borderId="0" xfId="2" applyNumberFormat="1" applyFont="1" applyFill="1" applyAlignment="1" applyProtection="1">
      <alignment vertical="center"/>
      <protection hidden="1"/>
    </xf>
    <xf numFmtId="0" fontId="16" fillId="0" borderId="0" xfId="2" applyFont="1" applyFill="1" applyAlignment="1" applyProtection="1">
      <alignment vertical="center"/>
      <protection hidden="1"/>
    </xf>
    <xf numFmtId="165" fontId="14" fillId="25" borderId="0" xfId="2" applyNumberFormat="1" applyFont="1" applyFill="1" applyAlignment="1" applyProtection="1">
      <alignment horizontal="right" vertical="center"/>
      <protection hidden="1"/>
    </xf>
    <xf numFmtId="165" fontId="3" fillId="0" borderId="0" xfId="2" applyNumberFormat="1" applyFont="1" applyFill="1" applyAlignment="1" applyProtection="1">
      <alignment horizontal="center" vertical="center" wrapText="1"/>
      <protection hidden="1"/>
    </xf>
    <xf numFmtId="49" fontId="39" fillId="0" borderId="0" xfId="2" applyNumberFormat="1" applyFont="1" applyFill="1" applyAlignment="1" applyProtection="1">
      <alignment horizontal="center" vertical="center" wrapText="1"/>
      <protection hidden="1"/>
    </xf>
    <xf numFmtId="49" fontId="16" fillId="0" borderId="0" xfId="2" applyNumberFormat="1" applyFont="1" applyFill="1" applyAlignment="1" applyProtection="1">
      <alignment horizontal="center" vertical="center"/>
      <protection hidden="1"/>
    </xf>
    <xf numFmtId="49" fontId="16" fillId="0" borderId="0" xfId="2" applyNumberFormat="1" applyFont="1" applyFill="1" applyAlignment="1" applyProtection="1">
      <alignment horizontal="center" vertical="center" wrapText="1"/>
      <protection hidden="1"/>
    </xf>
    <xf numFmtId="165" fontId="16" fillId="0" borderId="0" xfId="2" applyNumberFormat="1" applyFont="1" applyFill="1" applyBorder="1" applyAlignment="1" applyProtection="1">
      <alignment horizontal="center" vertical="center"/>
      <protection hidden="1"/>
    </xf>
    <xf numFmtId="49" fontId="37" fillId="0" borderId="0" xfId="2" applyNumberFormat="1" applyFont="1" applyFill="1" applyAlignment="1" applyProtection="1">
      <alignment horizontal="center" vertical="center"/>
      <protection hidden="1"/>
    </xf>
    <xf numFmtId="0" fontId="7" fillId="0" borderId="0" xfId="2" applyFont="1" applyFill="1" applyAlignment="1" applyProtection="1">
      <alignment horizontal="center" vertical="center"/>
      <protection hidden="1"/>
    </xf>
    <xf numFmtId="0" fontId="3" fillId="0" borderId="0" xfId="2" applyFont="1" applyAlignment="1" applyProtection="1">
      <alignment horizontal="center" vertical="center"/>
      <protection hidden="1"/>
    </xf>
    <xf numFmtId="172" fontId="16" fillId="0" borderId="0" xfId="2" applyNumberFormat="1" applyFont="1" applyFill="1" applyBorder="1" applyAlignment="1" applyProtection="1">
      <alignment horizontal="center" vertical="center"/>
      <protection hidden="1"/>
    </xf>
    <xf numFmtId="166" fontId="3" fillId="0" borderId="0" xfId="2" applyNumberFormat="1" applyFont="1" applyAlignment="1" applyProtection="1">
      <alignment horizontal="center" vertical="center"/>
      <protection hidden="1"/>
    </xf>
    <xf numFmtId="0" fontId="14" fillId="0" borderId="0" xfId="2" applyFont="1" applyAlignment="1" applyProtection="1">
      <alignment vertical="center"/>
      <protection hidden="1"/>
    </xf>
    <xf numFmtId="0" fontId="41" fillId="0" borderId="0" xfId="2" applyFont="1" applyAlignment="1" applyProtection="1">
      <alignment horizontal="center" vertical="center"/>
      <protection hidden="1"/>
    </xf>
    <xf numFmtId="49" fontId="16" fillId="0" borderId="0" xfId="2" applyNumberFormat="1" applyFont="1" applyAlignment="1" applyProtection="1">
      <alignment horizontal="center" vertical="center"/>
      <protection hidden="1"/>
    </xf>
    <xf numFmtId="0" fontId="7" fillId="0" borderId="0" xfId="2" applyFont="1" applyAlignment="1" applyProtection="1">
      <alignment horizontal="center" vertical="center"/>
      <protection hidden="1"/>
    </xf>
    <xf numFmtId="0" fontId="16" fillId="0" borderId="0" xfId="2" applyFont="1" applyAlignment="1" applyProtection="1">
      <alignment horizontal="left" vertical="center" wrapText="1"/>
      <protection hidden="1"/>
    </xf>
    <xf numFmtId="172" fontId="16" fillId="0" borderId="0" xfId="2" applyNumberFormat="1" applyFont="1" applyAlignment="1" applyProtection="1">
      <alignment horizontal="center" vertical="center"/>
      <protection hidden="1"/>
    </xf>
    <xf numFmtId="2" fontId="14" fillId="0" borderId="0" xfId="2" applyNumberFormat="1" applyFont="1" applyAlignment="1" applyProtection="1">
      <alignment horizontal="right" vertical="center"/>
      <protection hidden="1"/>
    </xf>
    <xf numFmtId="165" fontId="3" fillId="0" borderId="0" xfId="2" applyNumberFormat="1" applyFont="1" applyAlignment="1" applyProtection="1">
      <alignment horizontal="center" vertical="center"/>
      <protection hidden="1"/>
    </xf>
    <xf numFmtId="0" fontId="3" fillId="0" borderId="0" xfId="2" applyFont="1" applyFill="1" applyBorder="1" applyAlignment="1" applyProtection="1">
      <alignment horizontal="center" vertical="center"/>
      <protection locked="0"/>
    </xf>
    <xf numFmtId="0" fontId="9" fillId="0" borderId="0" xfId="4" applyFont="1" applyFill="1" applyBorder="1" applyAlignment="1" applyProtection="1">
      <alignment horizontal="left" vertical="center" wrapText="1"/>
      <protection locked="0"/>
    </xf>
    <xf numFmtId="0" fontId="9" fillId="0" borderId="0" xfId="4" applyFont="1" applyFill="1" applyBorder="1" applyAlignment="1" applyProtection="1">
      <alignment horizontal="left" vertical="center"/>
      <protection locked="0"/>
    </xf>
    <xf numFmtId="165" fontId="14" fillId="0" borderId="0" xfId="2" applyNumberFormat="1" applyFont="1" applyFill="1" applyAlignment="1" applyProtection="1">
      <alignment horizontal="center" vertical="center"/>
      <protection locked="0"/>
    </xf>
    <xf numFmtId="0" fontId="3" fillId="0" borderId="0" xfId="2" applyFont="1" applyAlignment="1" applyProtection="1">
      <alignment horizontal="center" vertical="center"/>
      <protection locked="0"/>
    </xf>
    <xf numFmtId="165" fontId="14" fillId="0" borderId="0" xfId="2" applyNumberFormat="1" applyFont="1" applyFill="1" applyAlignment="1" applyProtection="1">
      <alignment horizontal="center" vertical="center"/>
      <protection hidden="1"/>
    </xf>
    <xf numFmtId="165" fontId="3" fillId="25" borderId="0" xfId="2" applyNumberFormat="1" applyFont="1" applyFill="1" applyAlignment="1" applyProtection="1">
      <alignment horizontal="center" vertical="center"/>
      <protection hidden="1"/>
    </xf>
    <xf numFmtId="165" fontId="7" fillId="25" borderId="0" xfId="2" applyNumberFormat="1" applyFont="1" applyFill="1" applyAlignment="1" applyProtection="1">
      <alignment horizontal="center" vertical="center"/>
      <protection hidden="1"/>
    </xf>
    <xf numFmtId="165" fontId="7" fillId="0" borderId="0" xfId="4" applyNumberFormat="1" applyFont="1" applyFill="1" applyBorder="1" applyAlignment="1" applyProtection="1">
      <alignment horizontal="center" vertical="center"/>
      <protection hidden="1"/>
    </xf>
    <xf numFmtId="0" fontId="7" fillId="0" borderId="0" xfId="4" applyFont="1" applyBorder="1" applyAlignment="1" applyProtection="1">
      <alignment horizontal="center" vertical="center"/>
      <protection hidden="1"/>
    </xf>
    <xf numFmtId="165" fontId="3" fillId="0" borderId="0" xfId="4" applyNumberFormat="1" applyFont="1" applyBorder="1" applyAlignment="1" applyProtection="1">
      <alignment horizontal="center" vertical="center"/>
      <protection hidden="1"/>
    </xf>
    <xf numFmtId="0" fontId="7" fillId="0" borderId="0" xfId="4" applyFont="1" applyFill="1" applyBorder="1" applyAlignment="1" applyProtection="1">
      <alignment horizontal="center" vertical="center"/>
      <protection hidden="1"/>
    </xf>
    <xf numFmtId="165" fontId="7" fillId="0" borderId="0" xfId="182" applyNumberFormat="1" applyFont="1" applyFill="1" applyBorder="1" applyAlignment="1" applyProtection="1">
      <alignment horizontal="center" vertical="center"/>
      <protection hidden="1"/>
    </xf>
    <xf numFmtId="165" fontId="14" fillId="0" borderId="0" xfId="182" applyNumberFormat="1" applyFont="1" applyFill="1" applyBorder="1" applyAlignment="1" applyProtection="1">
      <alignment horizontal="center" vertical="center"/>
      <protection hidden="1"/>
    </xf>
    <xf numFmtId="165" fontId="13" fillId="0" borderId="0" xfId="182" applyNumberFormat="1" applyFont="1" applyFill="1" applyBorder="1" applyAlignment="1" applyProtection="1">
      <alignment horizontal="center" vertical="center"/>
      <protection hidden="1"/>
    </xf>
    <xf numFmtId="10" fontId="3" fillId="0" borderId="0" xfId="182" applyNumberFormat="1" applyFont="1" applyFill="1" applyBorder="1" applyAlignment="1" applyProtection="1">
      <alignment horizontal="center" vertical="center"/>
      <protection hidden="1"/>
    </xf>
    <xf numFmtId="165" fontId="13" fillId="0" borderId="0" xfId="2" applyNumberFormat="1" applyFont="1" applyFill="1" applyBorder="1" applyAlignment="1" applyProtection="1">
      <alignment horizontal="center" vertical="center"/>
      <protection hidden="1"/>
    </xf>
    <xf numFmtId="10" fontId="16" fillId="0" borderId="0" xfId="2" applyNumberFormat="1" applyFont="1" applyFill="1" applyBorder="1" applyAlignment="1" applyProtection="1">
      <alignment horizontal="center" vertical="center"/>
      <protection hidden="1"/>
    </xf>
    <xf numFmtId="165" fontId="16" fillId="0" borderId="0" xfId="2" applyNumberFormat="1" applyFont="1" applyFill="1" applyAlignment="1" applyProtection="1">
      <alignment horizontal="center" vertical="center"/>
      <protection hidden="1"/>
    </xf>
    <xf numFmtId="165" fontId="3" fillId="0" borderId="0" xfId="2" applyNumberFormat="1" applyFont="1" applyFill="1" applyAlignment="1" applyProtection="1">
      <alignment horizontal="center" vertical="center"/>
      <protection hidden="1"/>
    </xf>
    <xf numFmtId="165" fontId="7" fillId="0" borderId="0" xfId="2" applyNumberFormat="1" applyFont="1" applyFill="1" applyAlignment="1" applyProtection="1">
      <alignment horizontal="center" vertical="center"/>
      <protection hidden="1"/>
    </xf>
    <xf numFmtId="165" fontId="16" fillId="25" borderId="0" xfId="2" applyNumberFormat="1" applyFont="1" applyFill="1" applyAlignment="1" applyProtection="1">
      <alignment horizontal="center" vertical="center"/>
      <protection hidden="1"/>
    </xf>
    <xf numFmtId="165" fontId="13" fillId="0" borderId="0" xfId="2" applyNumberFormat="1" applyFont="1" applyFill="1" applyAlignment="1" applyProtection="1">
      <alignment horizontal="center" vertical="center"/>
      <protection hidden="1"/>
    </xf>
    <xf numFmtId="173" fontId="14" fillId="0" borderId="0" xfId="6" applyNumberFormat="1" applyFont="1" applyFill="1" applyAlignment="1" applyProtection="1">
      <alignment horizontal="center" vertical="center"/>
      <protection hidden="1"/>
    </xf>
    <xf numFmtId="172" fontId="7" fillId="0" borderId="0" xfId="182" applyNumberFormat="1" applyFont="1" applyFill="1" applyBorder="1" applyAlignment="1" applyProtection="1">
      <alignment horizontal="center" vertical="center" wrapText="1"/>
      <protection hidden="1"/>
    </xf>
    <xf numFmtId="0" fontId="51" fillId="25" borderId="39" xfId="110" applyFont="1" applyFill="1" applyBorder="1" applyAlignment="1" applyProtection="1">
      <alignment horizontal="center" vertical="center"/>
      <protection hidden="1"/>
    </xf>
    <xf numFmtId="0" fontId="51" fillId="25" borderId="39" xfId="110" applyFont="1" applyFill="1" applyBorder="1" applyAlignment="1" applyProtection="1">
      <alignment horizontal="left" vertical="center"/>
      <protection hidden="1"/>
    </xf>
    <xf numFmtId="0" fontId="5" fillId="0" borderId="39" xfId="110" applyFont="1" applyFill="1" applyBorder="1" applyAlignment="1" applyProtection="1">
      <alignment horizontal="center" vertical="center"/>
      <protection hidden="1"/>
    </xf>
    <xf numFmtId="172" fontId="3" fillId="0" borderId="0" xfId="2" applyNumberFormat="1" applyFont="1" applyAlignment="1" applyProtection="1">
      <alignment horizontal="center" vertical="center"/>
      <protection locked="0"/>
    </xf>
    <xf numFmtId="172" fontId="16" fillId="0" borderId="0" xfId="2" applyNumberFormat="1" applyFont="1" applyAlignment="1" applyProtection="1">
      <alignment vertical="center"/>
      <protection locked="0"/>
    </xf>
    <xf numFmtId="172" fontId="7" fillId="0" borderId="0" xfId="2" applyNumberFormat="1" applyFont="1" applyAlignment="1" applyProtection="1">
      <alignment horizontal="center" vertical="center"/>
      <protection locked="0"/>
    </xf>
    <xf numFmtId="165" fontId="3" fillId="0" borderId="0" xfId="2" applyNumberFormat="1" applyFont="1" applyFill="1" applyAlignment="1" applyProtection="1">
      <alignment horizontal="center" vertical="center"/>
      <protection locked="0"/>
    </xf>
    <xf numFmtId="172" fontId="3" fillId="0" borderId="0" xfId="2" applyNumberFormat="1" applyFont="1" applyAlignment="1" applyProtection="1">
      <alignment vertical="center"/>
      <protection locked="0"/>
    </xf>
    <xf numFmtId="0" fontId="3" fillId="0" borderId="0" xfId="2" applyFont="1" applyFill="1" applyBorder="1" applyAlignment="1" applyProtection="1">
      <alignment horizontal="center" vertical="center"/>
      <protection hidden="1"/>
    </xf>
    <xf numFmtId="0" fontId="3" fillId="0" borderId="0" xfId="182" quotePrefix="1" applyNumberFormat="1" applyFont="1" applyFill="1" applyBorder="1" applyAlignment="1" applyProtection="1">
      <alignment horizontal="center" vertical="center" wrapText="1"/>
      <protection hidden="1"/>
    </xf>
    <xf numFmtId="2" fontId="3" fillId="0" borderId="0" xfId="181" applyNumberFormat="1" applyFont="1" applyFill="1" applyBorder="1" applyAlignment="1" applyProtection="1">
      <alignment horizontal="center" vertical="center"/>
      <protection hidden="1"/>
    </xf>
    <xf numFmtId="10" fontId="13" fillId="0" borderId="0" xfId="181" applyNumberFormat="1" applyFont="1" applyFill="1" applyBorder="1" applyAlignment="1" applyProtection="1">
      <alignment horizontal="left" vertical="center"/>
      <protection hidden="1"/>
    </xf>
    <xf numFmtId="165" fontId="53" fillId="0" borderId="0" xfId="4" applyNumberFormat="1" applyFont="1" applyFill="1" applyBorder="1" applyAlignment="1" applyProtection="1">
      <alignment horizontal="center" vertical="center"/>
      <protection locked="0"/>
    </xf>
    <xf numFmtId="1" fontId="3" fillId="0" borderId="0" xfId="2" applyNumberFormat="1" applyFont="1" applyFill="1" applyBorder="1" applyAlignment="1" applyProtection="1">
      <alignment horizontal="center" vertical="center"/>
      <protection hidden="1"/>
    </xf>
    <xf numFmtId="0" fontId="3" fillId="0" borderId="0" xfId="2" applyFont="1" applyFill="1" applyBorder="1" applyAlignment="1" applyProtection="1">
      <alignment horizontal="center" vertical="center"/>
      <protection hidden="1"/>
    </xf>
    <xf numFmtId="0" fontId="16" fillId="0" borderId="0" xfId="0" applyFont="1" applyAlignment="1">
      <alignment vertical="center"/>
    </xf>
    <xf numFmtId="0" fontId="16" fillId="0" borderId="13" xfId="0" applyFont="1" applyBorder="1" applyAlignment="1">
      <alignment vertical="center"/>
    </xf>
    <xf numFmtId="10" fontId="16" fillId="0" borderId="13" xfId="181" applyNumberFormat="1" applyFont="1" applyBorder="1" applyAlignment="1">
      <alignment vertical="center"/>
    </xf>
    <xf numFmtId="10" fontId="16" fillId="0" borderId="13" xfId="0" applyNumberFormat="1" applyFont="1" applyBorder="1" applyAlignment="1">
      <alignment vertical="center"/>
    </xf>
    <xf numFmtId="174" fontId="16" fillId="0" borderId="0" xfId="193" applyFont="1" applyAlignment="1">
      <alignment horizontal="center" vertical="center"/>
    </xf>
    <xf numFmtId="165" fontId="16" fillId="0" borderId="0" xfId="193" applyNumberFormat="1" applyFont="1" applyAlignment="1">
      <alignment horizontal="center" vertical="center"/>
    </xf>
    <xf numFmtId="165" fontId="16" fillId="0" borderId="0" xfId="0" applyNumberFormat="1" applyFont="1" applyAlignment="1">
      <alignment horizontal="center" vertical="center"/>
    </xf>
    <xf numFmtId="165" fontId="16" fillId="0" borderId="13" xfId="193" applyNumberFormat="1" applyFont="1" applyBorder="1" applyAlignment="1">
      <alignment horizontal="center" vertical="center"/>
    </xf>
    <xf numFmtId="165" fontId="16" fillId="0" borderId="13" xfId="0" applyNumberFormat="1" applyFont="1" applyBorder="1" applyAlignment="1">
      <alignment horizontal="center" vertical="center"/>
    </xf>
    <xf numFmtId="165" fontId="41" fillId="28" borderId="13" xfId="0" applyNumberFormat="1" applyFont="1" applyFill="1" applyBorder="1" applyAlignment="1">
      <alignment horizontal="center" vertical="center"/>
    </xf>
    <xf numFmtId="165" fontId="16" fillId="0" borderId="0" xfId="0" applyNumberFormat="1" applyFont="1" applyAlignment="1">
      <alignment vertical="center"/>
    </xf>
    <xf numFmtId="9" fontId="16" fillId="0" borderId="0" xfId="181" applyFont="1" applyAlignment="1">
      <alignment horizontal="center" vertical="center"/>
    </xf>
    <xf numFmtId="2" fontId="3" fillId="0" borderId="0" xfId="0" applyNumberFormat="1" applyFont="1" applyFill="1" applyAlignment="1">
      <alignment vertical="center"/>
    </xf>
    <xf numFmtId="0" fontId="3" fillId="0" borderId="0" xfId="2" applyFont="1" applyFill="1" applyBorder="1" applyAlignment="1" applyProtection="1">
      <alignment horizontal="center" vertical="center"/>
      <protection hidden="1"/>
    </xf>
    <xf numFmtId="0" fontId="3" fillId="0" borderId="0" xfId="2" applyFont="1" applyFill="1" applyBorder="1" applyAlignment="1" applyProtection="1">
      <alignment horizontal="center" vertical="center"/>
      <protection locked="0"/>
    </xf>
    <xf numFmtId="0" fontId="13" fillId="0" borderId="0" xfId="0" applyFont="1" applyFill="1" applyBorder="1" applyAlignment="1">
      <alignment horizontal="right" vertical="top" wrapText="1"/>
    </xf>
    <xf numFmtId="2" fontId="13" fillId="0" borderId="0" xfId="0" applyNumberFormat="1" applyFont="1" applyFill="1" applyBorder="1" applyAlignment="1">
      <alignment horizontal="left" vertical="top"/>
    </xf>
    <xf numFmtId="2" fontId="13" fillId="0" borderId="0" xfId="0" applyNumberFormat="1" applyFont="1" applyFill="1" applyBorder="1" applyAlignment="1" applyProtection="1">
      <alignment horizontal="left" vertical="center"/>
      <protection hidden="1"/>
    </xf>
    <xf numFmtId="2" fontId="14" fillId="0" borderId="0" xfId="0" applyNumberFormat="1" applyFont="1" applyFill="1" applyBorder="1" applyAlignment="1" applyProtection="1">
      <alignment horizontal="left" vertical="center"/>
      <protection hidden="1"/>
    </xf>
    <xf numFmtId="4" fontId="14" fillId="0" borderId="0" xfId="2" applyNumberFormat="1" applyFont="1" applyFill="1" applyBorder="1" applyAlignment="1" applyProtection="1">
      <alignment horizontal="center" vertical="center" wrapText="1"/>
      <protection hidden="1"/>
    </xf>
    <xf numFmtId="10" fontId="13" fillId="0" borderId="0" xfId="181" applyNumberFormat="1" applyFont="1" applyFill="1" applyBorder="1" applyAlignment="1" applyProtection="1">
      <alignment horizontal="center" vertical="center" wrapText="1"/>
      <protection hidden="1"/>
    </xf>
    <xf numFmtId="165" fontId="13" fillId="0" borderId="0" xfId="2" applyNumberFormat="1" applyFont="1" applyFill="1" applyBorder="1" applyAlignment="1" applyProtection="1">
      <alignment horizontal="center" vertical="center" wrapText="1"/>
      <protection hidden="1"/>
    </xf>
    <xf numFmtId="165" fontId="13" fillId="0" borderId="0" xfId="0" applyNumberFormat="1" applyFont="1" applyFill="1" applyBorder="1" applyAlignment="1">
      <alignment horizontal="center" vertical="center"/>
    </xf>
    <xf numFmtId="49" fontId="3" fillId="0" borderId="0" xfId="0" applyNumberFormat="1" applyFont="1" applyFill="1" applyBorder="1" applyAlignment="1" applyProtection="1">
      <alignment vertical="center" wrapText="1"/>
      <protection hidden="1"/>
    </xf>
    <xf numFmtId="49" fontId="3" fillId="0" borderId="0" xfId="0" applyNumberFormat="1" applyFont="1" applyFill="1" applyBorder="1" applyAlignment="1" applyProtection="1">
      <alignment vertical="center"/>
      <protection hidden="1"/>
    </xf>
    <xf numFmtId="49" fontId="13" fillId="0" borderId="0" xfId="0" applyNumberFormat="1" applyFont="1" applyFill="1" applyBorder="1" applyAlignment="1" applyProtection="1">
      <alignment horizontal="center" vertical="center" wrapText="1"/>
      <protection hidden="1"/>
    </xf>
    <xf numFmtId="2" fontId="13" fillId="0" borderId="0" xfId="0" applyNumberFormat="1" applyFont="1" applyFill="1" applyBorder="1" applyAlignment="1" applyProtection="1">
      <alignment horizontal="center" vertical="center"/>
      <protection hidden="1"/>
    </xf>
    <xf numFmtId="10" fontId="16" fillId="0" borderId="0" xfId="181" applyNumberFormat="1" applyFont="1" applyAlignment="1">
      <alignment horizontal="center" vertical="center"/>
    </xf>
    <xf numFmtId="175" fontId="16" fillId="0" borderId="0" xfId="181" applyNumberFormat="1" applyFont="1" applyAlignment="1">
      <alignment horizontal="center" vertical="center"/>
    </xf>
    <xf numFmtId="0" fontId="3" fillId="0" borderId="0" xfId="2" applyFont="1" applyFill="1" applyBorder="1" applyAlignment="1" applyProtection="1">
      <alignment horizontal="center" vertical="center"/>
      <protection locked="0"/>
    </xf>
    <xf numFmtId="173" fontId="3" fillId="0" borderId="0" xfId="181" applyNumberFormat="1" applyFont="1" applyFill="1" applyAlignment="1">
      <alignment horizontal="center" vertical="center"/>
    </xf>
    <xf numFmtId="0" fontId="16" fillId="0" borderId="0" xfId="109" applyFont="1" applyAlignment="1" applyProtection="1">
      <alignment horizontal="center" vertical="center"/>
      <protection locked="0"/>
    </xf>
    <xf numFmtId="49" fontId="5" fillId="0" borderId="0" xfId="143" applyNumberFormat="1" applyFont="1" applyFill="1" applyBorder="1" applyAlignment="1" applyProtection="1">
      <alignment vertical="center"/>
      <protection locked="0"/>
    </xf>
    <xf numFmtId="49" fontId="5" fillId="0" borderId="0" xfId="143" applyNumberFormat="1" applyFont="1" applyFill="1" applyBorder="1" applyAlignment="1" applyProtection="1">
      <alignment horizontal="left" vertical="center" wrapText="1"/>
      <protection locked="0"/>
    </xf>
    <xf numFmtId="2" fontId="5" fillId="0" borderId="0" xfId="143" applyNumberFormat="1" applyFont="1" applyFill="1" applyBorder="1" applyAlignment="1" applyProtection="1">
      <alignment vertical="center"/>
      <protection locked="0"/>
    </xf>
    <xf numFmtId="165" fontId="6" fillId="0" borderId="0" xfId="109" applyNumberFormat="1" applyFont="1" applyBorder="1" applyAlignment="1" applyProtection="1">
      <alignment vertical="center"/>
      <protection locked="0"/>
    </xf>
    <xf numFmtId="165" fontId="3" fillId="0" borderId="0" xfId="109" applyNumberFormat="1" applyFont="1" applyFill="1" applyBorder="1" applyAlignment="1" applyProtection="1">
      <alignment vertical="center"/>
      <protection locked="0"/>
    </xf>
    <xf numFmtId="0" fontId="3" fillId="0" borderId="0" xfId="109" applyFont="1" applyFill="1" applyBorder="1" applyAlignment="1" applyProtection="1">
      <alignment horizontal="center" vertical="center"/>
      <protection locked="0"/>
    </xf>
    <xf numFmtId="10" fontId="14" fillId="0" borderId="0" xfId="109" applyNumberFormat="1" applyFont="1" applyAlignment="1" applyProtection="1">
      <alignment horizontal="center" vertical="center"/>
      <protection locked="0"/>
    </xf>
    <xf numFmtId="165" fontId="14" fillId="0" borderId="0" xfId="109" applyNumberFormat="1" applyFont="1" applyFill="1" applyAlignment="1" applyProtection="1">
      <alignment horizontal="right" vertical="center"/>
      <protection locked="0"/>
    </xf>
    <xf numFmtId="0" fontId="3" fillId="0" borderId="0" xfId="109" applyFont="1" applyAlignment="1" applyProtection="1">
      <alignment vertical="center"/>
      <protection locked="0"/>
    </xf>
    <xf numFmtId="0" fontId="7" fillId="0" borderId="0" xfId="109" applyFont="1" applyAlignment="1" applyProtection="1">
      <alignment vertical="center"/>
      <protection locked="0"/>
    </xf>
    <xf numFmtId="0" fontId="16" fillId="0" borderId="0" xfId="109" applyFont="1" applyAlignment="1" applyProtection="1">
      <alignment vertical="center"/>
      <protection locked="0"/>
    </xf>
    <xf numFmtId="169" fontId="16" fillId="0" borderId="0" xfId="109" applyNumberFormat="1" applyFont="1" applyAlignment="1" applyProtection="1">
      <alignment vertical="center"/>
      <protection locked="0"/>
    </xf>
    <xf numFmtId="2" fontId="16" fillId="0" borderId="0" xfId="109" applyNumberFormat="1" applyFont="1" applyAlignment="1" applyProtection="1">
      <alignment vertical="center"/>
      <protection locked="0"/>
    </xf>
    <xf numFmtId="0" fontId="9" fillId="0" borderId="0" xfId="4" applyFont="1" applyBorder="1" applyAlignment="1" applyProtection="1">
      <alignment vertical="center"/>
      <protection locked="0"/>
    </xf>
    <xf numFmtId="2" fontId="3" fillId="0" borderId="0" xfId="109" applyNumberFormat="1" applyFont="1" applyFill="1" applyBorder="1" applyAlignment="1" applyProtection="1">
      <alignment vertical="center"/>
      <protection locked="0"/>
    </xf>
    <xf numFmtId="165" fontId="6" fillId="0" borderId="0" xfId="4" applyNumberFormat="1" applyFont="1" applyFill="1" applyBorder="1" applyAlignment="1" applyProtection="1">
      <alignment horizontal="right" vertical="center"/>
      <protection locked="0"/>
    </xf>
    <xf numFmtId="10" fontId="6" fillId="0" borderId="0" xfId="4" applyNumberFormat="1" applyFont="1" applyBorder="1" applyAlignment="1" applyProtection="1">
      <alignment horizontal="center" vertical="center"/>
      <protection locked="0"/>
    </xf>
    <xf numFmtId="4" fontId="12" fillId="0" borderId="0" xfId="4" applyNumberFormat="1" applyFont="1" applyFill="1" applyBorder="1" applyAlignment="1" applyProtection="1">
      <alignment horizontal="left" vertical="center"/>
      <protection locked="0"/>
    </xf>
    <xf numFmtId="4" fontId="3" fillId="0" borderId="0" xfId="4" applyNumberFormat="1" applyFont="1" applyFill="1" applyBorder="1" applyAlignment="1" applyProtection="1">
      <alignment horizontal="left" vertical="center" wrapText="1"/>
      <protection locked="0"/>
    </xf>
    <xf numFmtId="0" fontId="13" fillId="0" borderId="0" xfId="4" applyFont="1" applyFill="1" applyBorder="1" applyAlignment="1" applyProtection="1">
      <alignment vertical="center"/>
      <protection locked="0"/>
    </xf>
    <xf numFmtId="2" fontId="13" fillId="0" borderId="0" xfId="4" applyNumberFormat="1" applyFont="1" applyFill="1" applyBorder="1" applyAlignment="1" applyProtection="1">
      <alignment vertical="center"/>
      <protection locked="0"/>
    </xf>
    <xf numFmtId="165" fontId="13" fillId="0" borderId="0" xfId="4" applyNumberFormat="1" applyFont="1" applyFill="1" applyBorder="1" applyAlignment="1" applyProtection="1">
      <alignment vertical="center"/>
      <protection locked="0"/>
    </xf>
    <xf numFmtId="0" fontId="7" fillId="0" borderId="0" xfId="109" applyFont="1" applyFill="1" applyBorder="1" applyAlignment="1" applyProtection="1">
      <alignment vertical="center"/>
      <protection locked="0"/>
    </xf>
    <xf numFmtId="0" fontId="7" fillId="0" borderId="0" xfId="109" applyFont="1" applyFill="1" applyBorder="1" applyAlignment="1" applyProtection="1">
      <alignment horizontal="center" vertical="center"/>
      <protection locked="0"/>
    </xf>
    <xf numFmtId="0" fontId="7" fillId="0" borderId="0" xfId="109" applyFont="1" applyFill="1" applyBorder="1" applyAlignment="1" applyProtection="1">
      <alignment horizontal="left" vertical="center" wrapText="1"/>
      <protection locked="0"/>
    </xf>
    <xf numFmtId="2" fontId="7" fillId="0" borderId="0" xfId="109" applyNumberFormat="1" applyFont="1" applyFill="1" applyBorder="1" applyAlignment="1" applyProtection="1">
      <alignment vertical="center"/>
      <protection locked="0"/>
    </xf>
    <xf numFmtId="165" fontId="7" fillId="0" borderId="0" xfId="109" applyNumberFormat="1" applyFont="1" applyFill="1" applyBorder="1" applyAlignment="1" applyProtection="1">
      <alignment vertical="center"/>
      <protection locked="0"/>
    </xf>
    <xf numFmtId="10" fontId="3" fillId="0" borderId="0" xfId="109" applyNumberFormat="1" applyFont="1" applyFill="1" applyBorder="1" applyAlignment="1" applyProtection="1">
      <alignment horizontal="right" vertical="center"/>
      <protection locked="0"/>
    </xf>
    <xf numFmtId="0" fontId="16" fillId="0" borderId="0" xfId="109" applyFont="1" applyAlignment="1" applyProtection="1">
      <alignment horizontal="center" vertical="center"/>
      <protection hidden="1"/>
    </xf>
    <xf numFmtId="165" fontId="14" fillId="0" borderId="0" xfId="109" applyNumberFormat="1" applyFont="1" applyFill="1" applyAlignment="1" applyProtection="1">
      <alignment horizontal="right" vertical="center"/>
      <protection hidden="1"/>
    </xf>
    <xf numFmtId="0" fontId="3" fillId="0" borderId="0" xfId="109" applyFont="1" applyAlignment="1" applyProtection="1">
      <alignment vertical="center"/>
      <protection hidden="1"/>
    </xf>
    <xf numFmtId="0" fontId="7" fillId="0" borderId="0" xfId="109" applyFont="1" applyAlignment="1" applyProtection="1">
      <alignment vertical="center"/>
      <protection hidden="1"/>
    </xf>
    <xf numFmtId="0" fontId="16" fillId="0" borderId="0" xfId="109" applyFont="1" applyAlignment="1" applyProtection="1">
      <alignment vertical="center"/>
      <protection hidden="1"/>
    </xf>
    <xf numFmtId="169" fontId="16" fillId="0" borderId="0" xfId="109" applyNumberFormat="1" applyFont="1" applyAlignment="1" applyProtection="1">
      <alignment vertical="center"/>
      <protection hidden="1"/>
    </xf>
    <xf numFmtId="2" fontId="16" fillId="0" borderId="0" xfId="109" applyNumberFormat="1" applyFont="1" applyAlignment="1" applyProtection="1">
      <alignment vertical="center"/>
      <protection hidden="1"/>
    </xf>
    <xf numFmtId="0" fontId="41" fillId="25" borderId="0" xfId="109" applyFont="1" applyFill="1" applyAlignment="1" applyProtection="1">
      <alignment horizontal="center" vertical="center" wrapText="1"/>
      <protection hidden="1"/>
    </xf>
    <xf numFmtId="0" fontId="41" fillId="25" borderId="46" xfId="109" applyFont="1" applyFill="1" applyBorder="1" applyAlignment="1" applyProtection="1">
      <alignment vertical="center" wrapText="1"/>
      <protection hidden="1"/>
    </xf>
    <xf numFmtId="1" fontId="9" fillId="25" borderId="46" xfId="109" applyNumberFormat="1" applyFont="1" applyFill="1" applyBorder="1" applyAlignment="1" applyProtection="1">
      <alignment horizontal="center" vertical="center"/>
      <protection hidden="1"/>
    </xf>
    <xf numFmtId="0" fontId="9" fillId="25" borderId="46" xfId="109" applyFont="1" applyFill="1" applyBorder="1" applyAlignment="1" applyProtection="1">
      <alignment horizontal="center" vertical="center"/>
      <protection hidden="1"/>
    </xf>
    <xf numFmtId="0" fontId="9" fillId="25" borderId="46" xfId="109" applyFont="1" applyFill="1" applyBorder="1" applyAlignment="1" applyProtection="1">
      <alignment horizontal="left" vertical="center" wrapText="1"/>
      <protection hidden="1"/>
    </xf>
    <xf numFmtId="2" fontId="9" fillId="25" borderId="46" xfId="109" applyNumberFormat="1" applyFont="1" applyFill="1" applyBorder="1" applyAlignment="1" applyProtection="1">
      <alignment horizontal="center" vertical="center"/>
      <protection hidden="1"/>
    </xf>
    <xf numFmtId="165" fontId="9" fillId="25" borderId="46" xfId="109" applyNumberFormat="1" applyFont="1" applyFill="1" applyBorder="1" applyAlignment="1" applyProtection="1">
      <alignment horizontal="center" vertical="center" wrapText="1"/>
      <protection hidden="1"/>
    </xf>
    <xf numFmtId="49" fontId="5" fillId="25" borderId="46" xfId="109" applyNumberFormat="1" applyFont="1" applyFill="1" applyBorder="1" applyAlignment="1" applyProtection="1">
      <alignment horizontal="center" vertical="center"/>
      <protection hidden="1"/>
    </xf>
    <xf numFmtId="10" fontId="5" fillId="25" borderId="46" xfId="129" applyNumberFormat="1" applyFont="1" applyFill="1" applyBorder="1" applyAlignment="1" applyProtection="1">
      <alignment horizontal="center" vertical="center" wrapText="1"/>
      <protection hidden="1"/>
    </xf>
    <xf numFmtId="0" fontId="41" fillId="25" borderId="0" xfId="109" applyFont="1" applyFill="1" applyAlignment="1" applyProtection="1">
      <alignment vertical="center" wrapText="1"/>
      <protection hidden="1"/>
    </xf>
    <xf numFmtId="0" fontId="3" fillId="0" borderId="0" xfId="109" applyFont="1" applyFill="1" applyBorder="1" applyAlignment="1" applyProtection="1">
      <alignment horizontal="center" vertical="center" wrapText="1"/>
      <protection hidden="1"/>
    </xf>
    <xf numFmtId="0" fontId="16" fillId="0" borderId="0" xfId="109" applyFont="1" applyFill="1" applyBorder="1" applyAlignment="1" applyProtection="1">
      <alignment vertical="center" wrapText="1"/>
      <protection hidden="1"/>
    </xf>
    <xf numFmtId="1" fontId="3" fillId="0" borderId="0" xfId="0" applyNumberFormat="1" applyFont="1" applyFill="1" applyBorder="1" applyAlignment="1">
      <alignment horizontal="left" vertical="center" wrapText="1"/>
    </xf>
    <xf numFmtId="0" fontId="3" fillId="0" borderId="0" xfId="109" applyFont="1" applyFill="1" applyBorder="1" applyAlignment="1" applyProtection="1">
      <alignment horizontal="left" vertical="center" wrapText="1"/>
      <protection hidden="1"/>
    </xf>
    <xf numFmtId="2" fontId="3" fillId="0" borderId="0" xfId="109" applyNumberFormat="1" applyFont="1" applyFill="1" applyBorder="1" applyAlignment="1" applyProtection="1">
      <alignment horizontal="center" vertical="center" wrapText="1"/>
      <protection hidden="1"/>
    </xf>
    <xf numFmtId="165" fontId="3" fillId="0" borderId="0" xfId="109" applyNumberFormat="1" applyFont="1" applyFill="1" applyBorder="1" applyAlignment="1" applyProtection="1">
      <alignment horizontal="center" vertical="center" wrapText="1"/>
      <protection hidden="1"/>
    </xf>
    <xf numFmtId="165" fontId="16" fillId="0" borderId="0" xfId="109" applyNumberFormat="1" applyFont="1" applyFill="1" applyBorder="1" applyAlignment="1" applyProtection="1">
      <alignment horizontal="center" vertical="center" wrapText="1"/>
      <protection hidden="1"/>
    </xf>
    <xf numFmtId="10" fontId="3" fillId="0" borderId="0" xfId="129" applyNumberFormat="1" applyFont="1" applyFill="1" applyBorder="1" applyAlignment="1" applyProtection="1">
      <alignment horizontal="center" vertical="center" wrapText="1"/>
      <protection hidden="1"/>
    </xf>
    <xf numFmtId="10" fontId="16" fillId="0" borderId="0" xfId="129" applyNumberFormat="1" applyFont="1" applyFill="1" applyBorder="1" applyAlignment="1" applyProtection="1">
      <alignment horizontal="center" vertical="center" wrapText="1"/>
      <protection hidden="1"/>
    </xf>
    <xf numFmtId="0" fontId="16" fillId="0" borderId="0" xfId="109" applyFont="1" applyBorder="1" applyAlignment="1" applyProtection="1">
      <alignment vertical="center" wrapText="1"/>
      <protection hidden="1"/>
    </xf>
    <xf numFmtId="0" fontId="16" fillId="0" borderId="0" xfId="109" applyFont="1" applyBorder="1" applyAlignment="1" applyProtection="1">
      <alignment horizontal="center" vertical="center" wrapText="1"/>
      <protection hidden="1"/>
    </xf>
    <xf numFmtId="1" fontId="3" fillId="0" borderId="0" xfId="0" applyNumberFormat="1" applyFont="1" applyFill="1" applyBorder="1" applyAlignment="1" applyProtection="1">
      <alignment horizontal="left" vertical="center"/>
      <protection hidden="1"/>
    </xf>
    <xf numFmtId="0" fontId="16" fillId="0" borderId="0" xfId="109" applyFont="1" applyAlignment="1" applyProtection="1">
      <alignment horizontal="center" vertical="center" wrapText="1"/>
      <protection hidden="1"/>
    </xf>
    <xf numFmtId="0" fontId="16" fillId="0" borderId="0" xfId="109" applyFont="1" applyAlignment="1" applyProtection="1">
      <alignment vertical="center" wrapText="1"/>
      <protection hidden="1"/>
    </xf>
    <xf numFmtId="0" fontId="3" fillId="0" borderId="0" xfId="109" applyFont="1" applyAlignment="1" applyProtection="1">
      <alignment horizontal="center" vertical="center" wrapText="1"/>
      <protection hidden="1"/>
    </xf>
    <xf numFmtId="0" fontId="3" fillId="0" borderId="0" xfId="109" applyFont="1" applyFill="1" applyAlignment="1" applyProtection="1">
      <alignment horizontal="center" vertical="center" wrapText="1"/>
      <protection hidden="1"/>
    </xf>
    <xf numFmtId="0" fontId="16" fillId="0" borderId="0" xfId="109" applyFont="1" applyAlignment="1" applyProtection="1">
      <alignment horizontal="left" vertical="center" wrapText="1"/>
      <protection hidden="1"/>
    </xf>
    <xf numFmtId="2" fontId="16" fillId="0" borderId="0" xfId="109" applyNumberFormat="1" applyFont="1" applyAlignment="1" applyProtection="1">
      <alignment vertical="center" wrapText="1"/>
      <protection hidden="1"/>
    </xf>
    <xf numFmtId="0" fontId="13" fillId="0" borderId="0" xfId="109" applyFont="1" applyFill="1" applyBorder="1" applyAlignment="1" applyProtection="1">
      <alignment horizontal="right" vertical="center"/>
      <protection hidden="1"/>
    </xf>
    <xf numFmtId="165" fontId="13" fillId="0" borderId="0" xfId="109" applyNumberFormat="1" applyFont="1" applyAlignment="1" applyProtection="1">
      <alignment horizontal="center" vertical="center" wrapText="1"/>
      <protection hidden="1"/>
    </xf>
    <xf numFmtId="10" fontId="13" fillId="0" borderId="0" xfId="109" applyNumberFormat="1" applyFont="1" applyAlignment="1" applyProtection="1">
      <alignment horizontal="center" vertical="center" wrapText="1"/>
      <protection hidden="1"/>
    </xf>
    <xf numFmtId="10" fontId="16" fillId="0" borderId="0" xfId="129" applyNumberFormat="1" applyFont="1" applyAlignment="1" applyProtection="1">
      <alignment horizontal="center" vertical="center" wrapText="1"/>
      <protection hidden="1"/>
    </xf>
    <xf numFmtId="165" fontId="16" fillId="0" borderId="0" xfId="109" applyNumberFormat="1" applyFont="1" applyAlignment="1" applyProtection="1">
      <alignment horizontal="right" vertical="center" wrapText="1"/>
      <protection hidden="1"/>
    </xf>
    <xf numFmtId="10" fontId="16" fillId="0" borderId="0" xfId="109" applyNumberFormat="1" applyFont="1" applyAlignment="1" applyProtection="1">
      <alignment horizontal="center" vertical="center" wrapText="1"/>
      <protection hidden="1"/>
    </xf>
    <xf numFmtId="165" fontId="16" fillId="0" borderId="0" xfId="109" applyNumberFormat="1" applyFont="1" applyAlignment="1" applyProtection="1">
      <alignment horizontal="center" vertical="center" wrapText="1"/>
      <protection hidden="1"/>
    </xf>
    <xf numFmtId="165" fontId="41" fillId="0" borderId="0" xfId="109" applyNumberFormat="1" applyFont="1" applyAlignment="1" applyProtection="1">
      <alignment horizontal="right" vertical="center" wrapText="1"/>
      <protection hidden="1"/>
    </xf>
    <xf numFmtId="165" fontId="41" fillId="0" borderId="0" xfId="109" applyNumberFormat="1" applyFont="1" applyAlignment="1" applyProtection="1">
      <alignment horizontal="center" vertical="center" wrapText="1"/>
      <protection hidden="1"/>
    </xf>
    <xf numFmtId="165" fontId="13" fillId="0" borderId="0" xfId="108" applyNumberFormat="1" applyFont="1" applyAlignment="1" applyProtection="1">
      <alignment horizontal="center" vertical="center"/>
      <protection hidden="1"/>
    </xf>
    <xf numFmtId="165" fontId="16" fillId="0" borderId="0" xfId="109" applyNumberFormat="1" applyFont="1" applyAlignment="1" applyProtection="1">
      <alignment vertical="center" wrapText="1"/>
      <protection hidden="1"/>
    </xf>
    <xf numFmtId="1" fontId="3" fillId="0" borderId="0" xfId="0" applyNumberFormat="1" applyFont="1" applyFill="1" applyBorder="1" applyAlignment="1">
      <alignment horizontal="center" vertical="center" wrapText="1"/>
    </xf>
    <xf numFmtId="10" fontId="13" fillId="0" borderId="0" xfId="181" applyNumberFormat="1" applyFont="1" applyFill="1" applyBorder="1" applyAlignment="1" applyProtection="1">
      <alignment horizontal="center" vertical="center"/>
      <protection hidden="1"/>
    </xf>
    <xf numFmtId="165" fontId="13" fillId="0" borderId="0" xfId="109" applyNumberFormat="1" applyFont="1" applyFill="1" applyBorder="1" applyAlignment="1" applyProtection="1">
      <alignment horizontal="center" vertical="center"/>
      <protection hidden="1"/>
    </xf>
    <xf numFmtId="2" fontId="16" fillId="0" borderId="0" xfId="109" applyNumberFormat="1" applyFont="1" applyFill="1" applyAlignment="1" applyProtection="1">
      <alignment horizontal="center" vertical="center" wrapText="1"/>
      <protection hidden="1"/>
    </xf>
    <xf numFmtId="1" fontId="3" fillId="0" borderId="2" xfId="0" applyNumberFormat="1" applyFont="1" applyFill="1" applyBorder="1" applyAlignment="1">
      <alignment horizontal="center" vertical="center" wrapText="1"/>
    </xf>
    <xf numFmtId="0" fontId="3" fillId="0" borderId="2" xfId="109" applyFont="1" applyFill="1" applyBorder="1" applyAlignment="1" applyProtection="1">
      <alignment horizontal="center" vertical="center" wrapText="1"/>
      <protection hidden="1"/>
    </xf>
    <xf numFmtId="0" fontId="3" fillId="0" borderId="2" xfId="109" applyFont="1" applyFill="1" applyBorder="1" applyAlignment="1" applyProtection="1">
      <alignment horizontal="left" vertical="center" wrapText="1"/>
      <protection hidden="1"/>
    </xf>
    <xf numFmtId="2" fontId="3" fillId="0" borderId="2" xfId="109" applyNumberFormat="1" applyFont="1" applyFill="1" applyBorder="1" applyAlignment="1" applyProtection="1">
      <alignment horizontal="center" vertical="center" wrapText="1"/>
      <protection hidden="1"/>
    </xf>
    <xf numFmtId="165" fontId="3" fillId="0" borderId="2" xfId="109" applyNumberFormat="1" applyFont="1" applyFill="1" applyBorder="1" applyAlignment="1" applyProtection="1">
      <alignment horizontal="center" vertical="center" wrapText="1"/>
      <protection hidden="1"/>
    </xf>
    <xf numFmtId="165" fontId="16" fillId="0" borderId="2" xfId="109" applyNumberFormat="1" applyFont="1" applyFill="1" applyBorder="1" applyAlignment="1" applyProtection="1">
      <alignment horizontal="center" vertical="center" wrapText="1"/>
      <protection hidden="1"/>
    </xf>
    <xf numFmtId="10" fontId="3" fillId="0" borderId="2" xfId="129" applyNumberFormat="1" applyFont="1" applyFill="1" applyBorder="1" applyAlignment="1" applyProtection="1">
      <alignment horizontal="center" vertical="center" wrapText="1"/>
      <protection hidden="1"/>
    </xf>
    <xf numFmtId="10" fontId="16" fillId="0" borderId="2" xfId="129" applyNumberFormat="1" applyFont="1" applyFill="1" applyBorder="1" applyAlignment="1" applyProtection="1">
      <alignment horizontal="center" vertical="center" wrapText="1"/>
      <protection hidden="1"/>
    </xf>
    <xf numFmtId="0" fontId="3" fillId="0" borderId="0" xfId="109" applyFont="1" applyFill="1" applyBorder="1" applyAlignment="1" applyProtection="1">
      <alignment vertical="center"/>
      <protection locked="0"/>
    </xf>
    <xf numFmtId="1" fontId="5" fillId="2" borderId="0" xfId="4" applyNumberFormat="1" applyFont="1" applyFill="1" applyBorder="1" applyAlignment="1" applyProtection="1">
      <alignment horizontal="center" vertical="center" wrapText="1"/>
      <protection hidden="1"/>
    </xf>
    <xf numFmtId="165" fontId="16" fillId="0" borderId="44" xfId="193" applyNumberFormat="1" applyFont="1" applyBorder="1" applyAlignment="1">
      <alignment horizontal="center" vertical="center"/>
    </xf>
    <xf numFmtId="0" fontId="16" fillId="0" borderId="0" xfId="0" applyFont="1" applyBorder="1" applyAlignment="1">
      <alignment horizontal="center" vertical="center"/>
    </xf>
    <xf numFmtId="0" fontId="37" fillId="0" borderId="0" xfId="0" applyFont="1" applyBorder="1" applyAlignment="1">
      <alignment vertical="center" wrapText="1"/>
    </xf>
    <xf numFmtId="2" fontId="37" fillId="0" borderId="0" xfId="0" applyNumberFormat="1" applyFont="1" applyBorder="1" applyAlignment="1">
      <alignment horizontal="center" vertical="center" wrapText="1"/>
    </xf>
    <xf numFmtId="3" fontId="37" fillId="0" borderId="0" xfId="193" applyNumberFormat="1" applyFont="1" applyBorder="1" applyAlignment="1">
      <alignment horizontal="center" vertical="center" wrapText="1"/>
    </xf>
    <xf numFmtId="9" fontId="37" fillId="0" borderId="0" xfId="181" applyFont="1" applyBorder="1" applyAlignment="1">
      <alignment horizontal="center" vertical="center" wrapText="1"/>
    </xf>
    <xf numFmtId="1" fontId="37" fillId="0" borderId="0" xfId="193" applyNumberFormat="1" applyFont="1" applyBorder="1" applyAlignment="1">
      <alignment horizontal="center" vertical="center" wrapText="1"/>
    </xf>
    <xf numFmtId="165" fontId="7" fillId="0" borderId="0" xfId="193" applyNumberFormat="1" applyFont="1" applyBorder="1" applyAlignment="1">
      <alignment horizontal="center" vertical="center" wrapText="1"/>
    </xf>
    <xf numFmtId="0" fontId="16" fillId="0" borderId="0" xfId="109" applyFont="1" applyFill="1" applyBorder="1" applyAlignment="1" applyProtection="1">
      <alignment horizontal="center" vertical="center" wrapText="1"/>
      <protection hidden="1"/>
    </xf>
    <xf numFmtId="10" fontId="16" fillId="0" borderId="0" xfId="109" applyNumberFormat="1" applyFont="1" applyBorder="1" applyAlignment="1" applyProtection="1">
      <alignment vertical="center" wrapText="1"/>
      <protection hidden="1"/>
    </xf>
    <xf numFmtId="0" fontId="9" fillId="0" borderId="0" xfId="109" applyFont="1" applyFill="1" applyBorder="1" applyAlignment="1" applyProtection="1">
      <alignment horizontal="left" vertical="center" wrapText="1"/>
      <protection hidden="1"/>
    </xf>
    <xf numFmtId="0" fontId="9" fillId="0" borderId="0" xfId="109" applyFont="1" applyFill="1" applyBorder="1" applyAlignment="1" applyProtection="1">
      <alignment horizontal="center" vertical="center" wrapText="1"/>
      <protection hidden="1"/>
    </xf>
    <xf numFmtId="165" fontId="9" fillId="0" borderId="0" xfId="109" applyNumberFormat="1" applyFont="1" applyFill="1" applyBorder="1" applyAlignment="1" applyProtection="1">
      <alignment horizontal="center" vertical="center" wrapText="1"/>
      <protection hidden="1"/>
    </xf>
    <xf numFmtId="0" fontId="14" fillId="0" borderId="0" xfId="109" applyFont="1" applyFill="1" applyBorder="1" applyAlignment="1" applyProtection="1">
      <alignment horizontal="left" vertical="center"/>
      <protection hidden="1"/>
    </xf>
    <xf numFmtId="0" fontId="3" fillId="0" borderId="0" xfId="109" applyNumberFormat="1" applyFont="1" applyFill="1" applyBorder="1" applyAlignment="1" applyProtection="1">
      <alignment horizontal="center" vertical="center" wrapText="1"/>
      <protection hidden="1"/>
    </xf>
    <xf numFmtId="2" fontId="16" fillId="0" borderId="0" xfId="109" applyNumberFormat="1" applyFont="1" applyFill="1" applyBorder="1" applyAlignment="1" applyProtection="1">
      <alignment horizontal="center" vertical="center" wrapText="1"/>
      <protection hidden="1"/>
    </xf>
    <xf numFmtId="165" fontId="13" fillId="0" borderId="0" xfId="109" applyNumberFormat="1" applyFont="1" applyFill="1" applyBorder="1" applyAlignment="1" applyProtection="1">
      <alignment horizontal="right" vertical="center"/>
      <protection hidden="1"/>
    </xf>
    <xf numFmtId="165" fontId="13" fillId="0" borderId="0" xfId="109" applyNumberFormat="1" applyFont="1" applyFill="1" applyBorder="1" applyAlignment="1" applyProtection="1">
      <alignment horizontal="center" vertical="center" wrapText="1"/>
      <protection hidden="1"/>
    </xf>
    <xf numFmtId="49" fontId="16" fillId="0" borderId="0" xfId="109" applyNumberFormat="1" applyFont="1" applyAlignment="1" applyProtection="1">
      <alignment horizontal="center" vertical="center" wrapText="1"/>
      <protection hidden="1"/>
    </xf>
    <xf numFmtId="0" fontId="37" fillId="0" borderId="0" xfId="182" applyFont="1" applyFill="1" applyBorder="1" applyAlignment="1" applyProtection="1">
      <alignment vertical="center" wrapText="1"/>
      <protection hidden="1"/>
    </xf>
    <xf numFmtId="0" fontId="3" fillId="0" borderId="0" xfId="108" applyFont="1" applyFill="1" applyAlignment="1" applyProtection="1">
      <alignment horizontal="center" vertical="center" wrapText="1"/>
      <protection hidden="1"/>
    </xf>
    <xf numFmtId="2" fontId="7" fillId="0" borderId="0" xfId="108" applyNumberFormat="1" applyFont="1" applyFill="1" applyBorder="1" applyAlignment="1" applyProtection="1">
      <alignment horizontal="center" vertical="center" wrapText="1"/>
      <protection hidden="1"/>
    </xf>
    <xf numFmtId="10" fontId="16" fillId="0" borderId="0" xfId="109" applyNumberFormat="1" applyFont="1" applyAlignment="1" applyProtection="1">
      <alignment vertical="center" wrapText="1"/>
      <protection hidden="1"/>
    </xf>
    <xf numFmtId="0" fontId="16" fillId="0" borderId="0" xfId="109" applyFont="1" applyFill="1" applyAlignment="1" applyProtection="1">
      <alignment vertical="center" wrapText="1"/>
      <protection hidden="1"/>
    </xf>
    <xf numFmtId="49" fontId="37" fillId="0" borderId="0" xfId="109" applyNumberFormat="1" applyFont="1" applyFill="1" applyBorder="1" applyAlignment="1" applyProtection="1">
      <alignment horizontal="center" vertical="center" wrapText="1"/>
      <protection hidden="1"/>
    </xf>
    <xf numFmtId="165" fontId="16" fillId="0" borderId="0" xfId="109" applyNumberFormat="1" applyFont="1" applyFill="1" applyBorder="1" applyAlignment="1" applyProtection="1">
      <alignment horizontal="center" vertical="center"/>
      <protection hidden="1"/>
    </xf>
    <xf numFmtId="0" fontId="37" fillId="0" borderId="0" xfId="182" applyFont="1" applyFill="1" applyBorder="1" applyAlignment="1" applyProtection="1">
      <alignment horizontal="center" vertical="center" wrapText="1"/>
      <protection hidden="1"/>
    </xf>
    <xf numFmtId="0" fontId="9" fillId="25" borderId="48" xfId="109" applyFont="1" applyFill="1" applyBorder="1" applyAlignment="1" applyProtection="1">
      <alignment horizontal="center" vertical="center"/>
      <protection hidden="1"/>
    </xf>
    <xf numFmtId="0" fontId="3" fillId="0" borderId="0" xfId="109" applyFont="1" applyFill="1" applyBorder="1" applyAlignment="1" applyProtection="1">
      <alignment horizontal="right" vertical="center" wrapText="1"/>
      <protection hidden="1"/>
    </xf>
    <xf numFmtId="176" fontId="3" fillId="0" borderId="0" xfId="109" applyNumberFormat="1" applyFont="1" applyFill="1" applyBorder="1" applyAlignment="1" applyProtection="1">
      <alignment horizontal="right" vertical="center" wrapText="1"/>
      <protection hidden="1"/>
    </xf>
    <xf numFmtId="0" fontId="14" fillId="0" borderId="0" xfId="109" applyFont="1" applyFill="1" applyBorder="1" applyAlignment="1" applyProtection="1">
      <alignment horizontal="right" vertical="center"/>
      <protection hidden="1"/>
    </xf>
    <xf numFmtId="0" fontId="16" fillId="0" borderId="0" xfId="109" applyFont="1" applyAlignment="1" applyProtection="1">
      <alignment horizontal="right" vertical="center" wrapText="1"/>
      <protection hidden="1"/>
    </xf>
    <xf numFmtId="176" fontId="16" fillId="0" borderId="0" xfId="109" applyNumberFormat="1" applyFont="1" applyAlignment="1" applyProtection="1">
      <alignment horizontal="right" vertical="center" wrapText="1"/>
      <protection hidden="1"/>
    </xf>
    <xf numFmtId="0" fontId="16" fillId="0" borderId="0" xfId="109" applyFont="1" applyBorder="1" applyAlignment="1" applyProtection="1">
      <alignment horizontal="right" vertical="center" wrapText="1"/>
      <protection hidden="1"/>
    </xf>
    <xf numFmtId="0" fontId="3" fillId="0" borderId="0" xfId="2" applyFont="1" applyFill="1" applyBorder="1" applyAlignment="1" applyProtection="1">
      <alignment horizontal="center" vertical="center"/>
      <protection hidden="1"/>
    </xf>
    <xf numFmtId="165" fontId="41" fillId="28" borderId="0" xfId="0" applyNumberFormat="1" applyFont="1" applyFill="1" applyBorder="1" applyAlignment="1">
      <alignment horizontal="center" vertical="center"/>
    </xf>
    <xf numFmtId="0" fontId="16" fillId="0" borderId="0" xfId="0" applyFont="1" applyAlignment="1">
      <alignment horizontal="right" vertical="center"/>
    </xf>
    <xf numFmtId="0" fontId="3" fillId="0" borderId="0" xfId="180" applyFont="1" applyFill="1" applyBorder="1" applyAlignment="1" applyProtection="1">
      <alignment horizontal="left" vertical="center" wrapText="1"/>
      <protection hidden="1"/>
    </xf>
    <xf numFmtId="0" fontId="11" fillId="0" borderId="49" xfId="1" applyFont="1" applyFill="1" applyBorder="1" applyAlignment="1" applyProtection="1">
      <alignment horizontal="center" vertical="center" wrapText="1"/>
      <protection hidden="1"/>
    </xf>
    <xf numFmtId="0" fontId="16" fillId="0" borderId="22" xfId="182" applyFont="1" applyBorder="1" applyAlignment="1" applyProtection="1">
      <alignment vertical="center" wrapText="1"/>
      <protection hidden="1"/>
    </xf>
    <xf numFmtId="0" fontId="11" fillId="0" borderId="44" xfId="1" applyFont="1" applyFill="1" applyBorder="1" applyAlignment="1" applyProtection="1">
      <alignment horizontal="center" vertical="center" wrapText="1"/>
      <protection hidden="1"/>
    </xf>
    <xf numFmtId="2" fontId="51" fillId="25" borderId="47" xfId="110" applyNumberFormat="1" applyFont="1" applyFill="1" applyBorder="1" applyAlignment="1" applyProtection="1">
      <alignment horizontal="right" vertical="center"/>
      <protection hidden="1"/>
    </xf>
    <xf numFmtId="0" fontId="11" fillId="0" borderId="51" xfId="1" applyFont="1" applyFill="1" applyBorder="1" applyAlignment="1" applyProtection="1">
      <alignment horizontal="center" vertical="center"/>
      <protection locked="0"/>
    </xf>
    <xf numFmtId="10" fontId="7" fillId="0" borderId="0" xfId="181" applyNumberFormat="1" applyFont="1" applyFill="1" applyAlignment="1" applyProtection="1">
      <alignment horizontal="center" vertical="center"/>
      <protection hidden="1"/>
    </xf>
    <xf numFmtId="165" fontId="64" fillId="0" borderId="0" xfId="2" applyNumberFormat="1" applyFont="1" applyFill="1" applyAlignment="1" applyProtection="1">
      <alignment horizontal="center" vertical="center"/>
      <protection hidden="1"/>
    </xf>
    <xf numFmtId="177" fontId="64" fillId="0" borderId="0" xfId="181" applyNumberFormat="1" applyFont="1" applyFill="1" applyAlignment="1" applyProtection="1">
      <alignment horizontal="center" vertical="center"/>
      <protection hidden="1"/>
    </xf>
    <xf numFmtId="10" fontId="64" fillId="0" borderId="0" xfId="181" applyNumberFormat="1" applyFont="1" applyFill="1" applyAlignment="1" applyProtection="1">
      <alignment horizontal="center" vertical="center"/>
      <protection hidden="1"/>
    </xf>
    <xf numFmtId="2" fontId="3" fillId="0" borderId="2" xfId="4" applyNumberFormat="1" applyFont="1" applyFill="1" applyBorder="1" applyAlignment="1" applyProtection="1">
      <alignment vertical="center"/>
      <protection hidden="1"/>
    </xf>
    <xf numFmtId="0" fontId="3" fillId="0" borderId="2" xfId="4" applyFont="1" applyFill="1" applyBorder="1" applyAlignment="1" applyProtection="1">
      <alignment horizontal="center" vertical="center"/>
      <protection hidden="1"/>
    </xf>
    <xf numFmtId="49" fontId="60" fillId="0" borderId="2" xfId="4" applyNumberFormat="1" applyFont="1" applyBorder="1" applyAlignment="1" applyProtection="1">
      <alignment wrapText="1"/>
      <protection hidden="1"/>
    </xf>
    <xf numFmtId="0" fontId="3" fillId="0" borderId="2" xfId="4" applyFont="1" applyFill="1" applyBorder="1" applyAlignment="1" applyProtection="1">
      <alignment horizontal="left" vertical="center" wrapText="1"/>
      <protection hidden="1"/>
    </xf>
    <xf numFmtId="0" fontId="3" fillId="0" borderId="2" xfId="4" applyFont="1" applyFill="1" applyBorder="1" applyAlignment="1" applyProtection="1">
      <alignment horizontal="center" vertical="center" wrapText="1"/>
      <protection hidden="1"/>
    </xf>
    <xf numFmtId="169" fontId="3" fillId="0" borderId="2" xfId="4" applyNumberFormat="1" applyFont="1" applyFill="1" applyBorder="1" applyAlignment="1" applyProtection="1">
      <alignment horizontal="center" vertical="center"/>
      <protection hidden="1"/>
    </xf>
    <xf numFmtId="165" fontId="14" fillId="0" borderId="2" xfId="4" applyNumberFormat="1" applyFont="1" applyFill="1" applyBorder="1" applyAlignment="1" applyProtection="1">
      <alignment horizontal="center" vertical="center"/>
      <protection hidden="1"/>
    </xf>
    <xf numFmtId="165" fontId="14" fillId="0" borderId="2" xfId="4" applyNumberFormat="1" applyFont="1" applyFill="1" applyBorder="1" applyAlignment="1" applyProtection="1">
      <alignment horizontal="right" vertical="center"/>
      <protection hidden="1"/>
    </xf>
    <xf numFmtId="2" fontId="13" fillId="0" borderId="0" xfId="0" applyNumberFormat="1" applyFont="1" applyFill="1" applyAlignment="1">
      <alignment horizontal="center" vertical="center"/>
    </xf>
    <xf numFmtId="2" fontId="3" fillId="0" borderId="0" xfId="0" applyNumberFormat="1" applyFont="1" applyFill="1" applyBorder="1" applyAlignment="1">
      <alignment horizontal="center" vertical="center"/>
    </xf>
    <xf numFmtId="0" fontId="52" fillId="0" borderId="0" xfId="0" quotePrefix="1" applyFont="1" applyFill="1" applyBorder="1" applyAlignment="1">
      <alignment horizontal="center" vertical="center"/>
    </xf>
    <xf numFmtId="4" fontId="3" fillId="0" borderId="0" xfId="0" applyNumberFormat="1" applyFont="1" applyFill="1" applyBorder="1" applyAlignment="1">
      <alignment horizontal="center" vertical="center"/>
    </xf>
    <xf numFmtId="2" fontId="14" fillId="0" borderId="52" xfId="0" applyNumberFormat="1" applyFont="1" applyFill="1" applyBorder="1" applyAlignment="1">
      <alignment horizontal="center" vertical="center"/>
    </xf>
    <xf numFmtId="2" fontId="3" fillId="0" borderId="53" xfId="0" applyNumberFormat="1" applyFont="1" applyFill="1" applyBorder="1" applyAlignment="1">
      <alignment horizontal="center" vertical="center"/>
    </xf>
    <xf numFmtId="2" fontId="3" fillId="0" borderId="54" xfId="0" applyNumberFormat="1" applyFont="1" applyFill="1" applyBorder="1" applyAlignment="1">
      <alignment horizontal="center" vertical="center"/>
    </xf>
    <xf numFmtId="2" fontId="3" fillId="0" borderId="55" xfId="0" applyNumberFormat="1" applyFont="1" applyFill="1" applyBorder="1" applyAlignment="1">
      <alignment horizontal="center" vertical="center"/>
    </xf>
    <xf numFmtId="173" fontId="3" fillId="0" borderId="0" xfId="181" applyNumberFormat="1" applyFont="1" applyFill="1" applyBorder="1" applyAlignment="1">
      <alignment horizontal="center" vertical="center"/>
    </xf>
    <xf numFmtId="0" fontId="14" fillId="0" borderId="22" xfId="0" applyFont="1" applyFill="1" applyBorder="1" applyAlignment="1">
      <alignment horizontal="center" vertical="center"/>
    </xf>
    <xf numFmtId="2" fontId="3" fillId="0" borderId="56" xfId="0" applyNumberFormat="1" applyFont="1" applyFill="1" applyBorder="1" applyAlignment="1">
      <alignment horizontal="center" vertical="center"/>
    </xf>
    <xf numFmtId="2" fontId="3" fillId="0" borderId="57" xfId="0" applyNumberFormat="1" applyFont="1" applyFill="1" applyBorder="1" applyAlignment="1">
      <alignment horizontal="center" vertical="center"/>
    </xf>
    <xf numFmtId="2" fontId="3" fillId="0" borderId="58" xfId="0" applyNumberFormat="1" applyFont="1" applyFill="1" applyBorder="1" applyAlignment="1">
      <alignment horizontal="center" vertical="center"/>
    </xf>
    <xf numFmtId="0" fontId="3" fillId="0" borderId="0" xfId="0" applyFont="1" applyFill="1" applyBorder="1" applyAlignment="1">
      <alignment vertical="center" wrapText="1"/>
    </xf>
    <xf numFmtId="2" fontId="3" fillId="0" borderId="59" xfId="0" applyNumberFormat="1" applyFont="1" applyFill="1" applyBorder="1" applyAlignment="1">
      <alignment horizontal="center" vertical="center"/>
    </xf>
    <xf numFmtId="2" fontId="3" fillId="0" borderId="60" xfId="0" applyNumberFormat="1" applyFont="1" applyFill="1" applyBorder="1" applyAlignment="1">
      <alignment horizontal="center" vertical="center"/>
    </xf>
    <xf numFmtId="165" fontId="41" fillId="0" borderId="0" xfId="109" applyNumberFormat="1" applyFont="1" applyFill="1" applyBorder="1" applyAlignment="1" applyProtection="1">
      <alignment horizontal="center" vertical="center" wrapText="1"/>
      <protection hidden="1"/>
    </xf>
    <xf numFmtId="0" fontId="3" fillId="0" borderId="0" xfId="2" applyFont="1" applyFill="1" applyBorder="1" applyAlignment="1" applyProtection="1">
      <alignment horizontal="center" vertical="center"/>
      <protection hidden="1"/>
    </xf>
    <xf numFmtId="165" fontId="3" fillId="29" borderId="0" xfId="4" applyNumberFormat="1" applyFont="1" applyFill="1" applyBorder="1" applyAlignment="1" applyProtection="1">
      <alignment horizontal="center" vertical="center" wrapText="1"/>
      <protection hidden="1"/>
    </xf>
    <xf numFmtId="0" fontId="3" fillId="0" borderId="0" xfId="2" applyFont="1" applyFill="1" applyBorder="1" applyAlignment="1" applyProtection="1">
      <alignment horizontal="center" vertical="center"/>
      <protection hidden="1"/>
    </xf>
    <xf numFmtId="0" fontId="5" fillId="0" borderId="0" xfId="2" applyNumberFormat="1" applyFont="1" applyFill="1" applyBorder="1" applyAlignment="1" applyProtection="1">
      <alignment horizontal="center" vertical="center"/>
      <protection hidden="1"/>
    </xf>
    <xf numFmtId="0" fontId="5" fillId="0" borderId="0" xfId="2" applyFont="1" applyFill="1" applyBorder="1" applyAlignment="1" applyProtection="1">
      <alignment horizontal="right" vertical="center"/>
      <protection hidden="1"/>
    </xf>
    <xf numFmtId="165" fontId="5" fillId="2" borderId="37" xfId="4" applyNumberFormat="1" applyFont="1" applyFill="1" applyBorder="1" applyAlignment="1" applyProtection="1">
      <alignment horizontal="center" vertical="center" wrapText="1"/>
      <protection hidden="1"/>
    </xf>
    <xf numFmtId="165" fontId="3" fillId="0" borderId="37" xfId="2" applyNumberFormat="1" applyFont="1" applyFill="1" applyBorder="1" applyAlignment="1" applyProtection="1">
      <alignment horizontal="center" vertical="center"/>
      <protection hidden="1"/>
    </xf>
    <xf numFmtId="165" fontId="3" fillId="0" borderId="37" xfId="2" applyNumberFormat="1" applyFont="1" applyFill="1" applyBorder="1" applyAlignment="1" applyProtection="1">
      <alignment vertical="center"/>
      <protection hidden="1"/>
    </xf>
    <xf numFmtId="0" fontId="3" fillId="0" borderId="2" xfId="2" applyFont="1" applyFill="1" applyBorder="1" applyAlignment="1" applyProtection="1">
      <alignment horizontal="center" vertical="center"/>
      <protection hidden="1"/>
    </xf>
    <xf numFmtId="0" fontId="3" fillId="0" borderId="2" xfId="2" applyNumberFormat="1" applyFont="1" applyFill="1" applyBorder="1" applyAlignment="1" applyProtection="1">
      <alignment horizontal="center" vertical="center"/>
      <protection hidden="1"/>
    </xf>
    <xf numFmtId="0" fontId="3" fillId="0" borderId="2" xfId="2" applyFont="1" applyFill="1" applyBorder="1" applyAlignment="1" applyProtection="1">
      <alignment horizontal="center" vertical="center" wrapText="1"/>
      <protection hidden="1"/>
    </xf>
    <xf numFmtId="4" fontId="3" fillId="0" borderId="2" xfId="2" applyNumberFormat="1" applyFont="1" applyFill="1" applyBorder="1" applyAlignment="1" applyProtection="1">
      <alignment horizontal="center" vertical="center" wrapText="1"/>
      <protection hidden="1"/>
    </xf>
    <xf numFmtId="165" fontId="3" fillId="0" borderId="2" xfId="2" applyNumberFormat="1" applyFont="1" applyFill="1" applyBorder="1" applyAlignment="1" applyProtection="1">
      <alignment horizontal="center" vertical="center" wrapText="1"/>
      <protection hidden="1"/>
    </xf>
    <xf numFmtId="165" fontId="3" fillId="0" borderId="19" xfId="2" applyNumberFormat="1" applyFont="1" applyFill="1" applyBorder="1" applyAlignment="1" applyProtection="1">
      <alignment horizontal="center" vertical="center"/>
      <protection hidden="1"/>
    </xf>
    <xf numFmtId="0" fontId="3" fillId="0" borderId="2" xfId="2" applyFont="1" applyFill="1" applyBorder="1" applyAlignment="1" applyProtection="1">
      <alignment horizontal="right" vertical="center" wrapText="1"/>
      <protection hidden="1"/>
    </xf>
    <xf numFmtId="2" fontId="13" fillId="0" borderId="2" xfId="0" applyNumberFormat="1" applyFont="1" applyFill="1" applyBorder="1" applyAlignment="1">
      <alignment horizontal="left" vertical="top"/>
    </xf>
    <xf numFmtId="0" fontId="3" fillId="0" borderId="2" xfId="2" applyNumberFormat="1" applyFont="1" applyFill="1" applyBorder="1" applyAlignment="1" applyProtection="1">
      <alignment horizontal="center" vertical="center" wrapText="1"/>
      <protection hidden="1"/>
    </xf>
    <xf numFmtId="0" fontId="13" fillId="0" borderId="2" xfId="0" applyFont="1" applyFill="1" applyBorder="1" applyAlignment="1">
      <alignment horizontal="right" vertical="top" wrapText="1"/>
    </xf>
    <xf numFmtId="2" fontId="13" fillId="0" borderId="2" xfId="0" applyNumberFormat="1" applyFont="1" applyFill="1" applyBorder="1" applyAlignment="1" applyProtection="1">
      <alignment horizontal="left" vertical="center"/>
      <protection hidden="1"/>
    </xf>
    <xf numFmtId="2" fontId="14" fillId="0" borderId="2" xfId="0" applyNumberFormat="1" applyFont="1" applyFill="1" applyBorder="1" applyAlignment="1" applyProtection="1">
      <alignment horizontal="left" vertical="center"/>
      <protection hidden="1"/>
    </xf>
    <xf numFmtId="4" fontId="14" fillId="0" borderId="2" xfId="2" applyNumberFormat="1" applyFont="1" applyFill="1" applyBorder="1" applyAlignment="1" applyProtection="1">
      <alignment horizontal="center" vertical="center" wrapText="1"/>
      <protection hidden="1"/>
    </xf>
    <xf numFmtId="165" fontId="3" fillId="0" borderId="19" xfId="2" applyNumberFormat="1" applyFont="1" applyFill="1" applyBorder="1" applyAlignment="1" applyProtection="1">
      <alignment horizontal="center" vertical="center" wrapText="1"/>
      <protection hidden="1"/>
    </xf>
    <xf numFmtId="0" fontId="5" fillId="0" borderId="36" xfId="2" applyFont="1" applyFill="1" applyBorder="1" applyAlignment="1" applyProtection="1">
      <alignment horizontal="center" vertical="center"/>
      <protection hidden="1"/>
    </xf>
    <xf numFmtId="1" fontId="5" fillId="2" borderId="36" xfId="4" applyNumberFormat="1" applyFont="1" applyFill="1" applyBorder="1" applyAlignment="1" applyProtection="1">
      <alignment horizontal="left" vertical="center" wrapText="1"/>
      <protection hidden="1"/>
    </xf>
    <xf numFmtId="0" fontId="3" fillId="0" borderId="20" xfId="2" applyFont="1" applyFill="1" applyBorder="1" applyAlignment="1" applyProtection="1">
      <alignment horizontal="center" vertical="center"/>
      <protection hidden="1"/>
    </xf>
    <xf numFmtId="0" fontId="3" fillId="0" borderId="36" xfId="2" applyFont="1" applyFill="1" applyBorder="1" applyAlignment="1" applyProtection="1">
      <alignment horizontal="center" vertical="center"/>
      <protection hidden="1"/>
    </xf>
    <xf numFmtId="0" fontId="3" fillId="0" borderId="36" xfId="2" applyFont="1" applyFill="1" applyBorder="1" applyAlignment="1" applyProtection="1">
      <alignment horizontal="left" vertical="center"/>
      <protection hidden="1"/>
    </xf>
    <xf numFmtId="0" fontId="3" fillId="0" borderId="20" xfId="2" applyFont="1" applyFill="1" applyBorder="1" applyAlignment="1" applyProtection="1">
      <alignment horizontal="left" vertical="center"/>
      <protection hidden="1"/>
    </xf>
    <xf numFmtId="2" fontId="13" fillId="0" borderId="20" xfId="0" applyNumberFormat="1" applyFont="1" applyFill="1" applyBorder="1" applyAlignment="1">
      <alignment horizontal="left" vertical="top"/>
    </xf>
    <xf numFmtId="0" fontId="16" fillId="29" borderId="0" xfId="182" applyFont="1" applyFill="1" applyBorder="1" applyAlignment="1" applyProtection="1">
      <alignment vertical="center"/>
      <protection hidden="1"/>
    </xf>
    <xf numFmtId="0" fontId="16" fillId="29" borderId="0" xfId="2" applyFont="1" applyFill="1" applyAlignment="1" applyProtection="1">
      <alignment horizontal="center" vertical="center"/>
      <protection hidden="1"/>
    </xf>
    <xf numFmtId="0" fontId="3" fillId="29" borderId="0" xfId="4" applyFont="1" applyFill="1" applyBorder="1" applyAlignment="1" applyProtection="1">
      <alignment horizontal="center" vertical="center"/>
      <protection hidden="1"/>
    </xf>
    <xf numFmtId="2" fontId="3" fillId="29" borderId="0" xfId="4" applyNumberFormat="1" applyFont="1" applyFill="1" applyBorder="1" applyAlignment="1" applyProtection="1">
      <alignment vertical="center"/>
      <protection hidden="1"/>
    </xf>
    <xf numFmtId="0" fontId="3" fillId="29" borderId="0" xfId="182" applyNumberFormat="1" applyFont="1" applyFill="1" applyBorder="1" applyAlignment="1" applyProtection="1">
      <alignment horizontal="center" vertical="center" wrapText="1"/>
      <protection hidden="1"/>
    </xf>
    <xf numFmtId="0" fontId="3" fillId="29" borderId="0" xfId="182" applyFont="1" applyFill="1" applyBorder="1" applyAlignment="1" applyProtection="1">
      <alignment horizontal="left" vertical="center" wrapText="1"/>
      <protection hidden="1"/>
    </xf>
    <xf numFmtId="2" fontId="3" fillId="29" borderId="0" xfId="4" applyNumberFormat="1" applyFont="1" applyFill="1" applyBorder="1" applyAlignment="1" applyProtection="1">
      <alignment horizontal="center" vertical="center"/>
      <protection hidden="1"/>
    </xf>
    <xf numFmtId="165" fontId="3" fillId="29" borderId="0" xfId="2" applyNumberFormat="1" applyFont="1" applyFill="1" applyAlignment="1" applyProtection="1">
      <alignment horizontal="center" vertical="center"/>
      <protection hidden="1"/>
    </xf>
    <xf numFmtId="165" fontId="7" fillId="29" borderId="0" xfId="2" applyNumberFormat="1" applyFont="1" applyFill="1" applyAlignment="1" applyProtection="1">
      <alignment horizontal="center" vertical="center"/>
      <protection hidden="1"/>
    </xf>
    <xf numFmtId="165" fontId="16" fillId="29" borderId="0" xfId="182" applyNumberFormat="1" applyFont="1" applyFill="1" applyBorder="1" applyAlignment="1" applyProtection="1">
      <alignment vertical="center"/>
      <protection hidden="1"/>
    </xf>
    <xf numFmtId="169" fontId="16" fillId="29" borderId="0" xfId="182" applyNumberFormat="1" applyFont="1" applyFill="1" applyBorder="1" applyAlignment="1" applyProtection="1">
      <alignment vertical="center"/>
      <protection hidden="1"/>
    </xf>
    <xf numFmtId="2" fontId="16" fillId="29" borderId="0" xfId="182" applyNumberFormat="1" applyFont="1" applyFill="1" applyBorder="1" applyAlignment="1" applyProtection="1">
      <alignment vertical="center"/>
      <protection hidden="1"/>
    </xf>
    <xf numFmtId="165" fontId="65" fillId="29" borderId="0" xfId="4" applyNumberFormat="1" applyFont="1" applyFill="1" applyBorder="1" applyAlignment="1" applyProtection="1">
      <alignment horizontal="center" vertical="center" wrapText="1"/>
      <protection hidden="1"/>
    </xf>
    <xf numFmtId="165" fontId="65" fillId="0" borderId="0" xfId="4" applyNumberFormat="1" applyFont="1" applyFill="1" applyBorder="1" applyAlignment="1" applyProtection="1">
      <alignment horizontal="center" vertical="center" wrapText="1"/>
      <protection hidden="1"/>
    </xf>
    <xf numFmtId="165" fontId="3" fillId="0" borderId="0" xfId="2" applyNumberFormat="1" applyFont="1" applyFill="1" applyBorder="1" applyAlignment="1" applyProtection="1">
      <alignment horizontal="left" vertical="center"/>
      <protection hidden="1"/>
    </xf>
    <xf numFmtId="2" fontId="13" fillId="0" borderId="0" xfId="0" applyNumberFormat="1" applyFont="1" applyFill="1" applyBorder="1" applyAlignment="1">
      <alignment horizontal="left" vertical="center"/>
    </xf>
    <xf numFmtId="2" fontId="12" fillId="0" borderId="40" xfId="110" applyNumberFormat="1" applyFont="1" applyFill="1" applyBorder="1" applyAlignment="1" applyProtection="1">
      <alignment horizontal="right" vertical="center"/>
      <protection hidden="1"/>
    </xf>
    <xf numFmtId="2" fontId="12" fillId="0" borderId="0" xfId="110" applyNumberFormat="1" applyFont="1" applyFill="1" applyBorder="1" applyAlignment="1" applyProtection="1">
      <alignment horizontal="right" vertical="center"/>
      <protection hidden="1"/>
    </xf>
    <xf numFmtId="2" fontId="12" fillId="0" borderId="0" xfId="110" applyNumberFormat="1" applyFont="1" applyFill="1" applyBorder="1" applyAlignment="1" applyProtection="1">
      <alignment horizontal="right" vertical="center" wrapText="1"/>
      <protection hidden="1"/>
    </xf>
    <xf numFmtId="2" fontId="12" fillId="0" borderId="2" xfId="110" applyNumberFormat="1" applyFont="1" applyFill="1" applyBorder="1" applyAlignment="1" applyProtection="1">
      <alignment horizontal="right" vertical="center"/>
      <protection hidden="1"/>
    </xf>
    <xf numFmtId="2" fontId="5" fillId="0" borderId="2" xfId="110" applyNumberFormat="1" applyFont="1" applyFill="1" applyBorder="1" applyAlignment="1" applyProtection="1">
      <alignment horizontal="right" vertical="center"/>
      <protection hidden="1"/>
    </xf>
    <xf numFmtId="2" fontId="12" fillId="0" borderId="38" xfId="110" applyNumberFormat="1" applyFont="1" applyFill="1" applyBorder="1" applyAlignment="1" applyProtection="1">
      <alignment horizontal="right" vertical="center"/>
      <protection hidden="1"/>
    </xf>
    <xf numFmtId="2" fontId="12" fillId="0" borderId="36" xfId="110" applyNumberFormat="1" applyFont="1" applyFill="1" applyBorder="1" applyAlignment="1" applyProtection="1">
      <alignment horizontal="right" vertical="center"/>
      <protection hidden="1"/>
    </xf>
    <xf numFmtId="2" fontId="12" fillId="0" borderId="36" xfId="110" applyNumberFormat="1" applyFont="1" applyFill="1" applyBorder="1" applyAlignment="1" applyProtection="1">
      <alignment horizontal="right" vertical="center" wrapText="1"/>
      <protection hidden="1"/>
    </xf>
    <xf numFmtId="2" fontId="12" fillId="0" borderId="20" xfId="110" applyNumberFormat="1" applyFont="1" applyFill="1" applyBorder="1" applyAlignment="1" applyProtection="1">
      <alignment horizontal="right" vertical="center"/>
      <protection hidden="1"/>
    </xf>
    <xf numFmtId="2" fontId="12" fillId="0" borderId="20" xfId="110" applyNumberFormat="1" applyFont="1" applyFill="1" applyBorder="1" applyAlignment="1" applyProtection="1">
      <alignment horizontal="right" vertical="center" wrapText="1"/>
      <protection hidden="1"/>
    </xf>
    <xf numFmtId="2" fontId="12" fillId="0" borderId="48" xfId="110" applyNumberFormat="1" applyFont="1" applyFill="1" applyBorder="1" applyAlignment="1" applyProtection="1">
      <alignment horizontal="right" vertical="center"/>
      <protection hidden="1"/>
    </xf>
    <xf numFmtId="2" fontId="12" fillId="0" borderId="2" xfId="110" applyNumberFormat="1" applyFont="1" applyFill="1" applyBorder="1" applyAlignment="1" applyProtection="1">
      <alignment horizontal="right" vertical="center" wrapText="1"/>
      <protection hidden="1"/>
    </xf>
    <xf numFmtId="2" fontId="5" fillId="0" borderId="22" xfId="110" applyNumberFormat="1" applyFont="1" applyFill="1" applyBorder="1" applyAlignment="1" applyProtection="1">
      <alignment horizontal="right" vertical="center"/>
      <protection hidden="1"/>
    </xf>
    <xf numFmtId="2" fontId="12" fillId="0" borderId="22" xfId="110" applyNumberFormat="1" applyFont="1" applyFill="1" applyBorder="1" applyAlignment="1" applyProtection="1">
      <alignment horizontal="right" vertical="center"/>
      <protection hidden="1"/>
    </xf>
    <xf numFmtId="2" fontId="12" fillId="0" borderId="15" xfId="110" applyNumberFormat="1" applyFont="1" applyFill="1" applyBorder="1" applyAlignment="1" applyProtection="1">
      <alignment horizontal="right" vertical="center"/>
      <protection hidden="1"/>
    </xf>
    <xf numFmtId="2" fontId="12" fillId="0" borderId="37" xfId="110" applyNumberFormat="1" applyFont="1" applyFill="1" applyBorder="1" applyAlignment="1" applyProtection="1">
      <alignment horizontal="right" vertical="center"/>
      <protection hidden="1"/>
    </xf>
    <xf numFmtId="2" fontId="12" fillId="0" borderId="37" xfId="110" applyNumberFormat="1" applyFont="1" applyFill="1" applyBorder="1" applyAlignment="1" applyProtection="1">
      <alignment horizontal="right" vertical="center" wrapText="1"/>
      <protection hidden="1"/>
    </xf>
    <xf numFmtId="2" fontId="12" fillId="0" borderId="19" xfId="110" applyNumberFormat="1" applyFont="1" applyFill="1" applyBorder="1" applyAlignment="1" applyProtection="1">
      <alignment horizontal="right" vertical="center"/>
      <protection hidden="1"/>
    </xf>
    <xf numFmtId="2" fontId="5" fillId="0" borderId="21" xfId="110" applyNumberFormat="1" applyFont="1" applyFill="1" applyBorder="1" applyAlignment="1" applyProtection="1">
      <alignment horizontal="right" vertical="center"/>
      <protection hidden="1"/>
    </xf>
    <xf numFmtId="2" fontId="12" fillId="0" borderId="21" xfId="110" applyNumberFormat="1" applyFont="1" applyFill="1" applyBorder="1" applyAlignment="1" applyProtection="1">
      <alignment horizontal="right" vertical="center"/>
      <protection hidden="1"/>
    </xf>
    <xf numFmtId="2" fontId="12" fillId="0" borderId="19" xfId="110" applyNumberFormat="1" applyFont="1" applyFill="1" applyBorder="1" applyAlignment="1" applyProtection="1">
      <alignment horizontal="right" vertical="center" wrapText="1"/>
      <protection hidden="1"/>
    </xf>
    <xf numFmtId="165" fontId="37" fillId="0" borderId="0" xfId="193" applyNumberFormat="1" applyFont="1" applyFill="1" applyBorder="1" applyAlignment="1" applyProtection="1">
      <alignment horizontal="center" vertical="center" wrapText="1"/>
      <protection locked="0"/>
    </xf>
    <xf numFmtId="165" fontId="3" fillId="0" borderId="62" xfId="2" applyNumberFormat="1" applyFont="1" applyFill="1" applyBorder="1" applyAlignment="1" applyProtection="1">
      <alignment horizontal="center" vertical="center" wrapText="1"/>
      <protection hidden="1"/>
    </xf>
    <xf numFmtId="165" fontId="3" fillId="0" borderId="62" xfId="2" applyNumberFormat="1" applyFont="1" applyFill="1" applyBorder="1" applyAlignment="1" applyProtection="1">
      <alignment horizontal="center" vertical="center"/>
      <protection hidden="1"/>
    </xf>
    <xf numFmtId="0" fontId="3" fillId="0" borderId="22" xfId="2" applyFont="1" applyFill="1" applyBorder="1" applyAlignment="1" applyProtection="1">
      <alignment horizontal="center" vertical="center"/>
      <protection hidden="1"/>
    </xf>
    <xf numFmtId="0" fontId="3" fillId="0" borderId="61" xfId="2" applyFont="1" applyFill="1" applyBorder="1" applyAlignment="1" applyProtection="1">
      <alignment horizontal="left" vertical="center"/>
      <protection hidden="1"/>
    </xf>
    <xf numFmtId="0" fontId="3" fillId="0" borderId="61" xfId="2" applyNumberFormat="1" applyFont="1" applyFill="1" applyBorder="1" applyAlignment="1" applyProtection="1">
      <alignment horizontal="center" vertical="center"/>
      <protection hidden="1"/>
    </xf>
    <xf numFmtId="0" fontId="3" fillId="0" borderId="61" xfId="2" applyFont="1" applyFill="1" applyBorder="1" applyAlignment="1" applyProtection="1">
      <alignment horizontal="left" vertical="center" wrapText="1"/>
      <protection hidden="1"/>
    </xf>
    <xf numFmtId="0" fontId="3" fillId="0" borderId="61" xfId="2" applyFont="1" applyFill="1" applyBorder="1" applyAlignment="1" applyProtection="1">
      <alignment horizontal="center" vertical="center" wrapText="1"/>
      <protection hidden="1"/>
    </xf>
    <xf numFmtId="4" fontId="3" fillId="0" borderId="61" xfId="2" applyNumberFormat="1" applyFont="1" applyFill="1" applyBorder="1" applyAlignment="1" applyProtection="1">
      <alignment horizontal="center" vertical="center" wrapText="1"/>
      <protection hidden="1"/>
    </xf>
    <xf numFmtId="165" fontId="3" fillId="0" borderId="61" xfId="2" applyNumberFormat="1" applyFont="1" applyFill="1" applyBorder="1" applyAlignment="1" applyProtection="1">
      <alignment horizontal="center" vertical="center" wrapText="1"/>
      <protection hidden="1"/>
    </xf>
    <xf numFmtId="165" fontId="3" fillId="0" borderId="52" xfId="2" applyNumberFormat="1" applyFont="1" applyFill="1" applyBorder="1" applyAlignment="1" applyProtection="1">
      <alignment horizontal="center" vertical="center"/>
      <protection hidden="1"/>
    </xf>
    <xf numFmtId="0" fontId="3" fillId="0" borderId="61" xfId="2" applyFont="1" applyFill="1" applyBorder="1" applyAlignment="1" applyProtection="1">
      <alignment horizontal="center" vertical="center"/>
      <protection hidden="1"/>
    </xf>
    <xf numFmtId="165" fontId="3" fillId="0" borderId="61" xfId="2" applyNumberFormat="1" applyFont="1" applyFill="1" applyBorder="1" applyAlignment="1" applyProtection="1">
      <alignment horizontal="center" vertical="center"/>
      <protection hidden="1"/>
    </xf>
    <xf numFmtId="165" fontId="3" fillId="0" borderId="63" xfId="2" applyNumberFormat="1" applyFont="1" applyFill="1" applyBorder="1" applyAlignment="1" applyProtection="1">
      <alignment horizontal="center" vertical="center" wrapText="1"/>
      <protection hidden="1"/>
    </xf>
    <xf numFmtId="2" fontId="7" fillId="0" borderId="0" xfId="4" applyNumberFormat="1" applyFont="1" applyFill="1" applyBorder="1" applyAlignment="1" applyProtection="1">
      <alignment vertical="center"/>
      <protection hidden="1"/>
    </xf>
    <xf numFmtId="0" fontId="7" fillId="0" borderId="0" xfId="182" applyFont="1" applyFill="1" applyBorder="1" applyAlignment="1" applyProtection="1">
      <alignment horizontal="center" vertical="center" wrapText="1"/>
      <protection hidden="1"/>
    </xf>
    <xf numFmtId="49" fontId="7" fillId="0" borderId="0" xfId="2" applyNumberFormat="1" applyFont="1" applyFill="1" applyAlignment="1" applyProtection="1">
      <alignment horizontal="center" vertical="center"/>
      <protection hidden="1"/>
    </xf>
    <xf numFmtId="0" fontId="7" fillId="0" borderId="0" xfId="182" applyFont="1" applyFill="1" applyBorder="1" applyAlignment="1" applyProtection="1">
      <alignment vertical="center"/>
      <protection hidden="1"/>
    </xf>
    <xf numFmtId="165" fontId="7" fillId="0" borderId="0" xfId="182" applyNumberFormat="1" applyFont="1" applyFill="1" applyBorder="1" applyAlignment="1" applyProtection="1">
      <alignment vertical="center"/>
      <protection hidden="1"/>
    </xf>
    <xf numFmtId="169" fontId="7" fillId="0" borderId="0" xfId="182" applyNumberFormat="1" applyFont="1" applyFill="1" applyBorder="1" applyAlignment="1" applyProtection="1">
      <alignment vertical="center"/>
      <protection hidden="1"/>
    </xf>
    <xf numFmtId="2" fontId="7" fillId="0" borderId="0" xfId="182" applyNumberFormat="1" applyFont="1" applyFill="1" applyBorder="1" applyAlignment="1" applyProtection="1">
      <alignment vertical="center"/>
      <protection hidden="1"/>
    </xf>
    <xf numFmtId="165" fontId="3" fillId="0" borderId="64" xfId="2" applyNumberFormat="1" applyFont="1" applyFill="1" applyBorder="1" applyAlignment="1" applyProtection="1">
      <alignment horizontal="center" vertical="center" wrapText="1"/>
      <protection hidden="1"/>
    </xf>
    <xf numFmtId="172" fontId="7" fillId="29" borderId="0" xfId="182" applyNumberFormat="1" applyFont="1" applyFill="1" applyBorder="1" applyAlignment="1" applyProtection="1">
      <alignment horizontal="center" vertical="center" wrapText="1"/>
      <protection hidden="1"/>
    </xf>
    <xf numFmtId="165" fontId="37" fillId="0" borderId="0" xfId="193" applyNumberFormat="1" applyFont="1" applyFill="1" applyBorder="1" applyAlignment="1">
      <alignment horizontal="center" vertical="center" wrapText="1"/>
    </xf>
    <xf numFmtId="165" fontId="37" fillId="0" borderId="0" xfId="193" applyNumberFormat="1" applyFont="1" applyBorder="1" applyAlignment="1">
      <alignment horizontal="center" vertical="center" wrapText="1"/>
    </xf>
    <xf numFmtId="0" fontId="5" fillId="2" borderId="65" xfId="4" applyNumberFormat="1" applyFont="1" applyFill="1" applyBorder="1" applyAlignment="1" applyProtection="1">
      <alignment horizontal="center" vertical="center" wrapText="1"/>
      <protection hidden="1"/>
    </xf>
    <xf numFmtId="165" fontId="16" fillId="0" borderId="0" xfId="193" applyNumberFormat="1" applyFont="1" applyBorder="1" applyAlignment="1">
      <alignment horizontal="center" vertical="center"/>
    </xf>
    <xf numFmtId="0" fontId="16" fillId="0" borderId="2" xfId="109" applyFont="1" applyBorder="1" applyAlignment="1" applyProtection="1">
      <alignment vertical="center" wrapText="1"/>
      <protection hidden="1"/>
    </xf>
    <xf numFmtId="0" fontId="3" fillId="0" borderId="36" xfId="109" applyFont="1" applyFill="1" applyBorder="1" applyAlignment="1" applyProtection="1">
      <alignment horizontal="center" vertical="center" wrapText="1"/>
      <protection hidden="1"/>
    </xf>
    <xf numFmtId="10" fontId="16" fillId="0" borderId="37" xfId="129" applyNumberFormat="1" applyFont="1" applyFill="1" applyBorder="1" applyAlignment="1" applyProtection="1">
      <alignment horizontal="center" vertical="center" wrapText="1"/>
      <protection hidden="1"/>
    </xf>
    <xf numFmtId="0" fontId="3" fillId="0" borderId="20" xfId="109" applyFont="1" applyFill="1" applyBorder="1" applyAlignment="1" applyProtection="1">
      <alignment horizontal="center" vertical="center" wrapText="1"/>
      <protection hidden="1"/>
    </xf>
    <xf numFmtId="10" fontId="16" fillId="0" borderId="19" xfId="129" applyNumberFormat="1" applyFont="1" applyFill="1" applyBorder="1" applyAlignment="1" applyProtection="1">
      <alignment horizontal="center" vertical="center" wrapText="1"/>
      <protection hidden="1"/>
    </xf>
    <xf numFmtId="0" fontId="3" fillId="0" borderId="66" xfId="109" applyFont="1" applyFill="1" applyBorder="1" applyAlignment="1" applyProtection="1">
      <alignment horizontal="center" vertical="center" wrapText="1"/>
      <protection hidden="1"/>
    </xf>
    <xf numFmtId="0" fontId="3" fillId="0" borderId="22" xfId="109" applyFont="1" applyFill="1" applyBorder="1" applyAlignment="1" applyProtection="1">
      <alignment horizontal="center" vertical="center" wrapText="1"/>
      <protection hidden="1"/>
    </xf>
    <xf numFmtId="1" fontId="3" fillId="0" borderId="66" xfId="0" applyNumberFormat="1" applyFont="1" applyFill="1" applyBorder="1" applyAlignment="1">
      <alignment horizontal="center" vertical="center" wrapText="1"/>
    </xf>
    <xf numFmtId="0" fontId="3" fillId="0" borderId="66" xfId="109" applyFont="1" applyFill="1" applyBorder="1" applyAlignment="1" applyProtection="1">
      <alignment horizontal="left" vertical="center" wrapText="1"/>
      <protection hidden="1"/>
    </xf>
    <xf numFmtId="2" fontId="3" fillId="0" borderId="66" xfId="109" applyNumberFormat="1" applyFont="1" applyFill="1" applyBorder="1" applyAlignment="1" applyProtection="1">
      <alignment horizontal="center" vertical="center" wrapText="1"/>
      <protection hidden="1"/>
    </xf>
    <xf numFmtId="165" fontId="3" fillId="0" borderId="66" xfId="109" applyNumberFormat="1" applyFont="1" applyFill="1" applyBorder="1" applyAlignment="1" applyProtection="1">
      <alignment horizontal="center" vertical="center" wrapText="1"/>
      <protection hidden="1"/>
    </xf>
    <xf numFmtId="165" fontId="16" fillId="0" borderId="66" xfId="109" applyNumberFormat="1" applyFont="1" applyFill="1" applyBorder="1" applyAlignment="1" applyProtection="1">
      <alignment horizontal="center" vertical="center" wrapText="1"/>
      <protection hidden="1"/>
    </xf>
    <xf numFmtId="10" fontId="3" fillId="0" borderId="66" xfId="129" applyNumberFormat="1" applyFont="1" applyFill="1" applyBorder="1" applyAlignment="1" applyProtection="1">
      <alignment horizontal="center" vertical="center" wrapText="1"/>
      <protection hidden="1"/>
    </xf>
    <xf numFmtId="10" fontId="16" fillId="0" borderId="67" xfId="129" applyNumberFormat="1" applyFont="1" applyFill="1" applyBorder="1" applyAlignment="1" applyProtection="1">
      <alignment horizontal="center" vertical="center" wrapText="1"/>
      <protection hidden="1"/>
    </xf>
    <xf numFmtId="0" fontId="16" fillId="0" borderId="66" xfId="109" applyFont="1" applyBorder="1" applyAlignment="1" applyProtection="1">
      <alignment vertical="center" wrapText="1"/>
      <protection hidden="1"/>
    </xf>
    <xf numFmtId="9" fontId="3" fillId="0" borderId="0" xfId="181" applyFont="1" applyFill="1" applyAlignment="1" applyProtection="1">
      <alignment horizontal="center" vertical="center"/>
      <protection hidden="1"/>
    </xf>
    <xf numFmtId="165" fontId="3" fillId="0" borderId="76" xfId="2" applyNumberFormat="1" applyFont="1" applyBorder="1" applyAlignment="1" applyProtection="1">
      <alignment horizontal="center" vertical="center" wrapText="1"/>
      <protection hidden="1"/>
    </xf>
    <xf numFmtId="165" fontId="3" fillId="0" borderId="77" xfId="2" applyNumberFormat="1" applyFont="1" applyBorder="1" applyAlignment="1" applyProtection="1">
      <alignment horizontal="center" vertical="center" wrapText="1"/>
      <protection hidden="1"/>
    </xf>
    <xf numFmtId="165" fontId="3" fillId="0" borderId="78" xfId="2" applyNumberFormat="1" applyFont="1" applyBorder="1" applyAlignment="1" applyProtection="1">
      <alignment horizontal="center" vertical="center" wrapText="1"/>
      <protection hidden="1"/>
    </xf>
    <xf numFmtId="0" fontId="50" fillId="0" borderId="3" xfId="0" quotePrefix="1" applyFont="1" applyFill="1" applyBorder="1" applyAlignment="1">
      <alignment horizontal="center" vertical="center"/>
    </xf>
    <xf numFmtId="171" fontId="3" fillId="0" borderId="0" xfId="107" applyNumberFormat="1" applyFont="1" applyFill="1" applyBorder="1" applyAlignment="1" applyProtection="1">
      <alignment horizontal="left"/>
      <protection hidden="1"/>
    </xf>
    <xf numFmtId="0" fontId="16" fillId="0" borderId="0" xfId="107" applyNumberFormat="1" applyFont="1" applyFill="1" applyBorder="1" applyAlignment="1" applyProtection="1">
      <alignment horizontal="left" vertical="center" wrapText="1"/>
      <protection hidden="1"/>
    </xf>
    <xf numFmtId="0" fontId="16" fillId="0" borderId="0" xfId="177" applyFont="1" applyFill="1" applyBorder="1" applyAlignment="1" applyProtection="1">
      <alignment horizontal="left" vertical="center" wrapText="1"/>
      <protection hidden="1"/>
    </xf>
    <xf numFmtId="0" fontId="16" fillId="0" borderId="0" xfId="107" applyNumberFormat="1" applyFont="1" applyFill="1" applyBorder="1" applyAlignment="1" applyProtection="1">
      <alignment horizontal="left" vertical="center"/>
      <protection hidden="1"/>
    </xf>
    <xf numFmtId="0" fontId="16" fillId="0" borderId="0" xfId="177" applyFont="1" applyFill="1" applyBorder="1" applyAlignment="1" applyProtection="1">
      <alignment horizontal="left" vertical="center"/>
      <protection hidden="1"/>
    </xf>
    <xf numFmtId="0" fontId="16" fillId="0" borderId="0" xfId="107" applyFont="1" applyFill="1" applyBorder="1" applyAlignment="1" applyProtection="1">
      <alignment horizontal="left" vertical="center" wrapText="1"/>
      <protection hidden="1"/>
    </xf>
    <xf numFmtId="0" fontId="16" fillId="0" borderId="0" xfId="107" applyFont="1" applyFill="1" applyBorder="1" applyAlignment="1" applyProtection="1">
      <alignment horizontal="left" vertical="center"/>
      <protection hidden="1"/>
    </xf>
    <xf numFmtId="0" fontId="3" fillId="0" borderId="0" xfId="2" applyFont="1" applyFill="1" applyBorder="1" applyAlignment="1" applyProtection="1">
      <alignment horizontal="center" vertical="center"/>
      <protection hidden="1"/>
    </xf>
    <xf numFmtId="0" fontId="5" fillId="0" borderId="61" xfId="2" applyFont="1" applyFill="1" applyBorder="1" applyAlignment="1" applyProtection="1">
      <alignment horizontal="center" vertical="center"/>
      <protection hidden="1"/>
    </xf>
    <xf numFmtId="0" fontId="9" fillId="0" borderId="68" xfId="4" applyFont="1" applyBorder="1" applyAlignment="1" applyProtection="1">
      <alignment horizontal="center" vertical="center" wrapText="1"/>
      <protection locked="0"/>
    </xf>
    <xf numFmtId="0" fontId="9" fillId="0" borderId="69" xfId="4" applyFont="1" applyBorder="1" applyAlignment="1" applyProtection="1">
      <alignment horizontal="center" vertical="center" wrapText="1"/>
      <protection locked="0"/>
    </xf>
    <xf numFmtId="0" fontId="9" fillId="0" borderId="70" xfId="4" applyFont="1" applyBorder="1" applyAlignment="1" applyProtection="1">
      <alignment horizontal="center" vertical="center" wrapText="1"/>
      <protection locked="0"/>
    </xf>
    <xf numFmtId="0" fontId="9" fillId="0" borderId="71" xfId="4" applyFont="1" applyBorder="1" applyAlignment="1" applyProtection="1">
      <alignment horizontal="center" vertical="center" wrapText="1"/>
      <protection locked="0"/>
    </xf>
    <xf numFmtId="0" fontId="9" fillId="0" borderId="0" xfId="4" applyFont="1" applyAlignment="1" applyProtection="1">
      <alignment horizontal="center" vertical="center" wrapText="1"/>
      <protection locked="0"/>
    </xf>
    <xf numFmtId="0" fontId="9" fillId="0" borderId="72" xfId="4" applyFont="1" applyBorder="1" applyAlignment="1" applyProtection="1">
      <alignment horizontal="center" vertical="center" wrapText="1"/>
      <protection locked="0"/>
    </xf>
    <xf numFmtId="0" fontId="9" fillId="0" borderId="73" xfId="4" applyFont="1" applyBorder="1" applyAlignment="1" applyProtection="1">
      <alignment horizontal="center" vertical="center" wrapText="1"/>
      <protection locked="0"/>
    </xf>
    <xf numFmtId="0" fontId="9" fillId="0" borderId="74" xfId="4" applyFont="1" applyBorder="1" applyAlignment="1" applyProtection="1">
      <alignment horizontal="center" vertical="center" wrapText="1"/>
      <protection locked="0"/>
    </xf>
    <xf numFmtId="0" fontId="9" fillId="0" borderId="75" xfId="4" applyFont="1" applyBorder="1" applyAlignment="1" applyProtection="1">
      <alignment horizontal="center" vertical="center" wrapText="1"/>
      <protection locked="0"/>
    </xf>
    <xf numFmtId="165" fontId="41" fillId="28" borderId="22" xfId="0" applyNumberFormat="1" applyFont="1" applyFill="1" applyBorder="1" applyAlignment="1">
      <alignment horizontal="center" vertical="center"/>
    </xf>
    <xf numFmtId="165" fontId="41" fillId="28" borderId="43" xfId="0" applyNumberFormat="1" applyFont="1" applyFill="1" applyBorder="1" applyAlignment="1">
      <alignment horizontal="center" vertical="center"/>
    </xf>
    <xf numFmtId="165" fontId="41" fillId="28" borderId="42" xfId="0" applyNumberFormat="1" applyFont="1" applyFill="1" applyBorder="1" applyAlignment="1">
      <alignment horizontal="center" vertical="center"/>
    </xf>
    <xf numFmtId="0" fontId="6" fillId="0" borderId="0" xfId="4" applyFont="1" applyFill="1" applyBorder="1" applyAlignment="1" applyProtection="1">
      <alignment horizontal="left" vertical="center"/>
      <protection locked="0"/>
    </xf>
    <xf numFmtId="0" fontId="3" fillId="0" borderId="45" xfId="2" applyFont="1" applyFill="1" applyBorder="1" applyAlignment="1" applyProtection="1">
      <alignment horizontal="center" vertical="center"/>
      <protection hidden="1"/>
    </xf>
    <xf numFmtId="0" fontId="3" fillId="0" borderId="50" xfId="2" applyFont="1" applyFill="1" applyBorder="1" applyAlignment="1" applyProtection="1">
      <alignment horizontal="center" vertical="center"/>
      <protection hidden="1"/>
    </xf>
    <xf numFmtId="0" fontId="5" fillId="0" borderId="40" xfId="2" applyFont="1" applyFill="1" applyBorder="1" applyAlignment="1" applyProtection="1">
      <alignment horizontal="center" vertical="center"/>
      <protection hidden="1"/>
    </xf>
    <xf numFmtId="0" fontId="5" fillId="0" borderId="40" xfId="2" applyFont="1" applyFill="1" applyBorder="1" applyAlignment="1" applyProtection="1">
      <alignment horizontal="center" vertical="center" wrapText="1"/>
      <protection hidden="1"/>
    </xf>
    <xf numFmtId="0" fontId="5" fillId="0" borderId="40" xfId="2" applyFont="1" applyFill="1" applyBorder="1" applyAlignment="1" applyProtection="1">
      <alignment horizontal="right" vertical="center"/>
      <protection hidden="1"/>
    </xf>
    <xf numFmtId="165" fontId="5" fillId="0" borderId="40" xfId="2" applyNumberFormat="1" applyFont="1" applyFill="1" applyBorder="1" applyAlignment="1" applyProtection="1">
      <alignment horizontal="center" vertical="center"/>
      <protection hidden="1"/>
    </xf>
    <xf numFmtId="49" fontId="3" fillId="0" borderId="0" xfId="182" applyNumberFormat="1" applyFont="1" applyFill="1" applyBorder="1" applyAlignment="1" applyProtection="1">
      <alignment horizontal="left" vertical="center" wrapText="1"/>
      <protection hidden="1"/>
    </xf>
    <xf numFmtId="49" fontId="3" fillId="0" borderId="0" xfId="182" applyNumberFormat="1" applyFont="1" applyFill="1" applyBorder="1" applyAlignment="1" applyProtection="1">
      <alignment horizontal="left" vertical="top" wrapText="1"/>
      <protection hidden="1"/>
    </xf>
    <xf numFmtId="0" fontId="5" fillId="0" borderId="45" xfId="109" applyFont="1" applyFill="1" applyBorder="1" applyAlignment="1" applyProtection="1">
      <alignment horizontal="center" vertical="center"/>
      <protection hidden="1"/>
    </xf>
    <xf numFmtId="0" fontId="5" fillId="0" borderId="47" xfId="109" applyFont="1" applyFill="1" applyBorder="1" applyAlignment="1" applyProtection="1">
      <alignment horizontal="center" vertical="center"/>
      <protection hidden="1"/>
    </xf>
    <xf numFmtId="0" fontId="5" fillId="0" borderId="0" xfId="110" applyFont="1" applyFill="1" applyBorder="1" applyAlignment="1" applyProtection="1">
      <alignment vertical="center"/>
      <protection hidden="1"/>
    </xf>
    <xf numFmtId="0" fontId="12" fillId="0" borderId="0" xfId="110" applyFont="1" applyAlignment="1" applyProtection="1">
      <alignment horizontal="left" vertical="center"/>
      <protection hidden="1"/>
    </xf>
    <xf numFmtId="0" fontId="5" fillId="0" borderId="24" xfId="110" applyFont="1" applyFill="1" applyBorder="1" applyAlignment="1" applyProtection="1">
      <alignment horizontal="left" vertical="center"/>
      <protection hidden="1"/>
    </xf>
    <xf numFmtId="0" fontId="12" fillId="0" borderId="23" xfId="110" applyFont="1" applyFill="1" applyBorder="1" applyAlignment="1" applyProtection="1">
      <alignment horizontal="left" vertical="center"/>
      <protection hidden="1"/>
    </xf>
    <xf numFmtId="0" fontId="10" fillId="0" borderId="13" xfId="108" applyFont="1" applyBorder="1" applyAlignment="1" applyProtection="1">
      <alignment horizontal="center" vertical="center"/>
      <protection hidden="1"/>
    </xf>
    <xf numFmtId="0" fontId="6" fillId="0" borderId="2" xfId="108" applyFont="1" applyBorder="1" applyAlignment="1" applyProtection="1">
      <alignment horizontal="left" vertical="center" wrapText="1"/>
      <protection hidden="1"/>
    </xf>
    <xf numFmtId="0" fontId="10" fillId="0" borderId="0" xfId="108" applyFont="1" applyBorder="1" applyAlignment="1" applyProtection="1">
      <alignment horizontal="center" vertical="center"/>
      <protection hidden="1"/>
    </xf>
    <xf numFmtId="4" fontId="12" fillId="0" borderId="0" xfId="108" applyNumberFormat="1" applyFont="1" applyFill="1" applyBorder="1" applyAlignment="1" applyProtection="1">
      <alignment horizontal="left" vertical="center" wrapText="1"/>
      <protection hidden="1"/>
    </xf>
    <xf numFmtId="0" fontId="10" fillId="0" borderId="2" xfId="108" applyFont="1" applyFill="1" applyBorder="1" applyAlignment="1" applyProtection="1">
      <alignment horizontal="center" vertical="center"/>
      <protection hidden="1"/>
    </xf>
    <xf numFmtId="0" fontId="10" fillId="0" borderId="3" xfId="108" applyFont="1" applyFill="1" applyBorder="1" applyAlignment="1" applyProtection="1">
      <alignment horizontal="center" vertical="center"/>
      <protection hidden="1"/>
    </xf>
    <xf numFmtId="0" fontId="5" fillId="25" borderId="0" xfId="110" applyFont="1" applyFill="1" applyBorder="1" applyAlignment="1" applyProtection="1">
      <alignment horizontal="center" vertical="center"/>
      <protection hidden="1"/>
    </xf>
    <xf numFmtId="0" fontId="10" fillId="0" borderId="0" xfId="108" applyFont="1" applyAlignment="1" applyProtection="1">
      <alignment horizontal="left" vertical="center" wrapText="1"/>
      <protection hidden="1"/>
    </xf>
    <xf numFmtId="0" fontId="5" fillId="0" borderId="0" xfId="110" applyFont="1" applyFill="1" applyBorder="1" applyAlignment="1" applyProtection="1">
      <alignment horizontal="left" vertical="center"/>
      <protection hidden="1"/>
    </xf>
    <xf numFmtId="0" fontId="12" fillId="0" borderId="0" xfId="110" applyFont="1" applyFill="1" applyAlignment="1" applyProtection="1">
      <alignment horizontal="left" vertical="center"/>
      <protection hidden="1"/>
    </xf>
    <xf numFmtId="0" fontId="5" fillId="0" borderId="24" xfId="110" applyFont="1" applyFill="1" applyBorder="1" applyAlignment="1" applyProtection="1">
      <alignment vertical="center"/>
      <protection hidden="1"/>
    </xf>
    <xf numFmtId="0" fontId="49" fillId="0" borderId="0" xfId="110" applyFont="1" applyFill="1" applyBorder="1" applyAlignment="1" applyProtection="1">
      <alignment horizontal="left" vertical="center"/>
      <protection hidden="1"/>
    </xf>
    <xf numFmtId="0" fontId="12" fillId="0" borderId="0" xfId="110" applyFont="1" applyAlignment="1" applyProtection="1">
      <alignment horizontal="left" vertical="center" wrapText="1"/>
      <protection hidden="1"/>
    </xf>
    <xf numFmtId="0" fontId="10" fillId="0" borderId="22" xfId="108" applyFont="1" applyBorder="1" applyAlignment="1" applyProtection="1">
      <alignment horizontal="center" vertical="center"/>
      <protection hidden="1"/>
    </xf>
    <xf numFmtId="0" fontId="10" fillId="0" borderId="3" xfId="108" applyFont="1" applyBorder="1" applyAlignment="1" applyProtection="1">
      <alignment horizontal="center" vertical="center"/>
      <protection hidden="1"/>
    </xf>
    <xf numFmtId="0" fontId="10" fillId="0" borderId="21" xfId="108" applyFont="1" applyBorder="1" applyAlignment="1" applyProtection="1">
      <alignment horizontal="center" vertical="center"/>
      <protection hidden="1"/>
    </xf>
    <xf numFmtId="0" fontId="9" fillId="0" borderId="13" xfId="108" applyFont="1" applyBorder="1" applyAlignment="1" applyProtection="1">
      <alignment horizontal="center" vertical="center"/>
      <protection hidden="1"/>
    </xf>
    <xf numFmtId="0" fontId="50" fillId="25" borderId="39" xfId="110" applyFont="1" applyFill="1" applyBorder="1" applyAlignment="1" applyProtection="1">
      <alignment horizontal="center" vertical="center"/>
      <protection hidden="1"/>
    </xf>
    <xf numFmtId="0" fontId="50" fillId="25" borderId="40" xfId="110" applyFont="1" applyFill="1" applyBorder="1" applyAlignment="1" applyProtection="1">
      <alignment horizontal="center" vertical="center"/>
      <protection hidden="1"/>
    </xf>
    <xf numFmtId="0" fontId="10" fillId="0" borderId="39" xfId="108" applyFont="1" applyFill="1" applyBorder="1" applyAlignment="1" applyProtection="1">
      <alignment horizontal="center" vertical="center"/>
      <protection hidden="1"/>
    </xf>
    <xf numFmtId="0" fontId="5" fillId="25" borderId="40" xfId="110" applyFont="1" applyFill="1" applyBorder="1" applyAlignment="1" applyProtection="1">
      <alignment horizontal="center" vertical="center"/>
      <protection hidden="1"/>
    </xf>
    <xf numFmtId="0" fontId="5" fillId="25" borderId="2" xfId="110" applyFont="1" applyFill="1" applyBorder="1" applyAlignment="1" applyProtection="1">
      <alignment horizontal="center" vertical="center"/>
      <protection hidden="1"/>
    </xf>
    <xf numFmtId="0" fontId="10" fillId="25" borderId="38" xfId="108" applyFont="1" applyFill="1" applyBorder="1" applyAlignment="1" applyProtection="1">
      <alignment horizontal="center" vertical="center"/>
      <protection hidden="1"/>
    </xf>
    <xf numFmtId="0" fontId="10" fillId="25" borderId="15" xfId="108" applyFont="1" applyFill="1" applyBorder="1" applyAlignment="1" applyProtection="1">
      <alignment horizontal="center" vertical="center"/>
      <protection hidden="1"/>
    </xf>
    <xf numFmtId="0" fontId="10" fillId="25" borderId="40" xfId="108" applyFont="1" applyFill="1" applyBorder="1" applyAlignment="1" applyProtection="1">
      <alignment horizontal="center" vertical="center"/>
      <protection hidden="1"/>
    </xf>
  </cellXfs>
  <cellStyles count="195">
    <cellStyle name="20% - Ênfase1 2" xfId="7"/>
    <cellStyle name="20% - Ênfase1 3" xfId="8"/>
    <cellStyle name="20% - Ênfase1 4" xfId="9"/>
    <cellStyle name="20% - Ênfase2 2" xfId="10"/>
    <cellStyle name="20% - Ênfase2 3" xfId="11"/>
    <cellStyle name="20% - Ênfase2 4" xfId="12"/>
    <cellStyle name="20% - Ênfase3 2" xfId="13"/>
    <cellStyle name="20% - Ênfase3 3" xfId="14"/>
    <cellStyle name="20% - Ênfase3 4" xfId="15"/>
    <cellStyle name="20% - Ênfase4 2" xfId="16"/>
    <cellStyle name="20% - Ênfase4 3" xfId="17"/>
    <cellStyle name="20% - Ênfase4 4" xfId="18"/>
    <cellStyle name="20% - Ênfase5 2" xfId="19"/>
    <cellStyle name="20% - Ênfase5 3" xfId="20"/>
    <cellStyle name="20% - Ênfase5 4" xfId="21"/>
    <cellStyle name="20% - Ênfase6 2" xfId="22"/>
    <cellStyle name="20% - Ênfase6 3" xfId="23"/>
    <cellStyle name="20% - Ênfase6 4" xfId="24"/>
    <cellStyle name="40% - Ênfase1 2" xfId="25"/>
    <cellStyle name="40% - Ênfase1 3" xfId="26"/>
    <cellStyle name="40% - Ênfase1 4" xfId="27"/>
    <cellStyle name="40% - Ênfase2 2" xfId="28"/>
    <cellStyle name="40% - Ênfase2 3" xfId="29"/>
    <cellStyle name="40% - Ênfase2 4" xfId="30"/>
    <cellStyle name="40% - Ênfase3 2" xfId="31"/>
    <cellStyle name="40% - Ênfase3 3" xfId="32"/>
    <cellStyle name="40% - Ênfase3 4" xfId="33"/>
    <cellStyle name="40% - Ênfase4 2" xfId="34"/>
    <cellStyle name="40% - Ênfase4 3" xfId="35"/>
    <cellStyle name="40% - Ênfase4 4" xfId="36"/>
    <cellStyle name="40% - Ênfase5 2" xfId="37"/>
    <cellStyle name="40% - Ênfase5 3" xfId="38"/>
    <cellStyle name="40% - Ênfase5 4" xfId="39"/>
    <cellStyle name="40% - Ênfase6 2" xfId="40"/>
    <cellStyle name="40% - Ênfase6 3" xfId="41"/>
    <cellStyle name="40% - Ênfase6 4" xfId="42"/>
    <cellStyle name="60% - Ênfase1 2" xfId="43"/>
    <cellStyle name="60% - Ênfase1 3" xfId="44"/>
    <cellStyle name="60% - Ênfase1 4" xfId="45"/>
    <cellStyle name="60% - Ênfase2 2" xfId="46"/>
    <cellStyle name="60% - Ênfase2 3" xfId="47"/>
    <cellStyle name="60% - Ênfase2 4" xfId="48"/>
    <cellStyle name="60% - Ênfase3 2" xfId="49"/>
    <cellStyle name="60% - Ênfase3 3" xfId="50"/>
    <cellStyle name="60% - Ênfase3 4" xfId="51"/>
    <cellStyle name="60% - Ênfase4 2" xfId="52"/>
    <cellStyle name="60% - Ênfase4 3" xfId="53"/>
    <cellStyle name="60% - Ênfase4 4" xfId="54"/>
    <cellStyle name="60% - Ênfase5 2" xfId="55"/>
    <cellStyle name="60% - Ênfase5 3" xfId="56"/>
    <cellStyle name="60% - Ênfase5 4" xfId="57"/>
    <cellStyle name="60% - Ênfase6 2" xfId="58"/>
    <cellStyle name="60% - Ênfase6 3" xfId="59"/>
    <cellStyle name="60% - Ênfase6 4" xfId="60"/>
    <cellStyle name="Bom 2" xfId="61"/>
    <cellStyle name="Bom 3" xfId="62"/>
    <cellStyle name="Bom 4" xfId="63"/>
    <cellStyle name="Cálculo 2" xfId="64"/>
    <cellStyle name="Cálculo 3" xfId="65"/>
    <cellStyle name="Cálculo 4" xfId="66"/>
    <cellStyle name="Célula de Verificação 2" xfId="67"/>
    <cellStyle name="Célula de Verificação 3" xfId="68"/>
    <cellStyle name="Célula de Verificação 4" xfId="69"/>
    <cellStyle name="Célula de Verificação 5" xfId="194"/>
    <cellStyle name="Célula Vinculada 2" xfId="70"/>
    <cellStyle name="Célula Vinculada 3" xfId="71"/>
    <cellStyle name="Célula Vinculada 4" xfId="72"/>
    <cellStyle name="Ênfase1 2" xfId="73"/>
    <cellStyle name="Ênfase1 3" xfId="74"/>
    <cellStyle name="Ênfase1 4" xfId="75"/>
    <cellStyle name="Ênfase2 2" xfId="76"/>
    <cellStyle name="Ênfase2 3" xfId="77"/>
    <cellStyle name="Ênfase2 4" xfId="78"/>
    <cellStyle name="Ênfase3 2" xfId="79"/>
    <cellStyle name="Ênfase3 3" xfId="80"/>
    <cellStyle name="Ênfase3 4" xfId="81"/>
    <cellStyle name="Ênfase4 2" xfId="82"/>
    <cellStyle name="Ênfase4 3" xfId="83"/>
    <cellStyle name="Ênfase4 4" xfId="84"/>
    <cellStyle name="Ênfase5 2" xfId="85"/>
    <cellStyle name="Ênfase5 3" xfId="86"/>
    <cellStyle name="Ênfase5 4" xfId="87"/>
    <cellStyle name="Ênfase6 2" xfId="88"/>
    <cellStyle name="Ênfase6 3" xfId="89"/>
    <cellStyle name="Ênfase6 4" xfId="90"/>
    <cellStyle name="Entrada 2" xfId="91"/>
    <cellStyle name="Entrada 3" xfId="92"/>
    <cellStyle name="Entrada 4" xfId="93"/>
    <cellStyle name="Excel Built-in Normal" xfId="94"/>
    <cellStyle name="Hiperlink 2" xfId="183"/>
    <cellStyle name="Hiperlink 3" xfId="189"/>
    <cellStyle name="Hyperlink 2" xfId="179"/>
    <cellStyle name="Incorreto 2" xfId="95"/>
    <cellStyle name="Incorreto 3" xfId="96"/>
    <cellStyle name="Incorreto 4" xfId="97"/>
    <cellStyle name="Moeda 2" xfId="98"/>
    <cellStyle name="Moeda 2 2" xfId="99"/>
    <cellStyle name="Moeda 2 3" xfId="100"/>
    <cellStyle name="Moeda 3" xfId="101"/>
    <cellStyle name="Moeda 4" xfId="102"/>
    <cellStyle name="Moeda 5" xfId="103"/>
    <cellStyle name="Moeda 6" xfId="193"/>
    <cellStyle name="Neutra 2" xfId="104"/>
    <cellStyle name="Neutra 3" xfId="105"/>
    <cellStyle name="Neutra 4" xfId="106"/>
    <cellStyle name="Normal" xfId="0" builtinId="0"/>
    <cellStyle name="Normal 10" xfId="2"/>
    <cellStyle name="Normal 10 2" xfId="184"/>
    <cellStyle name="Normal 11" xfId="107"/>
    <cellStyle name="Normal 12" xfId="108"/>
    <cellStyle name="Normal 12 2" xfId="185"/>
    <cellStyle name="Normal 12 3" xfId="186"/>
    <cellStyle name="Normal 13" xfId="109"/>
    <cellStyle name="Normal 13 2" xfId="187"/>
    <cellStyle name="Normal 2" xfId="4"/>
    <cellStyle name="Normal 2 2" xfId="190"/>
    <cellStyle name="Normal 3" xfId="5"/>
    <cellStyle name="Normal 3 2" xfId="110"/>
    <cellStyle name="Normal 3 3" xfId="111"/>
    <cellStyle name="Normal 3 4" xfId="112"/>
    <cellStyle name="Normal 3 5" xfId="113"/>
    <cellStyle name="Normal 3 6" xfId="114"/>
    <cellStyle name="Normal 3 7" xfId="115"/>
    <cellStyle name="Normal 3 8" xfId="116"/>
    <cellStyle name="Normal 3 9" xfId="177"/>
    <cellStyle name="Normal 3 9 2" xfId="182"/>
    <cellStyle name="Normal 4" xfId="117"/>
    <cellStyle name="Normal 5" xfId="118"/>
    <cellStyle name="Normal 6" xfId="119"/>
    <cellStyle name="Normal 7" xfId="120"/>
    <cellStyle name="Normal 8" xfId="121"/>
    <cellStyle name="Normal 9" xfId="122"/>
    <cellStyle name="Normal_Sobre o aplicativo" xfId="180"/>
    <cellStyle name="Nota 2" xfId="123"/>
    <cellStyle name="Nota 3" xfId="124"/>
    <cellStyle name="Nota 4" xfId="125"/>
    <cellStyle name="Porcentagem" xfId="181" builtinId="5"/>
    <cellStyle name="Porcentagem 2" xfId="126"/>
    <cellStyle name="Porcentagem 3" xfId="127"/>
    <cellStyle name="Porcentagem 4" xfId="128"/>
    <cellStyle name="Porcentagem 5" xfId="6"/>
    <cellStyle name="Porcentagem 6" xfId="129"/>
    <cellStyle name="Porcentagem 6 2" xfId="188"/>
    <cellStyle name="Porcentagem 7" xfId="178"/>
    <cellStyle name="Porcentagem 8" xfId="191"/>
    <cellStyle name="Saída 2" xfId="130"/>
    <cellStyle name="Saída 3" xfId="131"/>
    <cellStyle name="Saída 4" xfId="132"/>
    <cellStyle name="Separador de milhares 3" xfId="133"/>
    <cellStyle name="Separador de milhares 3 2" xfId="134"/>
    <cellStyle name="Separador de milhares 3 3" xfId="135"/>
    <cellStyle name="Separador de milhares 3 4" xfId="136"/>
    <cellStyle name="Separador de milhares 3 4 10" xfId="137"/>
    <cellStyle name="Separador de milhares 3 4 2" xfId="138"/>
    <cellStyle name="Separador de milhares 3 4 3" xfId="3"/>
    <cellStyle name="Separador de milhares 3 4 4" xfId="139"/>
    <cellStyle name="Separador de milhares 3 4 5" xfId="140"/>
    <cellStyle name="Separador de milhares 3 4 6" xfId="141"/>
    <cellStyle name="Separador de milhares 3 4 7" xfId="142"/>
    <cellStyle name="Separador de milhares 3 4 8" xfId="143"/>
    <cellStyle name="Separador de milhares 3 4 9" xfId="144"/>
    <cellStyle name="Texto de Aviso 2" xfId="145"/>
    <cellStyle name="Texto de Aviso 3" xfId="146"/>
    <cellStyle name="Texto de Aviso 4" xfId="147"/>
    <cellStyle name="Texto Explicativo 2" xfId="148"/>
    <cellStyle name="Texto Explicativo 3" xfId="149"/>
    <cellStyle name="Texto Explicativo 4" xfId="150"/>
    <cellStyle name="Título 1 1" xfId="151"/>
    <cellStyle name="Título 1 1 1" xfId="152"/>
    <cellStyle name="Título 1 1 1 1" xfId="153"/>
    <cellStyle name="Título 1 1 1 1 1" xfId="154"/>
    <cellStyle name="Título 1 1 1 1 1 1" xfId="155"/>
    <cellStyle name="Título 1 1 1 1 1 1 1" xfId="156"/>
    <cellStyle name="Título 1 1 1 1 1 1 1 1" xfId="157"/>
    <cellStyle name="Título 1 1 1 1 1 1 1 1 1" xfId="158"/>
    <cellStyle name="Título 1 1 1 1 1 1 1 1 1 1" xfId="159"/>
    <cellStyle name="Título 1 1 1 1 1 1 1 1 1 1 1" xfId="160"/>
    <cellStyle name="Título 1 1 1 1 1 1 1 1 1 1 1 1" xfId="161"/>
    <cellStyle name="Título 1 2" xfId="162"/>
    <cellStyle name="Título 1 3" xfId="163"/>
    <cellStyle name="Título 1 4" xfId="164"/>
    <cellStyle name="Título 2 2" xfId="165"/>
    <cellStyle name="Título 2 3" xfId="166"/>
    <cellStyle name="Título 2 4" xfId="167"/>
    <cellStyle name="Título 3 2" xfId="168"/>
    <cellStyle name="Título 3 3" xfId="169"/>
    <cellStyle name="Título 3 4" xfId="170"/>
    <cellStyle name="Título 4" xfId="1" builtinId="19"/>
    <cellStyle name="Título 4 2" xfId="171"/>
    <cellStyle name="Título 4 3" xfId="172"/>
    <cellStyle name="Título 4 4" xfId="173"/>
    <cellStyle name="Total 2" xfId="174"/>
    <cellStyle name="Total 3" xfId="175"/>
    <cellStyle name="Total 4" xfId="176"/>
    <cellStyle name="Vírgula 2" xfId="192"/>
  </cellStyles>
  <dxfs count="57">
    <dxf>
      <font>
        <color theme="5"/>
      </font>
      <fill>
        <patternFill>
          <bgColor theme="0" tint="-0.14996795556505021"/>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b/>
        <i val="0"/>
        <color rgb="FFFF0000"/>
      </font>
      <fill>
        <patternFill>
          <bgColor theme="0" tint="-0.24994659260841701"/>
        </patternFill>
      </fill>
    </dxf>
    <dxf>
      <font>
        <b/>
        <i val="0"/>
      </font>
      <fill>
        <patternFill>
          <bgColor theme="0" tint="-0.24994659260841701"/>
        </patternFill>
      </fill>
    </dxf>
    <dxf>
      <font>
        <b/>
        <i val="0"/>
      </font>
    </dxf>
    <dxf>
      <font>
        <b/>
        <i val="0"/>
        <color rgb="FFFF0000"/>
      </font>
    </dxf>
    <dxf>
      <font>
        <b/>
        <i val="0"/>
        <color rgb="FFFF0000"/>
      </font>
    </dxf>
    <dxf>
      <font>
        <b/>
        <i val="0"/>
        <color rgb="FFFF0000"/>
      </font>
      <fill>
        <patternFill>
          <bgColor theme="0" tint="-0.24994659260841701"/>
        </patternFill>
      </fill>
    </dxf>
    <dxf>
      <font>
        <b/>
        <i val="0"/>
      </font>
      <fill>
        <patternFill>
          <bgColor theme="0" tint="-0.24994659260841701"/>
        </patternFill>
      </fill>
    </dxf>
    <dxf>
      <font>
        <b/>
        <i val="0"/>
      </font>
    </dxf>
    <dxf>
      <font>
        <b/>
        <i val="0"/>
        <color rgb="FFFF0000"/>
      </font>
    </dxf>
    <dxf>
      <font>
        <b/>
        <i val="0"/>
        <color rgb="FFFF0000"/>
      </font>
    </dxf>
    <dxf>
      <font>
        <b/>
        <i val="0"/>
        <color rgb="FFFF0000"/>
      </font>
      <fill>
        <patternFill>
          <bgColor theme="0" tint="-0.24994659260841701"/>
        </patternFill>
      </fill>
    </dxf>
    <dxf>
      <font>
        <b/>
        <i val="0"/>
      </font>
      <fill>
        <patternFill>
          <bgColor theme="0" tint="-0.24994659260841701"/>
        </patternFill>
      </fill>
    </dxf>
    <dxf>
      <font>
        <b/>
        <i val="0"/>
      </font>
    </dxf>
    <dxf>
      <font>
        <b/>
        <i val="0"/>
        <color rgb="FFFF0000"/>
      </font>
    </dxf>
    <dxf>
      <font>
        <b/>
        <i val="0"/>
        <color rgb="FFFF0000"/>
      </font>
    </dxf>
    <dxf>
      <font>
        <b/>
        <i val="0"/>
        <color rgb="FFFF0000"/>
      </font>
      <fill>
        <patternFill>
          <bgColor theme="0" tint="-0.24994659260841701"/>
        </patternFill>
      </fill>
    </dxf>
    <dxf>
      <font>
        <b/>
        <i val="0"/>
      </font>
      <fill>
        <patternFill>
          <bgColor theme="0" tint="-0.24994659260841701"/>
        </patternFill>
      </fill>
    </dxf>
    <dxf>
      <font>
        <b/>
        <i val="0"/>
      </font>
    </dxf>
    <dxf>
      <font>
        <b/>
        <i val="0"/>
        <color rgb="FFFF0000"/>
      </font>
    </dxf>
    <dxf>
      <font>
        <b/>
        <i val="0"/>
        <color rgb="FFFF0000"/>
      </font>
    </dxf>
    <dxf>
      <font>
        <b/>
        <i val="0"/>
        <color rgb="FFFF0000"/>
      </font>
      <fill>
        <patternFill>
          <bgColor theme="0" tint="-0.24994659260841701"/>
        </patternFill>
      </fill>
    </dxf>
    <dxf>
      <font>
        <b/>
        <i val="0"/>
      </font>
      <fill>
        <patternFill>
          <bgColor theme="0" tint="-0.24994659260841701"/>
        </patternFill>
      </fill>
    </dxf>
    <dxf>
      <font>
        <b/>
        <i val="0"/>
      </font>
    </dxf>
    <dxf>
      <font>
        <b/>
        <i val="0"/>
        <color rgb="FFFF0000"/>
      </font>
    </dxf>
    <dxf>
      <font>
        <b/>
        <i val="0"/>
        <color rgb="FFFF0000"/>
      </font>
    </dxf>
    <dxf>
      <font>
        <b/>
        <i val="0"/>
      </font>
      <border>
        <top style="thin">
          <color auto="1"/>
        </top>
        <bottom style="thin">
          <color auto="1"/>
        </bottom>
        <vertical/>
        <horizontal/>
      </border>
    </dxf>
    <dxf>
      <font>
        <b/>
        <i val="0"/>
        <color rgb="FFFF0000"/>
      </font>
      <border>
        <top style="thin">
          <color auto="1"/>
        </top>
        <bottom style="thin">
          <color auto="1"/>
        </bottom>
        <vertical/>
        <horizontal/>
      </border>
    </dxf>
    <dxf>
      <font>
        <b/>
        <i val="0"/>
        <color rgb="FFFF0000"/>
      </font>
      <fill>
        <patternFill>
          <bgColor theme="0" tint="-0.24994659260841701"/>
        </patternFill>
      </fill>
    </dxf>
    <dxf>
      <font>
        <b/>
        <i val="0"/>
      </font>
      <fill>
        <patternFill>
          <bgColor theme="0" tint="-0.24994659260841701"/>
        </patternFill>
      </fill>
    </dxf>
    <dxf>
      <font>
        <b/>
        <i val="0"/>
      </font>
    </dxf>
    <dxf>
      <font>
        <b/>
        <i val="0"/>
        <color rgb="FFFF000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 Id="rId6" Type="http://schemas.openxmlformats.org/officeDocument/2006/relationships/image" Target="../media/image1.jpeg"/><Relationship Id="rId5" Type="http://schemas.openxmlformats.org/officeDocument/2006/relationships/image" Target="../media/image7.wmf"/><Relationship Id="rId4" Type="http://schemas.openxmlformats.org/officeDocument/2006/relationships/image" Target="../media/image6.wmf"/></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6</xdr:col>
      <xdr:colOff>2833690</xdr:colOff>
      <xdr:row>16</xdr:row>
      <xdr:rowOff>83343</xdr:rowOff>
    </xdr:from>
    <xdr:to>
      <xdr:col>9</xdr:col>
      <xdr:colOff>195264</xdr:colOff>
      <xdr:row>40</xdr:row>
      <xdr:rowOff>47624</xdr:rowOff>
    </xdr:to>
    <xdr:pic>
      <xdr:nvPicPr>
        <xdr:cNvPr id="4" name="Imagem 3" descr="logo_prefeitura.jp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srcRect/>
        <a:stretch>
          <a:fillRect/>
        </a:stretch>
      </xdr:blipFill>
      <xdr:spPr bwMode="auto">
        <a:xfrm>
          <a:off x="7655721" y="2797968"/>
          <a:ext cx="3088480" cy="339328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119064</xdr:colOff>
      <xdr:row>0</xdr:row>
      <xdr:rowOff>107159</xdr:rowOff>
    </xdr:from>
    <xdr:to>
      <xdr:col>1</xdr:col>
      <xdr:colOff>964407</xdr:colOff>
      <xdr:row>4</xdr:row>
      <xdr:rowOff>333375</xdr:rowOff>
    </xdr:to>
    <xdr:pic>
      <xdr:nvPicPr>
        <xdr:cNvPr id="2" name="Imagem 1" descr="logo_prefeitura.jp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srcRect/>
        <a:stretch>
          <a:fillRect/>
        </a:stretch>
      </xdr:blipFill>
      <xdr:spPr bwMode="auto">
        <a:xfrm>
          <a:off x="726283" y="107159"/>
          <a:ext cx="845343" cy="797716"/>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178593</xdr:colOff>
      <xdr:row>0</xdr:row>
      <xdr:rowOff>154782</xdr:rowOff>
    </xdr:from>
    <xdr:to>
      <xdr:col>4</xdr:col>
      <xdr:colOff>535780</xdr:colOff>
      <xdr:row>5</xdr:row>
      <xdr:rowOff>35718</xdr:rowOff>
    </xdr:to>
    <xdr:pic>
      <xdr:nvPicPr>
        <xdr:cNvPr id="2" name="Imagem 1" descr="logo_prefeitura.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srcRect/>
        <a:stretch>
          <a:fillRect/>
        </a:stretch>
      </xdr:blipFill>
      <xdr:spPr bwMode="auto">
        <a:xfrm>
          <a:off x="1857374" y="154782"/>
          <a:ext cx="797719" cy="77390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oneCellAnchor>
    <xdr:from>
      <xdr:col>1</xdr:col>
      <xdr:colOff>59533</xdr:colOff>
      <xdr:row>1</xdr:row>
      <xdr:rowOff>35721</xdr:rowOff>
    </xdr:from>
    <xdr:ext cx="795338" cy="812005"/>
    <xdr:pic>
      <xdr:nvPicPr>
        <xdr:cNvPr id="2" name="Imagem 1" descr="logo_prefeitura.jp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srcRect/>
        <a:stretch>
          <a:fillRect/>
        </a:stretch>
      </xdr:blipFill>
      <xdr:spPr bwMode="auto">
        <a:xfrm>
          <a:off x="669133" y="178596"/>
          <a:ext cx="795338" cy="812005"/>
        </a:xfrm>
        <a:prstGeom prst="rect">
          <a:avLst/>
        </a:prstGeom>
        <a:noFill/>
        <a:ln w="9525">
          <a:noFill/>
          <a:miter lim="800000"/>
          <a:headEnd/>
          <a:tailEnd/>
        </a:ln>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3</xdr:col>
      <xdr:colOff>144699</xdr:colOff>
      <xdr:row>0</xdr:row>
      <xdr:rowOff>115983</xdr:rowOff>
    </xdr:from>
    <xdr:to>
      <xdr:col>4</xdr:col>
      <xdr:colOff>651905</xdr:colOff>
      <xdr:row>5</xdr:row>
      <xdr:rowOff>44106</xdr:rowOff>
    </xdr:to>
    <xdr:pic>
      <xdr:nvPicPr>
        <xdr:cNvPr id="2" name="Imagem 1" descr="logo_prefeitura.jp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srcRect/>
        <a:stretch>
          <a:fillRect/>
        </a:stretch>
      </xdr:blipFill>
      <xdr:spPr bwMode="auto">
        <a:xfrm>
          <a:off x="2252105" y="115983"/>
          <a:ext cx="888206" cy="844904"/>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95252</xdr:colOff>
      <xdr:row>0</xdr:row>
      <xdr:rowOff>71439</xdr:rowOff>
    </xdr:from>
    <xdr:to>
      <xdr:col>3</xdr:col>
      <xdr:colOff>500064</xdr:colOff>
      <xdr:row>5</xdr:row>
      <xdr:rowOff>85725</xdr:rowOff>
    </xdr:to>
    <xdr:pic>
      <xdr:nvPicPr>
        <xdr:cNvPr id="2" name="Imagem 1" descr="logo_prefeitura.jp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srcRect/>
        <a:stretch>
          <a:fillRect/>
        </a:stretch>
      </xdr:blipFill>
      <xdr:spPr bwMode="auto">
        <a:xfrm>
          <a:off x="702471" y="71439"/>
          <a:ext cx="892968" cy="895349"/>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164728</xdr:colOff>
      <xdr:row>42</xdr:row>
      <xdr:rowOff>8405</xdr:rowOff>
    </xdr:from>
    <xdr:to>
      <xdr:col>5</xdr:col>
      <xdr:colOff>1169367</xdr:colOff>
      <xdr:row>50</xdr:row>
      <xdr:rowOff>42582</xdr:rowOff>
    </xdr:to>
    <xdr:pic>
      <xdr:nvPicPr>
        <xdr:cNvPr id="3" name="Imagem 16">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74328" y="8133230"/>
          <a:ext cx="4233614" cy="1405777"/>
        </a:xfrm>
        <a:prstGeom prst="rect">
          <a:avLst/>
        </a:prstGeom>
        <a:noFill/>
        <a:ln w="9525">
          <a:noFill/>
          <a:miter lim="800000"/>
          <a:headEnd/>
          <a:tailEnd/>
        </a:ln>
      </xdr:spPr>
    </xdr:pic>
    <xdr:clientData/>
  </xdr:twoCellAnchor>
  <xdr:twoCellAnchor>
    <xdr:from>
      <xdr:col>5</xdr:col>
      <xdr:colOff>347523</xdr:colOff>
      <xdr:row>51</xdr:row>
      <xdr:rowOff>31377</xdr:rowOff>
    </xdr:from>
    <xdr:to>
      <xdr:col>9</xdr:col>
      <xdr:colOff>800100</xdr:colOff>
      <xdr:row>59</xdr:row>
      <xdr:rowOff>106748</xdr:rowOff>
    </xdr:to>
    <xdr:pic>
      <xdr:nvPicPr>
        <xdr:cNvPr id="4" name="Imagem 18">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186098" y="9699252"/>
          <a:ext cx="5138877" cy="1446971"/>
        </a:xfrm>
        <a:prstGeom prst="rect">
          <a:avLst/>
        </a:prstGeom>
        <a:noFill/>
        <a:ln w="9525">
          <a:noFill/>
          <a:miter lim="800000"/>
          <a:headEnd/>
          <a:tailEnd/>
        </a:ln>
      </xdr:spPr>
    </xdr:pic>
    <xdr:clientData/>
  </xdr:twoCellAnchor>
  <xdr:twoCellAnchor>
    <xdr:from>
      <xdr:col>1</xdr:col>
      <xdr:colOff>142874</xdr:colOff>
      <xdr:row>60</xdr:row>
      <xdr:rowOff>85725</xdr:rowOff>
    </xdr:from>
    <xdr:to>
      <xdr:col>6</xdr:col>
      <xdr:colOff>97630</xdr:colOff>
      <xdr:row>68</xdr:row>
      <xdr:rowOff>154782</xdr:rowOff>
    </xdr:to>
    <xdr:pic>
      <xdr:nvPicPr>
        <xdr:cNvPr id="5" name="Imagem 20">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752474" y="11296650"/>
          <a:ext cx="4974431" cy="1440657"/>
        </a:xfrm>
        <a:prstGeom prst="rect">
          <a:avLst/>
        </a:prstGeom>
        <a:noFill/>
        <a:ln w="9525">
          <a:noFill/>
          <a:miter lim="800000"/>
          <a:headEnd/>
          <a:tailEnd/>
        </a:ln>
      </xdr:spPr>
    </xdr:pic>
    <xdr:clientData/>
  </xdr:twoCellAnchor>
  <xdr:twoCellAnchor>
    <xdr:from>
      <xdr:col>1</xdr:col>
      <xdr:colOff>178594</xdr:colOff>
      <xdr:row>116</xdr:row>
      <xdr:rowOff>23813</xdr:rowOff>
    </xdr:from>
    <xdr:to>
      <xdr:col>5</xdr:col>
      <xdr:colOff>7144</xdr:colOff>
      <xdr:row>122</xdr:row>
      <xdr:rowOff>109538</xdr:rowOff>
    </xdr:to>
    <xdr:pic>
      <xdr:nvPicPr>
        <xdr:cNvPr id="6" name="Imagem 98">
          <a:extLst>
            <a:ext uri="{FF2B5EF4-FFF2-40B4-BE49-F238E27FC236}">
              <a16:creationId xmlns:a16="http://schemas.microsoft.com/office/drawing/2014/main" id="{00000000-0008-0000-0600-000006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88194" y="20835938"/>
          <a:ext cx="3057525" cy="1114425"/>
        </a:xfrm>
        <a:prstGeom prst="rect">
          <a:avLst/>
        </a:prstGeom>
        <a:noFill/>
        <a:ln w="9525">
          <a:noFill/>
          <a:miter lim="800000"/>
          <a:headEnd/>
          <a:tailEnd/>
        </a:ln>
      </xdr:spPr>
    </xdr:pic>
    <xdr:clientData/>
  </xdr:twoCellAnchor>
  <xdr:twoCellAnchor>
    <xdr:from>
      <xdr:col>1</xdr:col>
      <xdr:colOff>152683</xdr:colOff>
      <xdr:row>51</xdr:row>
      <xdr:rowOff>28436</xdr:rowOff>
    </xdr:from>
    <xdr:to>
      <xdr:col>6</xdr:col>
      <xdr:colOff>689628</xdr:colOff>
      <xdr:row>59</xdr:row>
      <xdr:rowOff>104036</xdr:rowOff>
    </xdr:to>
    <xdr:pic>
      <xdr:nvPicPr>
        <xdr:cNvPr id="7" name="Imagem 17">
          <a:extLst>
            <a:ext uri="{FF2B5EF4-FFF2-40B4-BE49-F238E27FC236}">
              <a16:creationId xmlns:a16="http://schemas.microsoft.com/office/drawing/2014/main" id="{00000000-0008-0000-0600-000007000000}"/>
            </a:ext>
          </a:extLst>
        </xdr:cNvPr>
        <xdr:cNvPicPr>
          <a:picLocks noChangeAspect="1" noChangeArrowheads="1"/>
        </xdr:cNvPicPr>
      </xdr:nvPicPr>
      <xdr:blipFill>
        <a:blip xmlns:r="http://schemas.openxmlformats.org/officeDocument/2006/relationships" r:embed="rId5" cstate="print"/>
        <a:srcRect/>
        <a:stretch>
          <a:fillRect/>
        </a:stretch>
      </xdr:blipFill>
      <xdr:spPr bwMode="auto">
        <a:xfrm>
          <a:off x="762283" y="9696311"/>
          <a:ext cx="5556620" cy="1447200"/>
        </a:xfrm>
        <a:prstGeom prst="rect">
          <a:avLst/>
        </a:prstGeom>
        <a:noFill/>
        <a:ln w="9525">
          <a:noFill/>
          <a:miter lim="800000"/>
          <a:headEnd/>
          <a:tailEnd/>
        </a:ln>
      </xdr:spPr>
    </xdr:pic>
    <xdr:clientData/>
  </xdr:twoCellAnchor>
  <xdr:twoCellAnchor editAs="oneCell">
    <xdr:from>
      <xdr:col>1</xdr:col>
      <xdr:colOff>214311</xdr:colOff>
      <xdr:row>0</xdr:row>
      <xdr:rowOff>107158</xdr:rowOff>
    </xdr:from>
    <xdr:to>
      <xdr:col>2</xdr:col>
      <xdr:colOff>381000</xdr:colOff>
      <xdr:row>5</xdr:row>
      <xdr:rowOff>38100</xdr:rowOff>
    </xdr:to>
    <xdr:pic>
      <xdr:nvPicPr>
        <xdr:cNvPr id="9" name="Imagem 8" descr="logo_prefeitura.jpg">
          <a:extLst>
            <a:ext uri="{FF2B5EF4-FFF2-40B4-BE49-F238E27FC236}">
              <a16:creationId xmlns:a16="http://schemas.microsoft.com/office/drawing/2014/main" id="{00000000-0008-0000-0600-000009000000}"/>
            </a:ext>
          </a:extLst>
        </xdr:cNvPr>
        <xdr:cNvPicPr>
          <a:picLocks noChangeAspect="1"/>
        </xdr:cNvPicPr>
      </xdr:nvPicPr>
      <xdr:blipFill>
        <a:blip xmlns:r="http://schemas.openxmlformats.org/officeDocument/2006/relationships" r:embed="rId6" cstate="print"/>
        <a:srcRect/>
        <a:stretch>
          <a:fillRect/>
        </a:stretch>
      </xdr:blipFill>
      <xdr:spPr bwMode="auto">
        <a:xfrm>
          <a:off x="1690686" y="107158"/>
          <a:ext cx="795338" cy="788192"/>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xdr:from>
          <xdr:col>5</xdr:col>
          <xdr:colOff>657225</xdr:colOff>
          <xdr:row>9</xdr:row>
          <xdr:rowOff>95250</xdr:rowOff>
        </xdr:from>
        <xdr:to>
          <xdr:col>6</xdr:col>
          <xdr:colOff>1524000</xdr:colOff>
          <xdr:row>12</xdr:row>
          <xdr:rowOff>9525</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6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oneCellAnchor>
    <xdr:from>
      <xdr:col>1</xdr:col>
      <xdr:colOff>107157</xdr:colOff>
      <xdr:row>0</xdr:row>
      <xdr:rowOff>107158</xdr:rowOff>
    </xdr:from>
    <xdr:ext cx="795338" cy="812005"/>
    <xdr:pic>
      <xdr:nvPicPr>
        <xdr:cNvPr id="2" name="Imagem 1" descr="logo_prefeitura.jp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srcRect/>
        <a:stretch>
          <a:fillRect/>
        </a:stretch>
      </xdr:blipFill>
      <xdr:spPr bwMode="auto">
        <a:xfrm>
          <a:off x="716757" y="107158"/>
          <a:ext cx="795338" cy="812005"/>
        </a:xfrm>
        <a:prstGeom prst="rect">
          <a:avLst/>
        </a:prstGeom>
        <a:noFill/>
        <a:ln w="9525">
          <a:noFill/>
          <a:miter lim="800000"/>
          <a:headEnd/>
          <a:tailEnd/>
        </a:ln>
      </xdr:spPr>
    </xdr:pic>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omments" Target="../comments2.xml"/><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2"/>
  <dimension ref="B1:Q90"/>
  <sheetViews>
    <sheetView view="pageBreakPreview" topLeftCell="A28" zoomScale="80" zoomScaleNormal="100" zoomScaleSheetLayoutView="80" workbookViewId="0">
      <selection activeCell="D58" sqref="D58"/>
    </sheetView>
  </sheetViews>
  <sheetFormatPr defaultRowHeight="11.25"/>
  <cols>
    <col min="1" max="1" width="9.140625" style="175"/>
    <col min="2" max="2" width="15.7109375" style="179" customWidth="1"/>
    <col min="3" max="3" width="10" style="179" customWidth="1"/>
    <col min="4" max="4" width="7.42578125" style="127" customWidth="1"/>
    <col min="5" max="5" width="14.140625" style="174" customWidth="1"/>
    <col min="6" max="6" width="20.28515625" style="230" bestFit="1" customWidth="1"/>
    <col min="7" max="7" width="65" style="173" customWidth="1"/>
    <col min="8" max="8" width="9.42578125" style="179" customWidth="1"/>
    <col min="9" max="9" width="11.42578125" style="187" customWidth="1"/>
    <col min="10" max="10" width="10" style="179" customWidth="1"/>
    <col min="11" max="11" width="47" style="200" customWidth="1"/>
    <col min="12" max="12" width="16.42578125" style="226" bestFit="1" customWidth="1"/>
    <col min="13" max="13" width="16.42578125" style="281" customWidth="1"/>
    <col min="14" max="14" width="17" style="175" customWidth="1"/>
    <col min="15" max="15" width="17.7109375" style="226" bestFit="1" customWidth="1"/>
    <col min="16" max="16384" width="9.140625" style="175"/>
  </cols>
  <sheetData>
    <row r="1" spans="2:17" s="247" customFormat="1" ht="13.5">
      <c r="B1" s="248"/>
      <c r="C1" s="249"/>
      <c r="D1" s="250"/>
      <c r="E1" s="250"/>
      <c r="F1" s="250"/>
      <c r="G1" s="251"/>
      <c r="H1" s="252"/>
      <c r="J1" s="253"/>
      <c r="K1" s="254"/>
      <c r="M1" s="256"/>
      <c r="N1" s="255"/>
      <c r="O1" s="256"/>
      <c r="P1" s="256"/>
      <c r="Q1" s="256"/>
    </row>
    <row r="2" spans="2:17" s="247" customFormat="1" ht="13.5">
      <c r="B2" s="248"/>
      <c r="C2" s="249" t="s">
        <v>0</v>
      </c>
      <c r="D2" s="250"/>
      <c r="E2" s="250"/>
      <c r="F2" s="250"/>
      <c r="G2" s="251"/>
      <c r="H2" s="252"/>
      <c r="J2" s="253"/>
      <c r="K2" s="254"/>
      <c r="M2" s="256"/>
      <c r="N2" s="255"/>
      <c r="O2" s="256"/>
      <c r="P2" s="256"/>
      <c r="Q2" s="256"/>
    </row>
    <row r="3" spans="2:17" s="247" customFormat="1" ht="13.5">
      <c r="B3" s="248"/>
      <c r="C3" s="257" t="s">
        <v>1</v>
      </c>
      <c r="D3" s="258"/>
      <c r="E3" s="258"/>
      <c r="F3" s="259"/>
      <c r="H3" s="256"/>
      <c r="I3" s="260"/>
      <c r="J3" s="253"/>
      <c r="K3" s="254"/>
      <c r="M3" s="256"/>
      <c r="O3" s="256"/>
      <c r="P3" s="256"/>
      <c r="Q3" s="256"/>
    </row>
    <row r="4" spans="2:17" s="247" customFormat="1" ht="13.5">
      <c r="B4" s="248"/>
      <c r="C4" s="212"/>
      <c r="D4" s="258"/>
      <c r="E4" s="258"/>
      <c r="F4" s="259"/>
      <c r="G4" s="261" t="s">
        <v>238</v>
      </c>
      <c r="H4" s="796">
        <f ca="1">TODAY()</f>
        <v>44425</v>
      </c>
      <c r="I4" s="796"/>
      <c r="J4" s="796"/>
      <c r="M4" s="256"/>
      <c r="O4" s="256"/>
      <c r="P4" s="256"/>
      <c r="Q4" s="256"/>
    </row>
    <row r="5" spans="2:17" s="247" customFormat="1" ht="24">
      <c r="B5" s="248"/>
      <c r="C5" s="262" t="s">
        <v>239</v>
      </c>
      <c r="D5" s="258"/>
      <c r="E5" s="258"/>
      <c r="F5" s="259"/>
      <c r="H5" s="256"/>
      <c r="I5" s="260"/>
      <c r="J5" s="263"/>
      <c r="K5" s="254"/>
      <c r="M5" s="256"/>
      <c r="O5" s="256"/>
      <c r="P5" s="256"/>
      <c r="Q5" s="256"/>
    </row>
    <row r="6" spans="2:17" s="247" customFormat="1" ht="13.5">
      <c r="B6" s="248"/>
      <c r="C6" s="212" t="str">
        <f>"Objeto:"&amp;" "&amp;INÍCIO!D6</f>
        <v>Objeto: COLETA DE RESÍDUOS DE COMÉRCIO E SERVIÇOS (RESÍDUO EXTRAORDINÁRIO) E RESÍDUO INERTE</v>
      </c>
      <c r="D6" s="258"/>
      <c r="E6" s="258"/>
      <c r="F6" s="259"/>
      <c r="H6" s="256"/>
      <c r="I6" s="260"/>
      <c r="J6" s="263"/>
      <c r="K6" s="254"/>
      <c r="M6" s="256"/>
      <c r="O6" s="256"/>
      <c r="P6" s="256"/>
      <c r="Q6" s="256"/>
    </row>
    <row r="7" spans="2:17" s="247" customFormat="1" ht="13.5">
      <c r="B7" s="248"/>
      <c r="C7" s="212" t="str">
        <f>"Local:"&amp;" "&amp;INÍCIO!D7</f>
        <v>Local: CIDADE UNIVERSITÁRIA, PRAIA VERMELHA, UNIDADES EXTERNAS E STA. CRUZ DA SERRA</v>
      </c>
      <c r="D7" s="258"/>
      <c r="E7" s="258"/>
      <c r="F7" s="259"/>
      <c r="H7" s="256"/>
      <c r="I7" s="260"/>
      <c r="J7" s="263"/>
      <c r="K7" s="254"/>
      <c r="M7" s="256"/>
      <c r="O7" s="256"/>
      <c r="P7" s="256"/>
      <c r="Q7" s="256"/>
    </row>
    <row r="8" spans="2:17" s="247" customFormat="1" ht="15.75">
      <c r="B8" s="248"/>
      <c r="C8" s="264"/>
      <c r="D8" s="265"/>
      <c r="E8" s="265"/>
      <c r="F8" s="266"/>
      <c r="H8" s="265"/>
      <c r="I8" s="267"/>
      <c r="J8" s="263"/>
      <c r="K8" s="254"/>
      <c r="M8" s="256"/>
      <c r="O8" s="256"/>
      <c r="P8" s="256"/>
      <c r="Q8" s="256"/>
    </row>
    <row r="9" spans="2:17" s="247" customFormat="1" ht="15.75">
      <c r="B9" s="248"/>
      <c r="C9" s="264"/>
      <c r="D9" s="265"/>
      <c r="E9" s="265"/>
      <c r="F9" s="266"/>
      <c r="H9" s="265"/>
      <c r="I9" s="267"/>
      <c r="J9" s="263"/>
      <c r="K9" s="254"/>
      <c r="M9" s="256"/>
      <c r="O9" s="256"/>
      <c r="P9" s="256"/>
      <c r="Q9" s="256"/>
    </row>
    <row r="10" spans="2:17" s="247" customFormat="1" ht="13.5">
      <c r="B10" s="248"/>
      <c r="C10" s="268" t="s">
        <v>240</v>
      </c>
      <c r="D10" s="265"/>
      <c r="E10" s="265"/>
      <c r="F10" s="266"/>
      <c r="H10" s="265"/>
      <c r="I10" s="267"/>
      <c r="J10" s="263"/>
      <c r="K10" s="254"/>
      <c r="M10" s="256"/>
      <c r="O10" s="256"/>
      <c r="P10" s="256"/>
      <c r="Q10" s="256"/>
    </row>
    <row r="11" spans="2:17" s="247" customFormat="1" ht="13.5">
      <c r="B11" s="248"/>
      <c r="C11" s="269" t="s">
        <v>341</v>
      </c>
      <c r="D11" s="265"/>
      <c r="E11" s="265"/>
      <c r="F11" s="266"/>
      <c r="H11" s="265"/>
      <c r="I11" s="267"/>
      <c r="J11" s="253"/>
      <c r="K11" s="254"/>
      <c r="M11" s="256"/>
      <c r="O11" s="256"/>
      <c r="P11" s="256"/>
      <c r="Q11" s="256"/>
    </row>
    <row r="12" spans="2:17" s="247" customFormat="1" ht="13.5">
      <c r="B12" s="248"/>
      <c r="C12" s="269" t="s">
        <v>342</v>
      </c>
      <c r="D12" s="265"/>
      <c r="E12" s="265"/>
      <c r="F12" s="266"/>
      <c r="H12" s="265"/>
      <c r="I12" s="267"/>
      <c r="J12" s="253"/>
      <c r="K12" s="254"/>
      <c r="M12" s="256"/>
      <c r="O12" s="256"/>
      <c r="P12" s="256"/>
      <c r="Q12" s="256"/>
    </row>
    <row r="13" spans="2:17" s="247" customFormat="1" ht="13.5">
      <c r="B13" s="248"/>
      <c r="C13" s="269" t="s">
        <v>343</v>
      </c>
      <c r="D13" s="265"/>
      <c r="E13" s="265"/>
      <c r="F13" s="266"/>
      <c r="H13" s="265"/>
      <c r="I13" s="267"/>
      <c r="J13" s="253"/>
      <c r="K13" s="254"/>
      <c r="M13" s="256"/>
      <c r="O13" s="256"/>
      <c r="P13" s="256"/>
      <c r="Q13" s="256"/>
    </row>
    <row r="14" spans="2:17" s="247" customFormat="1" ht="13.5">
      <c r="B14" s="248"/>
      <c r="C14" s="269" t="s">
        <v>344</v>
      </c>
      <c r="D14" s="265"/>
      <c r="E14" s="265"/>
      <c r="F14" s="266"/>
      <c r="H14" s="265"/>
      <c r="I14" s="267"/>
      <c r="J14" s="253"/>
      <c r="K14" s="254"/>
      <c r="M14" s="256"/>
      <c r="O14" s="256"/>
      <c r="P14" s="256"/>
      <c r="Q14" s="256"/>
    </row>
    <row r="15" spans="2:17" s="247" customFormat="1" ht="13.5">
      <c r="B15" s="248"/>
      <c r="C15" s="269" t="s">
        <v>241</v>
      </c>
      <c r="D15" s="265"/>
      <c r="E15" s="265"/>
      <c r="F15" s="266"/>
      <c r="H15" s="265"/>
      <c r="I15" s="267"/>
      <c r="J15" s="253"/>
      <c r="K15" s="254"/>
      <c r="M15" s="256"/>
      <c r="O15" s="256"/>
      <c r="P15" s="256"/>
      <c r="Q15" s="256"/>
    </row>
    <row r="16" spans="2:17" s="247" customFormat="1" ht="13.5">
      <c r="B16" s="248"/>
      <c r="C16" s="269" t="s">
        <v>242</v>
      </c>
      <c r="D16" s="265"/>
      <c r="E16" s="265"/>
      <c r="F16" s="266"/>
      <c r="H16" s="265"/>
      <c r="I16" s="267"/>
      <c r="J16" s="253"/>
      <c r="K16" s="254"/>
      <c r="M16" s="256"/>
      <c r="O16" s="256"/>
      <c r="P16" s="256"/>
      <c r="Q16" s="256"/>
    </row>
    <row r="17" spans="2:17" s="247" customFormat="1">
      <c r="B17" s="248"/>
      <c r="D17" s="270"/>
      <c r="E17" s="270"/>
      <c r="F17" s="271"/>
      <c r="H17" s="272"/>
      <c r="I17" s="273"/>
      <c r="M17" s="256"/>
      <c r="O17" s="256"/>
      <c r="P17" s="256"/>
      <c r="Q17" s="256"/>
    </row>
    <row r="18" spans="2:17" s="247" customFormat="1">
      <c r="B18" s="248"/>
      <c r="D18" s="270"/>
      <c r="E18" s="270"/>
      <c r="F18" s="271"/>
      <c r="H18" s="272"/>
      <c r="I18" s="273"/>
      <c r="M18" s="256"/>
      <c r="O18" s="256"/>
      <c r="P18" s="256"/>
      <c r="Q18" s="256"/>
    </row>
    <row r="19" spans="2:17" s="247" customFormat="1">
      <c r="B19" s="248"/>
      <c r="D19" s="270"/>
      <c r="E19" s="270"/>
      <c r="F19" s="271"/>
      <c r="H19" s="272"/>
      <c r="I19" s="273"/>
      <c r="M19" s="256"/>
      <c r="O19" s="256"/>
      <c r="P19" s="256"/>
      <c r="Q19" s="256"/>
    </row>
    <row r="20" spans="2:17" s="247" customFormat="1">
      <c r="B20" s="248"/>
      <c r="D20" s="270"/>
      <c r="E20" s="270"/>
      <c r="F20" s="271"/>
      <c r="G20" s="274"/>
      <c r="H20" s="272"/>
      <c r="I20" s="273"/>
      <c r="M20" s="256"/>
      <c r="O20" s="256"/>
      <c r="P20" s="256"/>
      <c r="Q20" s="256"/>
    </row>
    <row r="21" spans="2:17" s="247" customFormat="1">
      <c r="B21" s="248"/>
      <c r="D21" s="270"/>
      <c r="E21" s="270"/>
      <c r="F21" s="271"/>
      <c r="G21" s="274"/>
      <c r="H21" s="272"/>
      <c r="I21" s="273"/>
      <c r="M21" s="256"/>
      <c r="O21" s="256"/>
      <c r="P21" s="256"/>
      <c r="Q21" s="256"/>
    </row>
    <row r="22" spans="2:17" s="247" customFormat="1">
      <c r="B22" s="248"/>
      <c r="D22" s="270"/>
      <c r="E22" s="270"/>
      <c r="F22" s="271"/>
      <c r="G22" s="274"/>
      <c r="H22" s="272"/>
      <c r="I22" s="273"/>
      <c r="M22" s="256"/>
      <c r="O22" s="256"/>
      <c r="P22" s="256"/>
      <c r="Q22" s="256"/>
    </row>
    <row r="23" spans="2:17" s="247" customFormat="1">
      <c r="B23" s="248"/>
      <c r="D23" s="270"/>
      <c r="E23" s="270"/>
      <c r="F23" s="271"/>
      <c r="G23" s="274"/>
      <c r="H23" s="272"/>
      <c r="I23" s="273"/>
      <c r="M23" s="256"/>
      <c r="O23" s="256"/>
      <c r="P23" s="256"/>
      <c r="Q23" s="256"/>
    </row>
    <row r="24" spans="2:17" s="247" customFormat="1">
      <c r="B24" s="248"/>
      <c r="D24" s="270"/>
      <c r="E24" s="270"/>
      <c r="F24" s="271"/>
      <c r="G24" s="274"/>
      <c r="H24" s="272"/>
      <c r="I24" s="273"/>
      <c r="M24" s="256"/>
      <c r="O24" s="256"/>
      <c r="P24" s="256"/>
      <c r="Q24" s="256"/>
    </row>
    <row r="25" spans="2:17" s="247" customFormat="1">
      <c r="B25" s="248"/>
      <c r="D25" s="270"/>
      <c r="E25" s="270"/>
      <c r="F25" s="271"/>
      <c r="G25" s="274"/>
      <c r="H25" s="272"/>
      <c r="I25" s="273"/>
      <c r="M25" s="256"/>
      <c r="O25" s="256"/>
      <c r="P25" s="256"/>
      <c r="Q25" s="256"/>
    </row>
    <row r="26" spans="2:17" s="247" customFormat="1">
      <c r="B26" s="248"/>
      <c r="D26" s="270"/>
      <c r="E26" s="270"/>
      <c r="F26" s="271"/>
      <c r="G26" s="274"/>
      <c r="H26" s="272"/>
      <c r="I26" s="273"/>
      <c r="M26" s="256"/>
      <c r="O26" s="256"/>
      <c r="P26" s="256"/>
      <c r="Q26" s="256"/>
    </row>
    <row r="27" spans="2:17" s="247" customFormat="1">
      <c r="B27" s="248"/>
      <c r="D27" s="270"/>
      <c r="E27" s="270"/>
      <c r="F27" s="271"/>
      <c r="G27" s="274"/>
      <c r="H27" s="272"/>
      <c r="I27" s="273"/>
      <c r="M27" s="256"/>
      <c r="O27" s="256"/>
      <c r="P27" s="256"/>
      <c r="Q27" s="256"/>
    </row>
    <row r="28" spans="2:17" s="247" customFormat="1">
      <c r="B28" s="248"/>
      <c r="D28" s="270"/>
      <c r="E28" s="270"/>
      <c r="F28" s="271"/>
      <c r="G28" s="274"/>
      <c r="H28" s="272"/>
      <c r="I28" s="273"/>
      <c r="M28" s="256"/>
      <c r="O28" s="256"/>
      <c r="P28" s="256"/>
      <c r="Q28" s="256"/>
    </row>
    <row r="29" spans="2:17" s="247" customFormat="1">
      <c r="B29" s="248"/>
      <c r="D29" s="270"/>
      <c r="E29" s="270"/>
      <c r="F29" s="271"/>
      <c r="G29" s="274"/>
      <c r="H29" s="272"/>
      <c r="I29" s="273"/>
      <c r="M29" s="256"/>
      <c r="O29" s="256"/>
      <c r="P29" s="256"/>
      <c r="Q29" s="256"/>
    </row>
    <row r="30" spans="2:17" s="247" customFormat="1">
      <c r="B30" s="248"/>
      <c r="D30" s="270"/>
      <c r="E30" s="270"/>
      <c r="F30" s="271"/>
      <c r="G30" s="274"/>
      <c r="H30" s="272"/>
      <c r="I30" s="273"/>
      <c r="M30" s="256"/>
      <c r="O30" s="256"/>
      <c r="P30" s="256"/>
      <c r="Q30" s="256"/>
    </row>
    <row r="31" spans="2:17" s="247" customFormat="1">
      <c r="B31" s="248"/>
      <c r="D31" s="270"/>
      <c r="E31" s="270"/>
      <c r="F31" s="271"/>
      <c r="G31" s="274"/>
      <c r="H31" s="272"/>
      <c r="I31" s="273"/>
      <c r="M31" s="256"/>
      <c r="O31" s="256"/>
      <c r="P31" s="256"/>
      <c r="Q31" s="256"/>
    </row>
    <row r="32" spans="2:17" s="247" customFormat="1">
      <c r="B32" s="248"/>
      <c r="D32" s="270"/>
      <c r="E32" s="270"/>
      <c r="F32" s="271"/>
      <c r="G32" s="274"/>
      <c r="H32" s="272"/>
      <c r="I32" s="273"/>
      <c r="M32" s="256"/>
      <c r="O32" s="256"/>
      <c r="P32" s="256"/>
      <c r="Q32" s="256"/>
    </row>
    <row r="33" spans="2:17" s="247" customFormat="1">
      <c r="B33" s="248"/>
      <c r="C33" s="275"/>
      <c r="D33" s="270"/>
      <c r="E33" s="270"/>
      <c r="F33" s="271"/>
      <c r="G33" s="274"/>
      <c r="H33" s="272"/>
      <c r="I33" s="273"/>
      <c r="M33" s="256"/>
      <c r="O33" s="256"/>
      <c r="P33" s="256"/>
      <c r="Q33" s="256"/>
    </row>
    <row r="34" spans="2:17" s="247" customFormat="1">
      <c r="B34" s="248"/>
      <c r="C34" s="275"/>
      <c r="D34" s="270"/>
      <c r="E34" s="270"/>
      <c r="F34" s="271"/>
      <c r="G34" s="274"/>
      <c r="H34" s="272"/>
      <c r="I34" s="273"/>
      <c r="M34" s="256"/>
      <c r="O34" s="256"/>
      <c r="P34" s="256"/>
      <c r="Q34" s="256"/>
    </row>
    <row r="35" spans="2:17" s="247" customFormat="1">
      <c r="B35" s="248"/>
      <c r="C35" s="275"/>
      <c r="D35" s="270"/>
      <c r="E35" s="270"/>
      <c r="F35" s="271"/>
      <c r="G35" s="274"/>
      <c r="H35" s="272"/>
      <c r="I35" s="273"/>
      <c r="M35" s="256"/>
      <c r="O35" s="256"/>
      <c r="P35" s="256"/>
      <c r="Q35" s="256"/>
    </row>
    <row r="36" spans="2:17" s="247" customFormat="1">
      <c r="B36" s="248"/>
      <c r="C36" s="275"/>
      <c r="D36" s="270"/>
      <c r="E36" s="270"/>
      <c r="F36" s="271"/>
      <c r="G36" s="274"/>
      <c r="H36" s="272"/>
      <c r="I36" s="273"/>
      <c r="M36" s="256"/>
      <c r="O36" s="256"/>
      <c r="P36" s="256"/>
      <c r="Q36" s="256"/>
    </row>
    <row r="37" spans="2:17" s="247" customFormat="1">
      <c r="B37" s="248"/>
      <c r="C37" s="275"/>
      <c r="D37" s="270"/>
      <c r="E37" s="270"/>
      <c r="F37" s="271"/>
      <c r="G37" s="274"/>
      <c r="H37" s="272"/>
      <c r="I37" s="273"/>
      <c r="M37" s="256"/>
      <c r="O37" s="256"/>
      <c r="P37" s="256"/>
      <c r="Q37" s="256"/>
    </row>
    <row r="38" spans="2:17">
      <c r="E38" s="127"/>
      <c r="F38" s="127"/>
      <c r="G38" s="240"/>
      <c r="H38" s="202"/>
      <c r="I38" s="191"/>
      <c r="J38" s="175"/>
      <c r="K38" s="175"/>
      <c r="M38" s="179"/>
    </row>
    <row r="39" spans="2:17">
      <c r="E39" s="127"/>
      <c r="F39" s="127"/>
      <c r="G39" s="240"/>
      <c r="H39" s="202"/>
      <c r="I39" s="191"/>
      <c r="J39" s="175"/>
      <c r="K39" s="175"/>
      <c r="M39" s="179"/>
    </row>
    <row r="40" spans="2:17">
      <c r="E40" s="127"/>
      <c r="F40" s="127"/>
      <c r="G40" s="240"/>
      <c r="H40" s="202"/>
      <c r="I40" s="191"/>
      <c r="J40" s="175"/>
      <c r="K40" s="175"/>
      <c r="M40" s="179"/>
    </row>
    <row r="41" spans="2:17">
      <c r="E41" s="127"/>
      <c r="F41" s="127"/>
      <c r="G41" s="240"/>
      <c r="H41" s="202"/>
      <c r="I41" s="191"/>
      <c r="J41" s="175"/>
      <c r="K41" s="175"/>
      <c r="M41" s="179"/>
    </row>
    <row r="42" spans="2:17">
      <c r="E42" s="127"/>
      <c r="F42" s="127"/>
      <c r="G42" s="240"/>
      <c r="H42" s="202"/>
      <c r="I42" s="191"/>
      <c r="J42" s="175"/>
      <c r="K42" s="175"/>
      <c r="M42" s="179"/>
    </row>
    <row r="43" spans="2:17">
      <c r="B43" s="175"/>
      <c r="E43" s="127"/>
      <c r="F43" s="127"/>
      <c r="G43" s="240"/>
      <c r="H43" s="202"/>
      <c r="I43" s="191"/>
      <c r="J43" s="175"/>
      <c r="K43" s="175"/>
      <c r="M43" s="179"/>
    </row>
    <row r="44" spans="2:17" ht="11.25" customHeight="1">
      <c r="B44" s="515" t="s">
        <v>317</v>
      </c>
      <c r="C44" s="514"/>
      <c r="D44" s="514"/>
      <c r="E44" s="175"/>
      <c r="F44" s="175"/>
      <c r="G44" s="175"/>
      <c r="H44" s="202"/>
      <c r="I44" s="191"/>
      <c r="J44" s="175"/>
      <c r="K44" s="175"/>
      <c r="M44" s="179"/>
    </row>
    <row r="45" spans="2:17">
      <c r="B45" s="179" t="s">
        <v>314</v>
      </c>
      <c r="C45" s="179" t="s">
        <v>312</v>
      </c>
      <c r="D45" s="127" t="s">
        <v>316</v>
      </c>
      <c r="E45" s="179" t="s">
        <v>318</v>
      </c>
      <c r="F45" s="175" t="s">
        <v>319</v>
      </c>
      <c r="G45" s="516" t="s">
        <v>311</v>
      </c>
      <c r="H45" s="202"/>
      <c r="I45" s="191"/>
      <c r="J45" s="175"/>
      <c r="K45" s="175"/>
      <c r="M45" s="179"/>
    </row>
    <row r="46" spans="2:17">
      <c r="B46" s="174" t="s">
        <v>313</v>
      </c>
      <c r="C46" s="179">
        <v>230</v>
      </c>
      <c r="D46" s="127">
        <v>360</v>
      </c>
      <c r="E46" s="179">
        <f>(65.3+71.6+68.3)/3</f>
        <v>68.399999999999991</v>
      </c>
      <c r="F46" s="521">
        <v>0.69617833338368695</v>
      </c>
      <c r="G46" s="517">
        <f>C46*F46</f>
        <v>160.121016678248</v>
      </c>
      <c r="H46" s="202"/>
      <c r="I46" s="191"/>
      <c r="J46" s="175"/>
      <c r="K46" s="175"/>
      <c r="L46" s="674"/>
      <c r="M46" s="521"/>
      <c r="N46" s="517"/>
    </row>
    <row r="47" spans="2:17">
      <c r="B47" s="174" t="s">
        <v>315</v>
      </c>
      <c r="C47" s="179">
        <v>1300</v>
      </c>
      <c r="E47" s="175"/>
      <c r="F47" s="521">
        <v>0.69944553846153801</v>
      </c>
      <c r="G47" s="517">
        <f>C47*F47</f>
        <v>909.27919999999938</v>
      </c>
      <c r="H47" s="202"/>
      <c r="I47" s="191"/>
      <c r="J47" s="175"/>
      <c r="K47" s="175"/>
      <c r="L47" s="674"/>
      <c r="M47" s="521"/>
      <c r="N47" s="517"/>
    </row>
    <row r="48" spans="2:17">
      <c r="E48" s="127"/>
      <c r="F48" s="127"/>
      <c r="G48" s="240"/>
      <c r="H48" s="202"/>
      <c r="I48" s="191"/>
      <c r="J48" s="175"/>
      <c r="K48" s="175"/>
      <c r="M48" s="179"/>
    </row>
    <row r="49" spans="2:16" s="188" customFormat="1" ht="16.5">
      <c r="B49" s="795" t="s">
        <v>218</v>
      </c>
      <c r="C49" s="795"/>
      <c r="D49" s="795"/>
      <c r="E49" s="795"/>
      <c r="F49" s="795"/>
      <c r="G49" s="795"/>
      <c r="H49" s="795"/>
      <c r="I49" s="795"/>
      <c r="J49" s="795"/>
      <c r="K49" s="795"/>
      <c r="L49" s="282"/>
      <c r="M49" s="668"/>
      <c r="O49" s="280"/>
      <c r="P49" s="226"/>
    </row>
    <row r="50" spans="2:16" s="127" customFormat="1" ht="22.5">
      <c r="B50" s="176" t="s">
        <v>217</v>
      </c>
      <c r="C50" s="176" t="s">
        <v>232</v>
      </c>
      <c r="D50" s="176" t="s">
        <v>4</v>
      </c>
      <c r="E50" s="177" t="s">
        <v>5</v>
      </c>
      <c r="F50" s="229" t="s">
        <v>6</v>
      </c>
      <c r="G50" s="178" t="s">
        <v>7</v>
      </c>
      <c r="H50" s="186" t="s">
        <v>8</v>
      </c>
      <c r="I50" s="204" t="s">
        <v>9</v>
      </c>
      <c r="J50" s="186" t="s">
        <v>228</v>
      </c>
      <c r="K50" s="201" t="s">
        <v>224</v>
      </c>
      <c r="M50" s="670" t="s">
        <v>269</v>
      </c>
      <c r="N50" s="675" t="s">
        <v>301</v>
      </c>
      <c r="O50" s="226"/>
    </row>
    <row r="51" spans="2:16">
      <c r="B51" s="179">
        <v>1</v>
      </c>
      <c r="C51" s="179" t="str">
        <f>IF(B51="C",COUNTIF($B$51:B51,"C")+COUNTIF($B$51:B51,"P")+COUNTIF($B$51:B51,"I"),IF(B51="P",COUNTIF($B$51:B51,"C")+COUNTIF($B$51:B51,"P")+COUNTIF($B$51:B51,"I"),IF(B51="I",COUNTIF($B$51:B51,"C")+COUNTIF($B$51:B51,"P")+COUNTIF($B$51:B51,"I"),"")))</f>
        <v/>
      </c>
      <c r="D51" s="127">
        <v>1</v>
      </c>
      <c r="E51" s="11" t="s">
        <v>305</v>
      </c>
      <c r="G51" s="239"/>
      <c r="I51" s="228"/>
      <c r="L51" s="227"/>
      <c r="M51" s="667"/>
      <c r="N51" s="179"/>
    </row>
    <row r="52" spans="2:16" ht="12" thickBot="1">
      <c r="B52" s="179" t="s">
        <v>275</v>
      </c>
      <c r="C52" s="179" t="s">
        <v>347</v>
      </c>
      <c r="D52" s="127" t="s">
        <v>347</v>
      </c>
      <c r="E52" s="11" t="s">
        <v>15</v>
      </c>
      <c r="F52" s="199" t="s">
        <v>235</v>
      </c>
      <c r="G52" s="239" t="s">
        <v>236</v>
      </c>
      <c r="H52" s="179" t="s">
        <v>301</v>
      </c>
      <c r="I52" s="187">
        <f>J52</f>
        <v>0</v>
      </c>
      <c r="J52" s="187">
        <v>0</v>
      </c>
      <c r="K52" s="200" t="s">
        <v>348</v>
      </c>
      <c r="L52" s="227"/>
      <c r="M52" s="667"/>
      <c r="N52" s="179"/>
    </row>
    <row r="53" spans="2:16" ht="33.75">
      <c r="B53" s="179" t="s">
        <v>263</v>
      </c>
      <c r="C53" s="179">
        <v>6</v>
      </c>
      <c r="D53" s="127" t="str">
        <f>$D$51&amp;"."&amp;COUNTIF($B$53:B53,"C")+COUNTIF($B$53:B53,"P")+COUNTIF($B$53:B53,"I")+COUNTIF($B$53:B53,"M")+COUNTIF($B$53:B53,"T")</f>
        <v>1.1</v>
      </c>
      <c r="E53" s="645" t="s">
        <v>258</v>
      </c>
      <c r="F53" s="199" t="s">
        <v>346</v>
      </c>
      <c r="G53" s="239" t="s">
        <v>345</v>
      </c>
      <c r="H53" s="179" t="s">
        <v>269</v>
      </c>
      <c r="I53" s="187">
        <f>J53</f>
        <v>386.44365999999974</v>
      </c>
      <c r="J53" s="187">
        <f>((300+125)*$G$47)/1000</f>
        <v>386.44365999999974</v>
      </c>
      <c r="K53" s="200" t="s">
        <v>272</v>
      </c>
      <c r="L53" s="227"/>
      <c r="M53" s="671">
        <f>J53</f>
        <v>386.44365999999974</v>
      </c>
      <c r="N53" s="676">
        <f>M53/G47*1000</f>
        <v>425</v>
      </c>
    </row>
    <row r="54" spans="2:16" ht="22.5">
      <c r="B54" s="180" t="s">
        <v>269</v>
      </c>
      <c r="C54" s="179">
        <v>7</v>
      </c>
      <c r="D54" s="127" t="str">
        <f>$D$51&amp;"."&amp;COUNTIF($B$53:B54,"C")+COUNTIF($B$53:B54,"P")+COUNTIF($B$53:B54,"I")+COUNTIF($B$53:B54,"M")+COUNTIF($B$53:B54,"T")</f>
        <v>1.2</v>
      </c>
      <c r="E54" s="490" t="s">
        <v>300</v>
      </c>
      <c r="F54" s="490" t="s">
        <v>300</v>
      </c>
      <c r="G54" s="239" t="s">
        <v>303</v>
      </c>
      <c r="H54" s="179" t="s">
        <v>269</v>
      </c>
      <c r="I54" s="187">
        <f>J54</f>
        <v>386.44365999999974</v>
      </c>
      <c r="J54" s="187">
        <f>J53</f>
        <v>386.44365999999974</v>
      </c>
      <c r="K54" s="200" t="s">
        <v>310</v>
      </c>
      <c r="L54" s="227"/>
      <c r="M54" s="680">
        <f>J61</f>
        <v>18.185583999999988</v>
      </c>
      <c r="N54" s="681">
        <f>M54/G47*1000</f>
        <v>20</v>
      </c>
    </row>
    <row r="55" spans="2:16" ht="12" thickBot="1">
      <c r="B55" s="180" t="s">
        <v>13</v>
      </c>
      <c r="E55" s="490"/>
      <c r="F55" s="490"/>
      <c r="G55" s="239"/>
      <c r="L55" s="227"/>
      <c r="M55" s="672">
        <f>SUM(M53:M54)</f>
        <v>404.62924399999974</v>
      </c>
      <c r="N55" s="677">
        <f>SUM(N53:N54)</f>
        <v>445</v>
      </c>
    </row>
    <row r="56" spans="2:16" ht="12" thickBot="1">
      <c r="B56" s="180" t="s">
        <v>12</v>
      </c>
      <c r="E56" s="490"/>
      <c r="F56" s="490"/>
      <c r="G56" s="239"/>
      <c r="L56" s="227"/>
      <c r="M56" s="667"/>
      <c r="N56" s="179"/>
    </row>
    <row r="57" spans="2:16" ht="12" thickBot="1">
      <c r="B57" s="179">
        <v>1</v>
      </c>
      <c r="C57" s="179" t="str">
        <f>IF(B57="C",COUNTIF($B$51:B57,"C")+COUNTIF($B$51:B57,"P")+COUNTIF($B$51:B57,"I"),IF(B57="P",COUNTIF($B$51:B57,"C")+COUNTIF($B$51:B57,"P")+COUNTIF($B$51:B57,"I"),IF(B57="I",COUNTIF($B$51:B57,"C")+COUNTIF($B$51:B57,"P")+COUNTIF($B$51:B57,"I"),"")))</f>
        <v/>
      </c>
      <c r="D57" s="127">
        <v>2</v>
      </c>
      <c r="E57" s="11" t="s">
        <v>304</v>
      </c>
      <c r="G57" s="239"/>
      <c r="I57" s="228"/>
      <c r="L57" s="227"/>
      <c r="M57" s="673" t="e">
        <f>SUM(#REF!,M55)</f>
        <v>#REF!</v>
      </c>
      <c r="N57" s="678" t="e">
        <f>SUM(#REF!,N55)</f>
        <v>#REF!</v>
      </c>
    </row>
    <row r="58" spans="2:16" ht="33.75">
      <c r="B58" s="179" t="s">
        <v>263</v>
      </c>
      <c r="C58" s="179">
        <v>8</v>
      </c>
      <c r="D58" s="127" t="str">
        <f>$D$57&amp;"."&amp;COUNTIF($B$58:B58,"C")+COUNTIF($B$58:B58,"P")+COUNTIF($B$58:B58,"I")+COUNTIF($B$58:B58,"M")+COUNTIF($B$58:B58,"T")</f>
        <v>2.1</v>
      </c>
      <c r="E58" s="490" t="s">
        <v>258</v>
      </c>
      <c r="F58" s="286" t="s">
        <v>392</v>
      </c>
      <c r="G58" s="239" t="s">
        <v>250</v>
      </c>
      <c r="H58" s="179" t="s">
        <v>269</v>
      </c>
      <c r="I58" s="187">
        <f>J58</f>
        <v>20.047151288116648</v>
      </c>
      <c r="J58" s="187">
        <f>(125.2*G46)/1000</f>
        <v>20.047151288116648</v>
      </c>
      <c r="K58" s="200" t="s">
        <v>309</v>
      </c>
      <c r="L58" s="227" t="s">
        <v>308</v>
      </c>
      <c r="M58" s="667"/>
      <c r="N58" s="179"/>
    </row>
    <row r="59" spans="2:16" ht="22.5">
      <c r="B59" s="179" t="s">
        <v>264</v>
      </c>
      <c r="C59" s="179">
        <v>9</v>
      </c>
      <c r="D59" s="127" t="str">
        <f>$D$57&amp;"."&amp;COUNTIF($B$58:B59,"C")+COUNTIF($B$58:B59,"P")+COUNTIF($B$58:B59,"I")+COUNTIF($B$58:B59,"M")+COUNTIF($B$58:B59,"T")</f>
        <v>2.2</v>
      </c>
      <c r="E59" s="490" t="s">
        <v>258</v>
      </c>
      <c r="F59" s="490" t="s">
        <v>262</v>
      </c>
      <c r="G59" s="239" t="s">
        <v>298</v>
      </c>
      <c r="H59" s="179" t="s">
        <v>261</v>
      </c>
      <c r="I59" s="187">
        <f t="shared" ref="I59:I62" si="0">J59</f>
        <v>4</v>
      </c>
      <c r="J59" s="187">
        <v>4</v>
      </c>
      <c r="K59" s="200" t="s">
        <v>270</v>
      </c>
      <c r="L59" s="227"/>
      <c r="M59" s="666" t="e">
        <f>#REF!-M57</f>
        <v>#REF!</v>
      </c>
      <c r="N59" s="666" t="e">
        <f>#REF!-N57</f>
        <v>#REF!</v>
      </c>
    </row>
    <row r="60" spans="2:16" ht="22.5">
      <c r="B60" s="179" t="s">
        <v>269</v>
      </c>
      <c r="C60" s="179">
        <v>10</v>
      </c>
      <c r="D60" s="127" t="str">
        <f>$D$57&amp;"."&amp;COUNTIF($B$58:B60,"C")+COUNTIF($B$58:B60,"P")+COUNTIF($B$58:B60,"I")+COUNTIF($B$58:B60,"M")+COUNTIF($B$58:B60,"T")</f>
        <v>2.3</v>
      </c>
      <c r="E60" s="490" t="s">
        <v>300</v>
      </c>
      <c r="F60" s="490" t="s">
        <v>300</v>
      </c>
      <c r="G60" s="239" t="s">
        <v>302</v>
      </c>
      <c r="H60" s="179" t="s">
        <v>269</v>
      </c>
      <c r="I60" s="187">
        <f t="shared" si="0"/>
        <v>20.047151288116648</v>
      </c>
      <c r="J60" s="187">
        <f>J58</f>
        <v>20.047151288116648</v>
      </c>
      <c r="K60" s="200" t="s">
        <v>271</v>
      </c>
      <c r="L60" s="227"/>
      <c r="M60" s="667"/>
      <c r="N60" s="179"/>
    </row>
    <row r="61" spans="2:16" ht="33.75">
      <c r="B61" s="179" t="s">
        <v>263</v>
      </c>
      <c r="C61" s="179">
        <v>11</v>
      </c>
      <c r="D61" s="127" t="str">
        <f>$D$57&amp;"."&amp;COUNTIF($B$58:B61,"C")+COUNTIF($B$58:B61,"P")+COUNTIF($B$58:B61,"I")+COUNTIF($B$58:B61,"M")+COUNTIF($B$58:B61,"T")</f>
        <v>2.4</v>
      </c>
      <c r="E61" s="645" t="s">
        <v>258</v>
      </c>
      <c r="F61" s="199" t="s">
        <v>346</v>
      </c>
      <c r="G61" s="239" t="s">
        <v>345</v>
      </c>
      <c r="H61" s="179" t="s">
        <v>269</v>
      </c>
      <c r="I61" s="187">
        <f t="shared" si="0"/>
        <v>18.185583999999988</v>
      </c>
      <c r="J61" s="187">
        <f>(20*$G$47)/1000</f>
        <v>18.185583999999988</v>
      </c>
      <c r="K61" s="200" t="s">
        <v>272</v>
      </c>
      <c r="L61" s="227"/>
      <c r="M61" s="667"/>
      <c r="N61" s="179"/>
    </row>
    <row r="62" spans="2:16" ht="22.5">
      <c r="B62" s="180" t="s">
        <v>269</v>
      </c>
      <c r="C62" s="179">
        <v>12</v>
      </c>
      <c r="D62" s="127" t="str">
        <f>$D$57&amp;"."&amp;COUNTIF($B$58:B62,"C")+COUNTIF($B$58:B62,"P")+COUNTIF($B$58:B62,"I")+COUNTIF($B$58:B62,"M")+COUNTIF($B$58:B62,"T")</f>
        <v>2.5</v>
      </c>
      <c r="E62" s="490" t="s">
        <v>300</v>
      </c>
      <c r="F62" s="490" t="s">
        <v>300</v>
      </c>
      <c r="G62" s="239" t="s">
        <v>303</v>
      </c>
      <c r="H62" s="179" t="s">
        <v>269</v>
      </c>
      <c r="I62" s="187">
        <f t="shared" si="0"/>
        <v>18.185583999999988</v>
      </c>
      <c r="J62" s="187">
        <f>J61</f>
        <v>18.185583999999988</v>
      </c>
      <c r="K62" s="200" t="s">
        <v>310</v>
      </c>
      <c r="L62" s="227"/>
      <c r="M62" s="667"/>
      <c r="N62" s="179"/>
    </row>
    <row r="63" spans="2:16">
      <c r="B63" s="180" t="s">
        <v>13</v>
      </c>
      <c r="D63" s="179"/>
      <c r="E63" s="11"/>
      <c r="G63" s="239"/>
      <c r="I63" s="228"/>
      <c r="L63" s="227"/>
      <c r="M63" s="667"/>
    </row>
    <row r="64" spans="2:16">
      <c r="B64" s="180" t="s">
        <v>12</v>
      </c>
      <c r="D64" s="179"/>
      <c r="E64" s="11"/>
      <c r="G64" s="239"/>
      <c r="I64" s="228"/>
      <c r="L64" s="227"/>
      <c r="M64" s="667"/>
    </row>
    <row r="65" spans="2:15">
      <c r="B65" s="179" t="s">
        <v>12</v>
      </c>
      <c r="E65" s="206"/>
      <c r="F65" s="19"/>
      <c r="G65" s="202"/>
      <c r="J65" s="187"/>
      <c r="L65" s="277"/>
      <c r="M65" s="669"/>
      <c r="N65" s="666"/>
    </row>
    <row r="66" spans="2:15">
      <c r="B66" s="179" t="s">
        <v>233</v>
      </c>
      <c r="E66" s="206"/>
      <c r="F66" s="19"/>
      <c r="G66" s="202"/>
      <c r="J66" s="187"/>
    </row>
    <row r="67" spans="2:15">
      <c r="B67" s="175"/>
      <c r="C67" s="179" t="str">
        <f>IF(B66=1,"",IF(B66=2,"",IF(B66="+","",IF(B66="++","",IF(B66="*","",IF(B66="C",COUNTIF($B$51:B66,"C")))))))</f>
        <v/>
      </c>
      <c r="E67" s="206"/>
      <c r="F67" s="19"/>
      <c r="G67" s="202"/>
      <c r="H67" s="191"/>
      <c r="J67" s="187"/>
      <c r="N67" s="503"/>
    </row>
    <row r="68" spans="2:15">
      <c r="E68" s="206"/>
      <c r="F68" s="19"/>
      <c r="G68" s="202"/>
      <c r="H68" s="191"/>
      <c r="J68" s="187"/>
      <c r="K68" s="191"/>
      <c r="L68" s="667"/>
      <c r="M68" s="187"/>
      <c r="N68" s="187"/>
      <c r="O68" s="679"/>
    </row>
    <row r="69" spans="2:15">
      <c r="E69" s="206"/>
      <c r="F69" s="19"/>
      <c r="G69" s="202"/>
      <c r="H69" s="175"/>
      <c r="I69" s="175"/>
      <c r="J69" s="175"/>
      <c r="K69" s="191"/>
      <c r="L69" s="667"/>
      <c r="M69" s="187"/>
      <c r="N69" s="187"/>
      <c r="O69" s="679"/>
    </row>
    <row r="70" spans="2:15">
      <c r="E70" s="206"/>
      <c r="F70" s="19"/>
      <c r="G70" s="202"/>
      <c r="H70" s="175"/>
      <c r="I70" s="175"/>
      <c r="J70" s="175"/>
      <c r="K70" s="191"/>
      <c r="L70" s="667"/>
      <c r="M70" s="187"/>
      <c r="N70" s="187"/>
      <c r="O70" s="679"/>
    </row>
    <row r="71" spans="2:15">
      <c r="E71" s="206"/>
      <c r="F71" s="19"/>
      <c r="G71" s="202"/>
      <c r="H71" s="175"/>
      <c r="I71" s="175"/>
      <c r="J71" s="175"/>
      <c r="K71" s="191"/>
      <c r="L71" s="667"/>
      <c r="M71" s="187"/>
      <c r="N71" s="276"/>
      <c r="O71" s="679"/>
    </row>
    <row r="72" spans="2:15">
      <c r="E72" s="206"/>
      <c r="F72" s="19"/>
      <c r="G72" s="202"/>
      <c r="H72" s="175"/>
      <c r="I72" s="175"/>
      <c r="J72" s="175"/>
      <c r="K72" s="191"/>
      <c r="L72" s="667"/>
      <c r="M72" s="187"/>
      <c r="N72" s="276"/>
      <c r="O72" s="679"/>
    </row>
    <row r="73" spans="2:15">
      <c r="E73" s="205"/>
      <c r="F73" s="19"/>
      <c r="G73" s="181"/>
      <c r="H73" s="175"/>
      <c r="I73" s="175"/>
      <c r="J73" s="175"/>
      <c r="K73" s="175"/>
    </row>
    <row r="74" spans="2:15">
      <c r="E74" s="205"/>
      <c r="F74" s="19"/>
      <c r="G74" s="181"/>
      <c r="H74" s="191"/>
      <c r="J74" s="187"/>
    </row>
    <row r="75" spans="2:15">
      <c r="E75" s="205"/>
      <c r="H75" s="174"/>
    </row>
    <row r="76" spans="2:15">
      <c r="B76" s="180"/>
      <c r="C76" s="180"/>
      <c r="E76" s="205"/>
      <c r="H76" s="174"/>
    </row>
    <row r="77" spans="2:15">
      <c r="E77" s="206"/>
      <c r="G77" s="181"/>
      <c r="H77" s="191"/>
      <c r="J77" s="195"/>
    </row>
    <row r="78" spans="2:15">
      <c r="E78" s="206"/>
      <c r="F78" s="19"/>
      <c r="G78" s="181"/>
      <c r="H78" s="191"/>
      <c r="J78" s="195"/>
    </row>
    <row r="79" spans="2:15">
      <c r="E79" s="206"/>
      <c r="F79" s="145"/>
      <c r="G79" s="181"/>
      <c r="H79" s="191"/>
      <c r="J79" s="195"/>
    </row>
    <row r="80" spans="2:15">
      <c r="E80" s="206"/>
      <c r="F80" s="145"/>
      <c r="G80" s="181"/>
      <c r="H80" s="191"/>
      <c r="J80" s="195"/>
    </row>
    <row r="81" spans="2:10">
      <c r="E81" s="206"/>
      <c r="F81" s="145"/>
      <c r="G81" s="181"/>
      <c r="H81" s="191"/>
      <c r="J81" s="195"/>
    </row>
    <row r="82" spans="2:10">
      <c r="E82" s="206"/>
      <c r="F82" s="145"/>
      <c r="G82" s="181"/>
      <c r="H82" s="191"/>
      <c r="J82" s="195"/>
    </row>
    <row r="83" spans="2:10">
      <c r="E83" s="206"/>
      <c r="F83" s="231"/>
      <c r="G83" s="181"/>
      <c r="H83" s="191"/>
      <c r="J83" s="187"/>
    </row>
    <row r="84" spans="2:10">
      <c r="E84" s="205"/>
      <c r="G84" s="181"/>
      <c r="H84" s="181"/>
    </row>
    <row r="85" spans="2:10">
      <c r="B85" s="180"/>
      <c r="C85" s="180"/>
      <c r="E85" s="233"/>
      <c r="H85" s="174"/>
    </row>
    <row r="86" spans="2:10">
      <c r="E86" s="234"/>
      <c r="F86" s="232"/>
      <c r="H86" s="191"/>
      <c r="J86" s="195"/>
    </row>
    <row r="87" spans="2:10">
      <c r="E87" s="205"/>
      <c r="H87" s="174"/>
    </row>
    <row r="88" spans="2:10">
      <c r="B88" s="180"/>
      <c r="C88" s="180"/>
      <c r="H88" s="174"/>
    </row>
    <row r="89" spans="2:10">
      <c r="E89" s="11"/>
      <c r="H89" s="174"/>
    </row>
    <row r="90" spans="2:10">
      <c r="B90" s="180"/>
      <c r="C90" s="180"/>
    </row>
  </sheetData>
  <autoFilter ref="B50:K90"/>
  <mergeCells count="2">
    <mergeCell ref="B49:K49"/>
    <mergeCell ref="H4:J4"/>
  </mergeCells>
  <pageMargins left="0.51181102362204722" right="0.51181102362204722" top="0.78740157480314965" bottom="0.78740157480314965" header="0.31496062992125984" footer="0.31496062992125984"/>
  <pageSetup paperSize="9" scale="83" orientation="landscape" r:id="rId1"/>
  <colBreaks count="1" manualBreakCount="1">
    <brk id="11"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dimension ref="B1:N80"/>
  <sheetViews>
    <sheetView tabSelected="1" view="pageBreakPreview" zoomScaleSheetLayoutView="100" workbookViewId="0">
      <selection activeCell="D14" sqref="D14"/>
    </sheetView>
  </sheetViews>
  <sheetFormatPr defaultRowHeight="11.25"/>
  <cols>
    <col min="1" max="1" width="9.140625" style="41"/>
    <col min="2" max="2" width="15.85546875" style="41" customWidth="1"/>
    <col min="3" max="3" width="24.5703125" style="41" customWidth="1"/>
    <col min="4" max="4" width="83" style="41" customWidth="1"/>
    <col min="5" max="16384" width="9.140625" style="41"/>
  </cols>
  <sheetData>
    <row r="1" spans="2:14" s="28" customFormat="1">
      <c r="B1" s="163"/>
      <c r="C1" s="23" t="s">
        <v>0</v>
      </c>
      <c r="D1" s="23"/>
      <c r="E1" s="24"/>
      <c r="F1" s="25"/>
      <c r="G1" s="26"/>
      <c r="H1" s="27"/>
      <c r="J1" s="29"/>
      <c r="L1" s="30"/>
      <c r="M1" s="30"/>
      <c r="N1" s="30"/>
    </row>
    <row r="2" spans="2:14" s="28" customFormat="1">
      <c r="B2" s="163"/>
      <c r="C2" s="31" t="s">
        <v>1</v>
      </c>
      <c r="D2" s="31"/>
      <c r="E2" s="32"/>
      <c r="H2" s="33"/>
      <c r="J2" s="34"/>
      <c r="L2" s="30"/>
      <c r="M2" s="30"/>
      <c r="N2" s="30"/>
    </row>
    <row r="3" spans="2:14" s="28" customFormat="1" ht="11.25" customHeight="1">
      <c r="B3" s="163"/>
      <c r="C3" s="32"/>
      <c r="D3" s="35"/>
      <c r="E3" s="35"/>
      <c r="F3" s="35"/>
      <c r="G3" s="35"/>
      <c r="H3" s="33"/>
      <c r="J3" s="36"/>
      <c r="L3" s="30"/>
      <c r="M3" s="30"/>
      <c r="N3" s="30"/>
    </row>
    <row r="4" spans="2:14" s="28" customFormat="1">
      <c r="B4" s="163"/>
      <c r="C4" s="216" t="s">
        <v>24</v>
      </c>
      <c r="D4" s="216"/>
      <c r="E4" s="37"/>
      <c r="F4" s="33"/>
      <c r="G4" s="38"/>
      <c r="H4" s="27"/>
      <c r="J4" s="29"/>
      <c r="L4" s="30"/>
      <c r="M4" s="30"/>
      <c r="N4" s="30"/>
    </row>
    <row r="5" spans="2:14" s="28" customFormat="1" ht="43.5" customHeight="1">
      <c r="B5" s="163"/>
      <c r="C5" s="797" t="s">
        <v>25</v>
      </c>
      <c r="D5" s="797"/>
      <c r="E5" s="39"/>
      <c r="F5" s="40"/>
      <c r="G5" s="40"/>
      <c r="H5" s="27"/>
      <c r="J5" s="29"/>
      <c r="L5" s="30"/>
      <c r="M5" s="30"/>
      <c r="N5" s="30"/>
    </row>
    <row r="6" spans="2:14" s="28" customFormat="1" ht="22.5">
      <c r="B6" s="163"/>
      <c r="C6" s="43" t="s">
        <v>26</v>
      </c>
      <c r="D6" s="43" t="s">
        <v>274</v>
      </c>
      <c r="E6" s="39"/>
      <c r="F6" s="40"/>
      <c r="G6" s="40"/>
      <c r="H6" s="27"/>
      <c r="J6" s="29"/>
      <c r="L6" s="30"/>
      <c r="M6" s="30"/>
      <c r="N6" s="30"/>
    </row>
    <row r="7" spans="2:14">
      <c r="C7" s="43" t="s">
        <v>27</v>
      </c>
      <c r="D7" s="43" t="s">
        <v>334</v>
      </c>
    </row>
    <row r="8" spans="2:14" ht="11.25" customHeight="1">
      <c r="C8" s="43" t="s">
        <v>219</v>
      </c>
      <c r="D8" s="43"/>
      <c r="E8" s="152"/>
      <c r="F8" s="152"/>
    </row>
    <row r="9" spans="2:14" s="163" customFormat="1">
      <c r="C9" s="245" t="s">
        <v>273</v>
      </c>
      <c r="D9" s="246"/>
    </row>
    <row r="10" spans="2:14">
      <c r="C10" s="162" t="s">
        <v>220</v>
      </c>
      <c r="D10" s="166"/>
    </row>
    <row r="11" spans="2:14">
      <c r="C11" s="41" t="s">
        <v>221</v>
      </c>
      <c r="D11" s="162"/>
    </row>
    <row r="12" spans="2:14">
      <c r="C12" s="41" t="s">
        <v>15</v>
      </c>
      <c r="D12" s="235" t="s">
        <v>409</v>
      </c>
    </row>
    <row r="13" spans="2:14">
      <c r="C13" s="41" t="s">
        <v>222</v>
      </c>
      <c r="D13" s="235" t="s">
        <v>411</v>
      </c>
    </row>
    <row r="14" spans="2:14">
      <c r="C14" s="43"/>
      <c r="D14" s="43"/>
    </row>
    <row r="15" spans="2:14">
      <c r="C15" s="797" t="s">
        <v>223</v>
      </c>
      <c r="D15" s="797"/>
    </row>
    <row r="16" spans="2:14">
      <c r="C16" s="44"/>
      <c r="D16" s="44"/>
    </row>
    <row r="17" spans="2:4">
      <c r="B17" s="42"/>
      <c r="C17" s="45" t="s">
        <v>28</v>
      </c>
      <c r="D17" s="46" t="s">
        <v>7</v>
      </c>
    </row>
    <row r="18" spans="2:4" ht="15">
      <c r="B18" s="42"/>
      <c r="C18" s="47" t="s">
        <v>2</v>
      </c>
      <c r="D18" s="48"/>
    </row>
    <row r="19" spans="2:4" ht="22.5">
      <c r="B19" s="42"/>
      <c r="C19" s="49" t="s">
        <v>3</v>
      </c>
      <c r="D19" s="50" t="s">
        <v>29</v>
      </c>
    </row>
    <row r="20" spans="2:4" ht="45">
      <c r="B20" s="648"/>
      <c r="C20" s="649" t="s">
        <v>335</v>
      </c>
      <c r="D20" s="650" t="s">
        <v>336</v>
      </c>
    </row>
    <row r="21" spans="2:4" ht="22.5">
      <c r="C21" s="651" t="s">
        <v>337</v>
      </c>
      <c r="D21" s="50" t="s">
        <v>338</v>
      </c>
    </row>
    <row r="22" spans="2:4" ht="22.5">
      <c r="C22" s="49" t="s">
        <v>23</v>
      </c>
      <c r="D22" s="52" t="s">
        <v>30</v>
      </c>
    </row>
    <row r="23" spans="2:4" ht="15">
      <c r="C23" s="49" t="s">
        <v>31</v>
      </c>
      <c r="D23" s="52" t="s">
        <v>32</v>
      </c>
    </row>
    <row r="24" spans="2:4" ht="15">
      <c r="C24" s="49" t="s">
        <v>339</v>
      </c>
      <c r="D24" s="52" t="s">
        <v>340</v>
      </c>
    </row>
    <row r="25" spans="2:4">
      <c r="C25" s="53"/>
      <c r="D25" s="43"/>
    </row>
    <row r="26" spans="2:4">
      <c r="C26" s="799" t="s">
        <v>33</v>
      </c>
      <c r="D26" s="799"/>
    </row>
    <row r="27" spans="2:4" ht="22.5" customHeight="1">
      <c r="C27" s="44"/>
      <c r="D27" s="44"/>
    </row>
    <row r="28" spans="2:4">
      <c r="C28" s="45" t="s">
        <v>34</v>
      </c>
      <c r="D28" s="46" t="s">
        <v>7</v>
      </c>
    </row>
    <row r="29" spans="2:4" ht="11.25" customHeight="1">
      <c r="C29" s="54" t="s">
        <v>35</v>
      </c>
      <c r="D29" s="50" t="s">
        <v>36</v>
      </c>
    </row>
    <row r="30" spans="2:4" ht="22.5">
      <c r="C30" s="54" t="s">
        <v>37</v>
      </c>
      <c r="D30" s="50" t="s">
        <v>38</v>
      </c>
    </row>
    <row r="31" spans="2:4" ht="22.5">
      <c r="C31" s="54" t="s">
        <v>5</v>
      </c>
      <c r="D31" s="50" t="s">
        <v>39</v>
      </c>
    </row>
    <row r="32" spans="2:4" ht="22.5">
      <c r="C32" s="54" t="s">
        <v>6</v>
      </c>
      <c r="D32" s="50" t="s">
        <v>40</v>
      </c>
    </row>
    <row r="33" spans="3:4" ht="22.5">
      <c r="C33" s="54" t="s">
        <v>41</v>
      </c>
      <c r="D33" s="50" t="s">
        <v>42</v>
      </c>
    </row>
    <row r="34" spans="3:4" ht="33.75">
      <c r="C34" s="54" t="s">
        <v>18</v>
      </c>
      <c r="D34" s="51" t="s">
        <v>43</v>
      </c>
    </row>
    <row r="35" spans="3:4" ht="22.5">
      <c r="C35" s="54" t="s">
        <v>7</v>
      </c>
      <c r="D35" s="50" t="s">
        <v>44</v>
      </c>
    </row>
    <row r="36" spans="3:4">
      <c r="C36" s="54" t="s">
        <v>45</v>
      </c>
      <c r="D36" s="50" t="s">
        <v>46</v>
      </c>
    </row>
    <row r="37" spans="3:4" ht="33" customHeight="1">
      <c r="C37" s="54" t="s">
        <v>19</v>
      </c>
      <c r="D37" s="50" t="s">
        <v>47</v>
      </c>
    </row>
    <row r="38" spans="3:4" ht="22.5">
      <c r="C38" s="54" t="s">
        <v>48</v>
      </c>
      <c r="D38" s="50" t="s">
        <v>49</v>
      </c>
    </row>
    <row r="39" spans="3:4" ht="33.75">
      <c r="C39" s="54" t="s">
        <v>20</v>
      </c>
      <c r="D39" s="50" t="s">
        <v>50</v>
      </c>
    </row>
    <row r="40" spans="3:4" ht="22.5">
      <c r="C40" s="54" t="s">
        <v>21</v>
      </c>
      <c r="D40" s="55" t="s">
        <v>51</v>
      </c>
    </row>
    <row r="41" spans="3:4" ht="33.75">
      <c r="C41" s="54" t="s">
        <v>10</v>
      </c>
      <c r="D41" s="50" t="s">
        <v>52</v>
      </c>
    </row>
    <row r="42" spans="3:4">
      <c r="C42" s="54" t="s">
        <v>22</v>
      </c>
      <c r="D42" s="55" t="s">
        <v>53</v>
      </c>
    </row>
    <row r="43" spans="3:4" ht="22.5">
      <c r="C43" s="54" t="s">
        <v>11</v>
      </c>
      <c r="D43" s="50" t="s">
        <v>54</v>
      </c>
    </row>
    <row r="44" spans="3:4">
      <c r="C44" s="54" t="s">
        <v>55</v>
      </c>
      <c r="D44" s="50" t="s">
        <v>56</v>
      </c>
    </row>
    <row r="45" spans="3:4">
      <c r="C45" s="54" t="s">
        <v>57</v>
      </c>
      <c r="D45" s="50" t="s">
        <v>58</v>
      </c>
    </row>
    <row r="46" spans="3:4">
      <c r="C46" s="54" t="s">
        <v>23</v>
      </c>
      <c r="D46" s="56" t="s">
        <v>59</v>
      </c>
    </row>
    <row r="47" spans="3:4" ht="22.5">
      <c r="C47" s="57" t="s">
        <v>60</v>
      </c>
      <c r="D47" s="52" t="s">
        <v>61</v>
      </c>
    </row>
    <row r="48" spans="3:4" ht="33.75">
      <c r="C48" s="57" t="s">
        <v>62</v>
      </c>
      <c r="D48" s="52" t="s">
        <v>63</v>
      </c>
    </row>
    <row r="49" spans="3:4" ht="22.5">
      <c r="C49" s="57" t="s">
        <v>64</v>
      </c>
      <c r="D49" s="52" t="s">
        <v>65</v>
      </c>
    </row>
    <row r="50" spans="3:4" ht="33.75">
      <c r="C50" s="57" t="s">
        <v>66</v>
      </c>
      <c r="D50" s="52" t="s">
        <v>67</v>
      </c>
    </row>
    <row r="51" spans="3:4">
      <c r="C51" s="54" t="s">
        <v>68</v>
      </c>
      <c r="D51" s="50" t="s">
        <v>69</v>
      </c>
    </row>
    <row r="52" spans="3:4" ht="22.5">
      <c r="C52" s="54" t="s">
        <v>70</v>
      </c>
      <c r="D52" s="50" t="s">
        <v>71</v>
      </c>
    </row>
    <row r="54" spans="3:4">
      <c r="C54" s="798" t="s">
        <v>72</v>
      </c>
      <c r="D54" s="798"/>
    </row>
    <row r="55" spans="3:4">
      <c r="C55" s="798" t="s">
        <v>73</v>
      </c>
      <c r="D55" s="798"/>
    </row>
    <row r="56" spans="3:4">
      <c r="C56" s="800" t="s">
        <v>74</v>
      </c>
      <c r="D56" s="800"/>
    </row>
    <row r="57" spans="3:4" s="21" customFormat="1">
      <c r="C57" s="800" t="s">
        <v>75</v>
      </c>
      <c r="D57" s="800"/>
    </row>
    <row r="58" spans="3:4" s="21" customFormat="1">
      <c r="C58" s="800"/>
      <c r="D58" s="800"/>
    </row>
    <row r="59" spans="3:4" s="21" customFormat="1">
      <c r="C59" s="800" t="s">
        <v>76</v>
      </c>
      <c r="D59" s="800"/>
    </row>
    <row r="60" spans="3:4" s="21" customFormat="1">
      <c r="C60" s="800" t="s">
        <v>77</v>
      </c>
      <c r="D60" s="800"/>
    </row>
    <row r="61" spans="3:4" s="21" customFormat="1">
      <c r="C61" s="800" t="s">
        <v>78</v>
      </c>
      <c r="D61" s="800"/>
    </row>
    <row r="62" spans="3:4" s="21" customFormat="1">
      <c r="C62" s="798" t="s">
        <v>79</v>
      </c>
      <c r="D62" s="798"/>
    </row>
    <row r="63" spans="3:4" s="21" customFormat="1">
      <c r="C63" s="798" t="s">
        <v>80</v>
      </c>
      <c r="D63" s="798"/>
    </row>
    <row r="64" spans="3:4" s="21" customFormat="1">
      <c r="C64" s="800" t="s">
        <v>81</v>
      </c>
      <c r="D64" s="800"/>
    </row>
    <row r="65" spans="3:4" s="21" customFormat="1">
      <c r="C65" s="58" t="s">
        <v>82</v>
      </c>
      <c r="D65" s="50" t="s">
        <v>83</v>
      </c>
    </row>
    <row r="66" spans="3:4" s="21" customFormat="1">
      <c r="C66" s="58" t="s">
        <v>84</v>
      </c>
      <c r="D66" s="50" t="s">
        <v>85</v>
      </c>
    </row>
    <row r="67" spans="3:4" s="21" customFormat="1">
      <c r="C67" s="58" t="s">
        <v>86</v>
      </c>
      <c r="D67" s="50" t="s">
        <v>87</v>
      </c>
    </row>
    <row r="68" spans="3:4">
      <c r="C68" s="58" t="s">
        <v>88</v>
      </c>
      <c r="D68" s="50" t="s">
        <v>85</v>
      </c>
    </row>
    <row r="69" spans="3:4">
      <c r="C69" s="58" t="s">
        <v>89</v>
      </c>
      <c r="D69" s="50" t="s">
        <v>85</v>
      </c>
    </row>
    <row r="70" spans="3:4">
      <c r="C70" s="58" t="s">
        <v>90</v>
      </c>
      <c r="D70" s="50" t="s">
        <v>85</v>
      </c>
    </row>
    <row r="71" spans="3:4">
      <c r="C71" s="58" t="s">
        <v>91</v>
      </c>
      <c r="D71" s="50" t="s">
        <v>85</v>
      </c>
    </row>
    <row r="73" spans="3:4">
      <c r="C73" s="59" t="s">
        <v>92</v>
      </c>
    </row>
    <row r="74" spans="3:4">
      <c r="C74" s="802" t="s">
        <v>93</v>
      </c>
      <c r="D74" s="802"/>
    </row>
    <row r="75" spans="3:4">
      <c r="C75" s="802" t="s">
        <v>94</v>
      </c>
      <c r="D75" s="802"/>
    </row>
    <row r="76" spans="3:4">
      <c r="C76" s="802" t="s">
        <v>95</v>
      </c>
      <c r="D76" s="802"/>
    </row>
    <row r="77" spans="3:4">
      <c r="C77" s="801" t="s">
        <v>96</v>
      </c>
      <c r="D77" s="801"/>
    </row>
    <row r="79" spans="3:4">
      <c r="C79" s="801" t="s">
        <v>246</v>
      </c>
      <c r="D79" s="801"/>
    </row>
    <row r="80" spans="3:4" ht="26.25" customHeight="1"/>
  </sheetData>
  <mergeCells count="19">
    <mergeCell ref="C79:D79"/>
    <mergeCell ref="C63:D63"/>
    <mergeCell ref="C64:D64"/>
    <mergeCell ref="C74:D74"/>
    <mergeCell ref="C75:D75"/>
    <mergeCell ref="C76:D76"/>
    <mergeCell ref="C77:D77"/>
    <mergeCell ref="C5:D5"/>
    <mergeCell ref="C62:D62"/>
    <mergeCell ref="C15:D15"/>
    <mergeCell ref="C26:D26"/>
    <mergeCell ref="C54:D54"/>
    <mergeCell ref="C55:D55"/>
    <mergeCell ref="C56:D56"/>
    <mergeCell ref="C57:D57"/>
    <mergeCell ref="C58:D58"/>
    <mergeCell ref="C59:D59"/>
    <mergeCell ref="C60:D60"/>
    <mergeCell ref="C61:D61"/>
  </mergeCells>
  <hyperlinks>
    <hyperlink ref="C19" location="GERAL!Titulos_de_impressao" display="PLANILHA GERAL"/>
    <hyperlink ref="C23" location="'ENCARGOS SOCIAIS'!Area_de_impressao" display="ENCARGOS SOCIAIS"/>
    <hyperlink ref="C22" location="BDI!Area_de_impressao" display="BDI"/>
    <hyperlink ref="C20" location="COMPOSICOES!A1" display="COMPOSIÇÕES"/>
    <hyperlink ref="C21" location="'ABC SERVIÇOS'!A1" display="ABC SERVIÇOS"/>
  </hyperlinks>
  <printOptions horizontalCentered="1"/>
  <pageMargins left="0.39370078740157483" right="0.39370078740157483" top="0.39370078740157483" bottom="0.98425196850393704" header="0.39370078740157483" footer="0.39370078740157483"/>
  <pageSetup paperSize="9" scale="71" orientation="portrait" r:id="rId1"/>
  <headerFooter>
    <oddFooter>&amp;C&amp;"Courier New,Normal"&amp;8Prefeitura da UFRJ
Praça Jorge Machado Moreira, 100 - Cidade Universitária - Ilha do Fundão
CEP 21941-598 - Rio de Janeiro-RJ - Cx. Postal 68.010
Tel:21 2598-9324&amp;R&amp;"Courier New,Normal"&amp;8Página: &amp;P/&amp;N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 filterMode="1"/>
  <dimension ref="A1:AB85"/>
  <sheetViews>
    <sheetView view="pageBreakPreview" topLeftCell="F1" zoomScale="80" zoomScaleNormal="80" zoomScaleSheetLayoutView="80" workbookViewId="0">
      <pane ySplit="9" topLeftCell="A10" activePane="bottomLeft" state="frozenSplit"/>
      <selection activeCell="H18" sqref="H18"/>
      <selection pane="bottomLeft" activeCell="J33" sqref="J33"/>
    </sheetView>
  </sheetViews>
  <sheetFormatPr defaultRowHeight="13.5"/>
  <cols>
    <col min="1" max="1" width="4.7109375" style="183" customWidth="1"/>
    <col min="2" max="2" width="8.28515625" style="504" customWidth="1"/>
    <col min="3" max="3" width="12.28515625" style="504" customWidth="1"/>
    <col min="4" max="4" width="6.5703125" style="11" customWidth="1"/>
    <col min="5" max="5" width="10.140625" style="504" customWidth="1"/>
    <col min="6" max="6" width="17.42578125" style="18" customWidth="1"/>
    <col min="7" max="7" width="69.5703125" style="164" customWidth="1"/>
    <col min="8" max="8" width="12.42578125" style="17" customWidth="1"/>
    <col min="9" max="9" width="14.5703125" style="149" customWidth="1"/>
    <col min="10" max="10" width="12" style="149" customWidth="1"/>
    <col min="11" max="11" width="14.5703125" style="15" customWidth="1"/>
    <col min="12" max="14" width="15.5703125" style="15" customWidth="1"/>
    <col min="15" max="15" width="18" style="22" customWidth="1"/>
    <col min="16" max="16" width="14" style="242" customWidth="1"/>
    <col min="17" max="17" width="14" style="208" customWidth="1"/>
    <col min="18" max="19" width="12" style="504" bestFit="1" customWidth="1"/>
    <col min="20" max="23" width="12" style="11" bestFit="1" customWidth="1"/>
    <col min="24" max="25" width="9.140625" style="11"/>
    <col min="26" max="29" width="14.140625" style="11" bestFit="1" customWidth="1"/>
    <col min="30" max="31" width="12" style="11" bestFit="1" customWidth="1"/>
    <col min="32" max="16384" width="9.140625" style="11"/>
  </cols>
  <sheetData>
    <row r="1" spans="1:28" s="1" customFormat="1">
      <c r="A1" s="182"/>
      <c r="B1" s="505"/>
      <c r="C1" s="505"/>
      <c r="D1" s="171"/>
      <c r="E1" s="505"/>
      <c r="F1" s="197" t="s">
        <v>0</v>
      </c>
      <c r="G1" s="236"/>
      <c r="H1" s="2"/>
      <c r="I1" s="147"/>
      <c r="J1" s="147"/>
      <c r="K1" s="3"/>
      <c r="L1" s="4"/>
      <c r="M1" s="4"/>
      <c r="N1" s="4"/>
      <c r="O1" s="146"/>
      <c r="P1" s="241"/>
      <c r="Q1" s="207"/>
      <c r="R1" s="5"/>
      <c r="S1" s="505"/>
    </row>
    <row r="2" spans="1:28" s="1" customFormat="1" ht="14.25" thickBot="1">
      <c r="A2" s="182"/>
      <c r="B2" s="505"/>
      <c r="C2" s="505"/>
      <c r="D2" s="171"/>
      <c r="E2" s="505"/>
      <c r="F2" s="209" t="s">
        <v>1</v>
      </c>
      <c r="G2" s="237"/>
      <c r="H2" s="20"/>
      <c r="I2" s="190"/>
      <c r="J2" s="190"/>
      <c r="K2" s="170"/>
      <c r="N2" s="211"/>
      <c r="O2" s="218"/>
      <c r="P2" s="241"/>
      <c r="Q2" s="207"/>
      <c r="R2" s="5"/>
      <c r="S2" s="505"/>
    </row>
    <row r="3" spans="1:28" s="1" customFormat="1" ht="15.75" thickTop="1">
      <c r="A3" s="182"/>
      <c r="B3" s="505"/>
      <c r="C3" s="505"/>
      <c r="D3" s="171"/>
      <c r="E3" s="505"/>
      <c r="F3" s="212" t="str">
        <f>"Objeto:"&amp;" "&amp;INÍCIO!$D$6</f>
        <v>Objeto: COLETA DE RESÍDUOS DE COMÉRCIO E SERVIÇOS (RESÍDUO EXTRAORDINÁRIO) E RESÍDUO INERTE</v>
      </c>
      <c r="G3" s="211"/>
      <c r="H3" s="196"/>
      <c r="I3" s="196"/>
      <c r="J3" s="196"/>
      <c r="K3" s="805" t="s">
        <v>412</v>
      </c>
      <c r="L3" s="806"/>
      <c r="M3" s="806"/>
      <c r="N3" s="807"/>
      <c r="O3" s="488"/>
      <c r="P3" s="241"/>
      <c r="Q3" s="207"/>
      <c r="R3" s="215" t="s">
        <v>2</v>
      </c>
      <c r="S3" s="505"/>
    </row>
    <row r="4" spans="1:28" s="1" customFormat="1">
      <c r="A4" s="182"/>
      <c r="B4" s="505"/>
      <c r="C4" s="505"/>
      <c r="D4" s="171"/>
      <c r="E4" s="505"/>
      <c r="F4" s="212" t="str">
        <f>"Local:"&amp;" "&amp;INÍCIO!$D$7</f>
        <v>Local: CIDADE UNIVERSITÁRIA, PRAIA VERMELHA, UNIDADES EXTERNAS E STA. CRUZ DA SERRA</v>
      </c>
      <c r="G4" s="211"/>
      <c r="H4" s="196"/>
      <c r="I4" s="196"/>
      <c r="J4" s="196"/>
      <c r="K4" s="808"/>
      <c r="L4" s="809"/>
      <c r="M4" s="809"/>
      <c r="N4" s="810"/>
      <c r="O4" s="488"/>
      <c r="P4" s="241"/>
      <c r="Q4" s="207"/>
      <c r="R4" s="505"/>
      <c r="S4" s="505"/>
    </row>
    <row r="5" spans="1:28" s="1" customFormat="1" ht="14.25" thickBot="1">
      <c r="A5" s="182"/>
      <c r="B5" s="505"/>
      <c r="C5" s="505"/>
      <c r="D5" s="171"/>
      <c r="E5" s="505"/>
      <c r="F5" s="212" t="str">
        <f>"Responsável:"&amp;" "&amp;INÍCIO!$D$8</f>
        <v xml:space="preserve">Responsável: </v>
      </c>
      <c r="G5" s="211"/>
      <c r="H5" s="196"/>
      <c r="I5" s="196"/>
      <c r="J5" s="196"/>
      <c r="K5" s="811"/>
      <c r="L5" s="812"/>
      <c r="M5" s="812"/>
      <c r="N5" s="813"/>
      <c r="P5" s="241"/>
      <c r="Q5" s="207"/>
      <c r="R5" s="505"/>
      <c r="S5" s="505"/>
    </row>
    <row r="6" spans="1:28" s="1" customFormat="1" ht="14.25" thickTop="1">
      <c r="A6" s="182"/>
      <c r="B6" s="505"/>
      <c r="C6" s="505"/>
      <c r="D6" s="171"/>
      <c r="E6" s="520"/>
      <c r="F6" s="213" t="str">
        <f>"Data base das fontes: SCO/RIO -"&amp;" "&amp;INÍCIO!$D$12 &amp;", Informativo SBC -"&amp;" "&amp;INÍCIO!$D$13 &amp;" (na inexistência de item SINAPI)"</f>
        <v>Data base das fontes: SCO/RIO - 11/2020, Informativo SBC - 01/2021 (na inexistência de item SINAPI)</v>
      </c>
      <c r="G6" s="238"/>
      <c r="H6" s="214"/>
      <c r="I6" s="214"/>
      <c r="J6" s="214"/>
      <c r="K6" s="214"/>
      <c r="L6" s="9"/>
      <c r="M6" s="9"/>
      <c r="N6" s="9"/>
      <c r="O6" s="10"/>
      <c r="P6" s="241"/>
      <c r="Q6" s="207"/>
      <c r="R6" s="505"/>
      <c r="S6" s="505"/>
    </row>
    <row r="7" spans="1:28">
      <c r="D7" s="804" t="s">
        <v>3</v>
      </c>
      <c r="E7" s="804"/>
      <c r="F7" s="804"/>
      <c r="G7" s="804"/>
      <c r="H7" s="804"/>
      <c r="I7" s="804"/>
      <c r="J7" s="804"/>
      <c r="K7" s="804"/>
      <c r="L7" s="804"/>
      <c r="M7" s="804"/>
      <c r="N7" s="804"/>
      <c r="O7" s="804"/>
      <c r="R7" s="803" t="s">
        <v>229</v>
      </c>
      <c r="S7" s="803"/>
      <c r="T7" s="803" t="s">
        <v>230</v>
      </c>
      <c r="U7" s="803"/>
      <c r="V7" s="803" t="s">
        <v>231</v>
      </c>
      <c r="W7" s="803"/>
    </row>
    <row r="8" spans="1:28">
      <c r="B8" s="685"/>
      <c r="C8" s="685"/>
      <c r="D8" s="705"/>
      <c r="E8" s="221"/>
      <c r="F8" s="686"/>
      <c r="G8" s="687"/>
      <c r="H8" s="221"/>
      <c r="I8" s="221"/>
      <c r="J8" s="11"/>
      <c r="K8" s="11"/>
      <c r="L8" s="11"/>
      <c r="M8" s="11"/>
      <c r="N8" s="11"/>
      <c r="O8" s="11"/>
      <c r="R8" s="685"/>
      <c r="S8" s="685"/>
      <c r="T8" s="685"/>
      <c r="U8" s="685"/>
      <c r="V8" s="685"/>
      <c r="W8" s="685"/>
    </row>
    <row r="9" spans="1:28" s="223" customFormat="1" ht="42.75" customHeight="1">
      <c r="A9" s="221"/>
      <c r="B9" s="222" t="s">
        <v>17</v>
      </c>
      <c r="C9" s="222" t="s">
        <v>232</v>
      </c>
      <c r="D9" s="706" t="s">
        <v>4</v>
      </c>
      <c r="E9" s="203" t="s">
        <v>5</v>
      </c>
      <c r="F9" s="198" t="s">
        <v>6</v>
      </c>
      <c r="G9" s="13" t="s">
        <v>7</v>
      </c>
      <c r="H9" s="13" t="s">
        <v>8</v>
      </c>
      <c r="I9" s="148" t="s">
        <v>266</v>
      </c>
      <c r="J9" s="148" t="s">
        <v>267</v>
      </c>
      <c r="K9" s="14" t="s">
        <v>10</v>
      </c>
      <c r="L9" s="14" t="s">
        <v>11</v>
      </c>
      <c r="M9" s="14" t="s">
        <v>306</v>
      </c>
      <c r="N9" s="14" t="s">
        <v>55</v>
      </c>
      <c r="O9" s="688" t="s">
        <v>57</v>
      </c>
      <c r="P9" s="242"/>
      <c r="Q9" s="208"/>
      <c r="R9" s="224" t="s">
        <v>209</v>
      </c>
      <c r="S9" s="224" t="s">
        <v>210</v>
      </c>
      <c r="T9" s="224" t="s">
        <v>211</v>
      </c>
      <c r="U9" s="224" t="s">
        <v>225</v>
      </c>
      <c r="V9" s="224" t="s">
        <v>226</v>
      </c>
      <c r="W9" s="225" t="s">
        <v>227</v>
      </c>
      <c r="X9" s="37"/>
      <c r="Y9" s="37"/>
      <c r="Z9" s="37"/>
      <c r="AA9" s="37"/>
      <c r="AB9" s="37"/>
    </row>
    <row r="10" spans="1:28" ht="31.5" customHeight="1" thickBot="1">
      <c r="A10" s="183" t="str">
        <f t="shared" ref="A10:A14" si="0">IF(B10=0,"-","+")</f>
        <v>+</v>
      </c>
      <c r="B10" s="504">
        <f>EAP!B51</f>
        <v>1</v>
      </c>
      <c r="C10" s="504" t="str">
        <f>EAP!C51</f>
        <v/>
      </c>
      <c r="D10" s="752">
        <f>IF(B10="+","",IF(B10="++","",IF(B10="*","",IF(B10="-","",IF(B10=1,EAP!D51,IF(B10=2,EAP!D51,IF(B10="C",EAP!D51,IF(B10="P",EAP!D51,IF(B10="I",EAP!D51,IF(B10="M",EAP!D51,IF(B10="T",EAP!D51,IF(B10="R",EAP!D51))))))))))))</f>
        <v>1</v>
      </c>
      <c r="E10" s="753" t="str">
        <f>IF(B10="+","",IF(B10="++","",IF(B10="*","",IF(B10="-","",IF(B10=1,EAP!E51,IF(B10=2,EAP!E51,IF(B10="C",EAP!E51,IF(B10="P",EAP!E51,IF(B10="I",EAP!E51,IF(B10="M",EAP!E51,IF(B10="T",EAP!E51,IF(B10="R",EAP!E51))))))))))))</f>
        <v>COLETA DE RESÍDUO INERTE NA CIDUNI, PV E Uex</v>
      </c>
      <c r="F10" s="754"/>
      <c r="G10" s="755"/>
      <c r="H10" s="756"/>
      <c r="I10" s="757"/>
      <c r="J10" s="757"/>
      <c r="K10" s="770"/>
      <c r="L10" s="758"/>
      <c r="M10" s="758"/>
      <c r="N10" s="758"/>
      <c r="O10" s="759"/>
      <c r="P10" s="243"/>
      <c r="Q10" s="193"/>
      <c r="R10" s="220"/>
      <c r="S10" s="219"/>
      <c r="T10" s="217"/>
      <c r="U10" s="217"/>
      <c r="V10" s="217"/>
    </row>
    <row r="11" spans="1:28" ht="15" hidden="1" customHeight="1">
      <c r="A11" s="183" t="str">
        <f t="shared" ref="A11" si="1">IF(B11=0,"-","+")</f>
        <v>+</v>
      </c>
      <c r="B11" s="645" t="str">
        <f>EAP!B52</f>
        <v>R</v>
      </c>
      <c r="C11" s="645" t="str">
        <f>EAP!C52</f>
        <v>0.3</v>
      </c>
      <c r="D11" s="645" t="str">
        <f>IF(B11="+","",IF(B11="++","",IF(B11="*","",IF(B11="-","",IF(B11=1,EAP!D52,IF(B11=2,EAP!D52,IF(B11="C",EAP!D52,IF(B11="P",EAP!D52,IF(B11="I",EAP!D52,IF(B11="M",EAP!D52,IF(B11="T",EAP!D52,IF(B11="R",EAP!D52))))))))))))</f>
        <v>0.3</v>
      </c>
      <c r="E11" s="645" t="str">
        <f>IF(B11="+","",IF(B11="++","",IF(B11="*","",IF(B11="-","",IF(B11=1,EAP!E52,IF(B11=2,EAP!E52,IF(B11="C",EAP!E52,IF(B11="P",EAP!E52,IF(B11="I",EAP!E52,IF(B11="M",EAP!E52,IF(B11="T",EAP!E52,IF(B11="R",EAP!E52))))))))))))</f>
        <v>SCO/RIO</v>
      </c>
      <c r="F11" s="199" t="str">
        <f>IF(B11="+","",IF(B11="++","",IF(B11="*","",IF(B11="-","",IF(B11=1,"",IF(B11=2,"",IF(B11="C",EAP!F52,IF(B11="P",EAP!F52,IF(B11="I",EAP!F52,IF(B11="M",EAP!F52,IF(B11="T",EAP!F52,IF(B11="R",EAP!F52))))))))))))</f>
        <v>TC05.15.0100</v>
      </c>
      <c r="G11" s="16" t="s">
        <v>236</v>
      </c>
      <c r="H11" s="17" t="s">
        <v>237</v>
      </c>
      <c r="J11" s="149">
        <f t="shared" ref="J11" si="2">I11*12</f>
        <v>0</v>
      </c>
      <c r="K11" s="762">
        <f>SUMPRODUCT((COMPOSICOES!$D$9:$D$3451=D11)*(COMPOSICOES!$L$9:$L$3451=$K$9),(COMPOSICOES!$M$9:$M$3451))</f>
        <v>62.409440000000004</v>
      </c>
      <c r="L11" s="750">
        <f>IF(B11="+","",IF(B11="++","",IF(B11="*","",IF(B11="-","",IF(B11=1,"",IF(B11=2,"",IF(B11="C",(K11+(K11*BDI!$J$11)),IF(B11="P",(K11+(K11*BDI!$J$11)),IF(B11="I",(K11+(K11*BDI!$J$11)),IF(B11="M",(K11+(K11*BDI!$J$11)),IF(B11="T",(K11+(K11*BDI!$J$11)),IF(B11="R",(K11+(K11*BDI!$J$11))))))))))))))</f>
        <v>74.777824954820218</v>
      </c>
      <c r="M11" s="750"/>
      <c r="N11" s="750"/>
      <c r="O11" s="751"/>
      <c r="P11" s="243" t="e">
        <f>O11/$O$14</f>
        <v>#DIV/0!</v>
      </c>
      <c r="Q11" s="193"/>
      <c r="R11" s="220"/>
      <c r="S11" s="219"/>
      <c r="T11" s="217"/>
      <c r="U11" s="217"/>
      <c r="V11" s="217"/>
    </row>
    <row r="12" spans="1:28" ht="34.5" thickTop="1">
      <c r="A12" s="183" t="str">
        <f t="shared" si="0"/>
        <v>+</v>
      </c>
      <c r="B12" s="645" t="str">
        <f>EAP!B53</f>
        <v>P</v>
      </c>
      <c r="C12" s="504">
        <f>EAP!C53</f>
        <v>6</v>
      </c>
      <c r="D12" s="708" t="str">
        <f>IF(B12="+","",IF(B12="++","",IF(B12="*","",IF(B12="-","",IF(B12=1,EAP!D53,IF(B12=2,EAP!D53,IF(B12="C",EAP!D53,IF(B12="P",EAP!D53,IF(B12="I",EAP!D53,IF(B12="M",EAP!D53,IF(B12="T",EAP!D53,IF(B12="R",EAP!D53))))))))))))</f>
        <v>1.1</v>
      </c>
      <c r="E12" s="685" t="str">
        <f>IF(B12="+","",IF(B12="++","",IF(B12="*","",IF(B12="-","",IF(B12=1,EAP!E53,IF(B12=2,EAP!E53,IF(B12="C",EAP!E53,IF(B12="P",EAP!E53,IF(B12="I",EAP!E53,IF(B12="M",EAP!E53,IF(B12="T",EAP!E53,IF(B12="R",EAP!E53))))))))))))</f>
        <v>UFRJ</v>
      </c>
      <c r="F12" s="199" t="str">
        <f>IF(B12="+","",IF(B12="++","",IF(B12="*","",IF(B12="-","",IF(B12=1,"",IF(B12=2,"",IF(B12="C",EAP!F53,IF(B12="P",EAP!F53,IF(B12="I",EAP!F53,IF(B12="M",EAP!F53,IF(B12="T",EAP!F53,IF(B12="R",EAP!F53))))))))))))</f>
        <v>SCO/RIO TC05.15.0100</v>
      </c>
      <c r="G12" s="16" t="s">
        <v>345</v>
      </c>
      <c r="H12" s="17" t="s">
        <v>269</v>
      </c>
      <c r="I12" s="149">
        <f>J12/12</f>
        <v>33.333333333333336</v>
      </c>
      <c r="J12" s="149">
        <v>400</v>
      </c>
      <c r="K12" s="792"/>
      <c r="L12" s="15">
        <f>IF(B12="+","",IF(B12="++","",IF(B12="*","",IF(B12="-","",IF(B12=1,"",IF(B12=2,"",IF(B12="C",(K12+(K12*BDI!$J$11)),IF(B12="P",(K12+(K12*BDI!$J$11)),IF(B12="I",(K12+(K12*BDI!$J$11)),IF(B12="M",(K12+(K12*BDI!$J$11)),IF(B12="T",(K12+(K12*BDI!$J$11)),IF(B12="R",(K12+(K12*BDI!$J$11))))))))))))))</f>
        <v>0</v>
      </c>
      <c r="M12" s="15" t="str">
        <f t="shared" ref="M12:M13" si="3">IF(K12="","",I12*K12)</f>
        <v/>
      </c>
      <c r="N12" s="15">
        <f t="shared" ref="N12:N20" si="4">IF(L12="","",I12*L12)</f>
        <v>0</v>
      </c>
      <c r="O12" s="689">
        <f t="shared" ref="O12:O20" si="5">J12*L12</f>
        <v>0</v>
      </c>
      <c r="P12" s="243" t="e">
        <f>O12/$O$14</f>
        <v>#DIV/0!</v>
      </c>
      <c r="Q12" s="193"/>
      <c r="R12" s="220"/>
      <c r="S12" s="219"/>
      <c r="T12" s="217"/>
      <c r="U12" s="217"/>
      <c r="V12" s="217"/>
    </row>
    <row r="13" spans="1:28" ht="22.5" customHeight="1" thickBot="1">
      <c r="A13" s="183" t="str">
        <f t="shared" ref="A13" si="6">IF(B13=0,"-","+")</f>
        <v>+</v>
      </c>
      <c r="B13" s="504" t="str">
        <f>EAP!B54</f>
        <v>T</v>
      </c>
      <c r="C13" s="504">
        <f>EAP!C54</f>
        <v>7</v>
      </c>
      <c r="D13" s="708" t="str">
        <f>IF(B13="+","",IF(B13="++","",IF(B13="*","",IF(B13="-","",IF(B13=1,EAP!D54,IF(B13=2,EAP!D54,IF(B13="C",EAP!D54,IF(B13="P",EAP!D54,IF(B13="I",EAP!D54,IF(B13="M",EAP!D54,IF(B13="T",EAP!D54,IF(B13="R",EAP!D54))))))))))))</f>
        <v>1.2</v>
      </c>
      <c r="E13" s="685" t="str">
        <f>IF(B13="+","",IF(B13="++","",IF(B13="*","",IF(B13="-","",IF(B13=1,EAP!E54,IF(B13=2,EAP!E54,IF(B13="C",EAP!E54,IF(B13="P",EAP!E54,IF(B13="I",EAP!E54,IF(B13="M",EAP!E54,IF(B13="T",EAP!E54,IF(B13="R",EAP!E54))))))))))))</f>
        <v>COMLURB</v>
      </c>
      <c r="F13" s="199" t="str">
        <f>IF(B13="+","",IF(B13="++","",IF(B13="*","",IF(B13="-","",IF(B13=1,"",IF(B13=2,"",IF(B13="C",EAP!F54,IF(B13="P",EAP!F54,IF(B13="I",EAP!F54,IF(B13="M",EAP!F54,IF(B13="T",EAP!F54,IF(B13="R",EAP!F54))))))))))))</f>
        <v>COMLURB</v>
      </c>
      <c r="G13" s="16" t="s">
        <v>303</v>
      </c>
      <c r="H13" s="17" t="s">
        <v>269</v>
      </c>
      <c r="I13" s="149">
        <f>I12</f>
        <v>33.333333333333336</v>
      </c>
      <c r="J13" s="149">
        <v>400</v>
      </c>
      <c r="K13" s="793"/>
      <c r="L13" s="15">
        <f>IF(B13="+","",IF(B13="++","",IF(B13="*","",IF(B13="-","",IF(B13=1,"",IF(B13=2,"",IF(B13="C",(K13+(K13*BDI!$J$11)),IF(B13="P",(K13+(K13*BDI!$J$11)),IF(B13="I",(K13+(K13*BDI!$J$11)),IF(B13="M",(K13+(K13*BDI!$J$11)),IF(B13="T",(K13+(K13*BDI!$J$11)),IF(B13="R",(K13+(K13*BDI!$J$11))))))))))))))</f>
        <v>0</v>
      </c>
      <c r="M13" s="15" t="str">
        <f t="shared" si="3"/>
        <v/>
      </c>
      <c r="N13" s="15">
        <f t="shared" si="4"/>
        <v>0</v>
      </c>
      <c r="O13" s="689">
        <f t="shared" si="5"/>
        <v>0</v>
      </c>
      <c r="P13" s="243" t="e">
        <f>O13/$O$14</f>
        <v>#DIV/0!</v>
      </c>
      <c r="Q13" s="193"/>
      <c r="R13" s="220"/>
      <c r="S13" s="219"/>
      <c r="T13" s="217"/>
      <c r="U13" s="217"/>
      <c r="V13" s="217"/>
    </row>
    <row r="14" spans="1:28" ht="22.5" customHeight="1" thickTop="1">
      <c r="A14" s="183" t="str">
        <f t="shared" si="0"/>
        <v>+</v>
      </c>
      <c r="B14" s="504" t="str">
        <f>EAP!B55</f>
        <v>+</v>
      </c>
      <c r="D14" s="707" t="str">
        <f>IF(B14="+","",IF(B14="++","",IF(B14="*","",IF(B14="-","",IF(B14=1,EAP!D55,IF(B14=2,EAP!D55,IF(B14="C",EAP!D55,IF(B14="P",EAP!D55,IF(B14="I",EAP!D55,IF(B14="M",EAP!D55,IF(B14="T",EAP!D55,IF(B14="R",EAP!D55))))))))))))</f>
        <v/>
      </c>
      <c r="E14" s="691" t="str">
        <f>IF(B14="+","",IF(B14="++","",IF(B14="*","",IF(B14="-","",IF(B14=1,EAP!E55,IF(B14=2,EAP!E55,IF(B14="C",EAP!E55,IF(B14="P",EAP!E55,IF(B14="I",EAP!E55,IF(B14="M",EAP!E55,IF(B14="T",EAP!E55,IF(B14="R",EAP!E55))))))))))))</f>
        <v/>
      </c>
      <c r="F14" s="692" t="str">
        <f>IF(B14="+","",IF(B14="++","",IF(B14="*","",IF(B14="-","",IF(B14=1,"",IF(B14=2,"",IF(B14="C",EAP!F55,IF(B14="P",EAP!F55,IF(B14="I",EAP!F55,IF(B14="M",EAP!F55,IF(B14="T",EAP!F55,IF(B14="R",EAP!F55))))))))))))</f>
        <v/>
      </c>
      <c r="G14" s="697" t="s">
        <v>400</v>
      </c>
      <c r="H14" s="693">
        <f>D10</f>
        <v>1</v>
      </c>
      <c r="I14" s="698" t="s">
        <v>307</v>
      </c>
      <c r="J14" s="694"/>
      <c r="K14" s="695"/>
      <c r="L14" s="695"/>
      <c r="M14" s="695">
        <f>SUM(M12:M13)</f>
        <v>0</v>
      </c>
      <c r="N14" s="695">
        <f>SUM(N12:N13)</f>
        <v>0</v>
      </c>
      <c r="O14" s="696">
        <f>SUM(O12:O13)</f>
        <v>0</v>
      </c>
      <c r="P14" s="487" t="e">
        <f>O14/$O$25</f>
        <v>#DIV/0!</v>
      </c>
      <c r="Q14" s="486"/>
      <c r="R14" s="220"/>
      <c r="S14" s="219"/>
      <c r="T14" s="217"/>
      <c r="U14" s="217"/>
      <c r="V14" s="217"/>
    </row>
    <row r="15" spans="1:28" ht="17.25" customHeight="1" thickBot="1">
      <c r="B15" s="504">
        <f>EAP!B57</f>
        <v>1</v>
      </c>
      <c r="C15" s="504" t="str">
        <f>EAP!C57</f>
        <v/>
      </c>
      <c r="D15" s="760">
        <f>IF(B15="+","",IF(B15="++","",IF(B15="*","",IF(B15="-","",IF(B15=1,EAP!D57,IF(B15=2,EAP!D57,IF(B15="C",EAP!D57,IF(B15="P",EAP!D57,IF(B15="I",EAP!D57,IF(B15="M",EAP!D57,IF(B15="T",EAP!D57,IF(B15="R",EAP!D57))))))))))))</f>
        <v>2</v>
      </c>
      <c r="E15" s="753" t="str">
        <f>IF(B15="+","",IF(B15="++","",IF(B15="*","",IF(B15="-","",IF(B15=1,EAP!E57,IF(B15=2,EAP!E57,IF(B15="C",EAP!E57,IF(B15="P",EAP!E57,IF(B15="I",EAP!E57,IF(B15="M",EAP!E57,IF(B15="T",EAP!E57,IF(B15="R",EAP!E57))))))))))))</f>
        <v>COLETA DE RESÍDUOS EXTRAORDINÁRIOS E INERTE EM SCS</v>
      </c>
      <c r="F15" s="754"/>
      <c r="G15" s="755"/>
      <c r="H15" s="756"/>
      <c r="I15" s="757"/>
      <c r="J15" s="757"/>
      <c r="K15" s="758"/>
      <c r="L15" s="758"/>
      <c r="M15" s="758"/>
      <c r="N15" s="758"/>
      <c r="O15" s="761"/>
      <c r="P15" s="487"/>
      <c r="Q15" s="486"/>
      <c r="R15" s="220"/>
      <c r="S15" s="219"/>
      <c r="T15" s="217"/>
      <c r="U15" s="217"/>
      <c r="V15" s="217"/>
    </row>
    <row r="16" spans="1:28" ht="21" customHeight="1" thickTop="1">
      <c r="A16" s="183" t="str">
        <f t="shared" ref="A16" si="7">IF(B16=0,"-","+")</f>
        <v>+</v>
      </c>
      <c r="B16" s="504" t="str">
        <f>EAP!B58</f>
        <v>P</v>
      </c>
      <c r="C16" s="504">
        <f>EAP!C58</f>
        <v>8</v>
      </c>
      <c r="D16" s="504" t="str">
        <f>IF(B16="+","",IF(B16="++","",IF(B16="*","",IF(B16="-","",IF(B16=1,EAP!D58,IF(B16=2,EAP!D58,IF(B16="C",EAP!D58,IF(B16="P",EAP!D58,IF(B16="I",EAP!D58,IF(B16="M",EAP!D58,IF(B16="T",EAP!D58,IF(B16="R",EAP!D58))))))))))))</f>
        <v>2.1</v>
      </c>
      <c r="E16" s="504" t="str">
        <f>IF(B16="+","",IF(B16="++","",IF(B16="*","",IF(B16="-","",IF(B16=1,EAP!E58,IF(B16=2,EAP!E58,IF(B16="C",EAP!E58,IF(B16="P",EAP!E58,IF(B16="I",EAP!E58,IF(B16="M",EAP!E58,IF(B16="T",EAP!E58,IF(B16="R",EAP!E58))))))))))))</f>
        <v>UFRJ</v>
      </c>
      <c r="F16" s="199" t="str">
        <f>IF(B16="+","",IF(B16="++","",IF(B16="*","",IF(B16="-","",IF(B16=1,"",IF(B16=2,"",IF(B16="C",EAP!F58,IF(B16="P",EAP!F58,IF(B16="I",EAP!F58,IF(B16="M",EAP!F58,IF(B16="T",EAP!F58,IF(B16="R",EAP!F58))))))))))))</f>
        <v>UFRJ-004</v>
      </c>
      <c r="G16" s="16" t="s">
        <v>250</v>
      </c>
      <c r="H16" s="17" t="s">
        <v>269</v>
      </c>
      <c r="I16" s="149">
        <v>14.352</v>
      </c>
      <c r="J16" s="149">
        <f t="shared" ref="J16:J20" si="8">I16*12</f>
        <v>172.22399999999999</v>
      </c>
      <c r="K16" s="792"/>
      <c r="L16" s="15">
        <f>IF(B16="+","",IF(B16="++","",IF(B16="*","",IF(B16="-","",IF(B16=1,"",IF(B16=2,"",IF(B16="C",(K16+(K16*BDI!$J$11)),IF(B16="P",(K16+(K16*BDI!$J$11)),IF(B16="I",(K16+(K16*BDI!$J$11)),IF(B16="M",(K16+(K16*BDI!$J$11)),IF(B16="T",(K16+(K16*BDI!$J$11)),IF(B16="R",(K16+(K16*BDI!$J$11))))))))))))))</f>
        <v>0</v>
      </c>
      <c r="M16" s="15" t="str">
        <f t="shared" ref="M16:M20" si="9">IF(K16="","",I16*K16)</f>
        <v/>
      </c>
      <c r="N16" s="15">
        <f t="shared" si="4"/>
        <v>0</v>
      </c>
      <c r="O16" s="185">
        <f t="shared" si="5"/>
        <v>0</v>
      </c>
      <c r="P16" s="243" t="e">
        <f>O16/$O$21</f>
        <v>#DIV/0!</v>
      </c>
      <c r="Q16" s="193"/>
      <c r="R16" s="220"/>
      <c r="S16" s="219"/>
      <c r="T16" s="217"/>
      <c r="U16" s="217"/>
      <c r="V16" s="217"/>
    </row>
    <row r="17" spans="2:22">
      <c r="B17" s="504" t="str">
        <f>EAP!B59</f>
        <v>M</v>
      </c>
      <c r="C17" s="504">
        <f>EAP!C59</f>
        <v>9</v>
      </c>
      <c r="D17" s="504" t="str">
        <f>IF(B17="+","",IF(B17="++","",IF(B17="*","",IF(B17="-","",IF(B17=1,EAP!D59,IF(B17=2,EAP!D59,IF(B17="C",EAP!D59,IF(B17="P",EAP!D59,IF(B17="I",EAP!D59,IF(B17="M",EAP!D59,IF(B17="T",EAP!D59,IF(B17="R",EAP!D59))))))))))))</f>
        <v>2.2</v>
      </c>
      <c r="E17" s="504" t="str">
        <f>IF(B17="+","",IF(B17="++","",IF(B17="*","",IF(B17="-","",IF(B17=1,EAP!E59,IF(B17=2,EAP!E59,IF(B17="C",EAP!E59,IF(B17="P",EAP!E59,IF(B17="I",EAP!E59,IF(B17="M",EAP!E59,IF(B17="T",EAP!E59,IF(B17="R",EAP!E59))))))))))))</f>
        <v>UFRJ</v>
      </c>
      <c r="F17" s="199" t="str">
        <f>IF(B17="+","",IF(B17="++","",IF(B17="*","",IF(B17="-","",IF(B17=1,"",IF(B17=2,"",IF(B17="C",EAP!F59,IF(B17="P",EAP!F59,IF(B17="I",EAP!F59,IF(B17="M",EAP!F59,IF(B17="T",EAP!F59,IF(B17="R",EAP!F59))))))))))))</f>
        <v>UFRJ-002</v>
      </c>
      <c r="G17" s="16" t="s">
        <v>298</v>
      </c>
      <c r="H17" s="17" t="s">
        <v>261</v>
      </c>
      <c r="I17" s="149">
        <v>4</v>
      </c>
      <c r="J17" s="149">
        <f t="shared" si="8"/>
        <v>48</v>
      </c>
      <c r="K17" s="794"/>
      <c r="L17" s="15">
        <f>IF(B17="+","",IF(B17="++","",IF(B17="*","",IF(B17="-","",IF(B17=1,"",IF(B17=2,"",IF(B17="C",(K17+(K17*BDI!$J$11)),IF(B17="P",(K17+(K17*BDI!$J$11)),IF(B17="I",(K17+(K17*BDI!$J$11)),IF(B17="M",(K17+(K17*BDI!$J$11)),IF(B17="T",(K17+(K17*BDI!$J$11)),IF(B17="R",(K17+(K17*BDI!$J$11))))))))))))))</f>
        <v>0</v>
      </c>
      <c r="M17" s="15" t="str">
        <f t="shared" si="9"/>
        <v/>
      </c>
      <c r="N17" s="15">
        <f t="shared" si="4"/>
        <v>0</v>
      </c>
      <c r="O17" s="185">
        <f t="shared" si="5"/>
        <v>0</v>
      </c>
      <c r="P17" s="243" t="e">
        <f>O17/$O$21</f>
        <v>#DIV/0!</v>
      </c>
      <c r="Q17" s="193"/>
      <c r="R17" s="220"/>
      <c r="S17" s="219"/>
      <c r="T17" s="217"/>
      <c r="U17" s="217"/>
      <c r="V17" s="217"/>
    </row>
    <row r="18" spans="2:22" ht="22.5">
      <c r="B18" s="504" t="str">
        <f>EAP!B60</f>
        <v>T</v>
      </c>
      <c r="C18" s="504">
        <f>EAP!C60</f>
        <v>10</v>
      </c>
      <c r="D18" s="504" t="str">
        <f>IF(B18="+","",IF(B18="++","",IF(B18="*","",IF(B18="-","",IF(B18=1,EAP!D60,IF(B18=2,EAP!D60,IF(B18="C",EAP!D60,IF(B18="P",EAP!D60,IF(B18="I",EAP!D60,IF(B18="M",EAP!D60,IF(B18="T",EAP!D60,IF(B18="R",EAP!D60))))))))))))</f>
        <v>2.3</v>
      </c>
      <c r="E18" s="504" t="str">
        <f>IF(B18="+","",IF(B18="++","",IF(B18="*","",IF(B18="-","",IF(B18=1,EAP!E60,IF(B18=2,EAP!E60,IF(B18="C",EAP!E60,IF(B18="P",EAP!E60,IF(B18="I",EAP!E60,IF(B18="M",EAP!E60,IF(B18="T",EAP!E60,IF(B18="R",EAP!E60))))))))))))</f>
        <v>COMLURB</v>
      </c>
      <c r="F18" s="199" t="str">
        <f>IF(B18="+","",IF(B18="++","",IF(B18="*","",IF(B18="-","",IF(B18=1,"",IF(B18=2,"",IF(B18="C",EAP!F60,IF(B18="P",EAP!F60,IF(B18="I",EAP!F60,IF(B18="M",EAP!F60,IF(B18="T",EAP!F60,IF(B18="R",EAP!F60))))))))))))</f>
        <v>COMLURB</v>
      </c>
      <c r="G18" s="16" t="s">
        <v>302</v>
      </c>
      <c r="H18" s="17" t="s">
        <v>269</v>
      </c>
      <c r="I18" s="149">
        <f>I16</f>
        <v>14.352</v>
      </c>
      <c r="J18" s="149">
        <f t="shared" si="8"/>
        <v>172.22399999999999</v>
      </c>
      <c r="K18" s="794"/>
      <c r="L18" s="15">
        <f>IF(B18="+","",IF(B18="++","",IF(B18="*","",IF(B18="-","",IF(B18=1,"",IF(B18=2,"",IF(B18="C",(K18+(K18*BDI!$J$11)),IF(B18="P",(K18+(K18*BDI!$J$11)),IF(B18="I",(K18+(K18*BDI!$J$11)),IF(B18="M",(K18+(K18*BDI!$J$11)),IF(B18="T",(K18+(K18*BDI!$J$11)),IF(B18="R",(K18+(K18*BDI!$J$11))))))))))))))</f>
        <v>0</v>
      </c>
      <c r="M18" s="15" t="str">
        <f t="shared" si="9"/>
        <v/>
      </c>
      <c r="N18" s="15">
        <f t="shared" si="4"/>
        <v>0</v>
      </c>
      <c r="O18" s="185">
        <f t="shared" si="5"/>
        <v>0</v>
      </c>
      <c r="P18" s="243" t="e">
        <f>O18/$O$21</f>
        <v>#DIV/0!</v>
      </c>
      <c r="Q18" s="193"/>
      <c r="R18" s="220"/>
      <c r="S18" s="219"/>
      <c r="T18" s="217"/>
      <c r="U18" s="217"/>
      <c r="V18" s="217"/>
    </row>
    <row r="19" spans="2:22" ht="33.75">
      <c r="B19" s="504" t="s">
        <v>263</v>
      </c>
      <c r="C19" s="504">
        <f>EAP!C61</f>
        <v>11</v>
      </c>
      <c r="D19" s="504" t="str">
        <f>IF(B19="+","",IF(B19="++","",IF(B19="*","",IF(B19="-","",IF(B19=1,EAP!D61,IF(B19=2,EAP!D61,IF(B19="C",EAP!D61,IF(B19="P",EAP!D61,IF(B19="I",EAP!D61,IF(B19="M",EAP!D61,IF(B19="T",EAP!D61,IF(B19="R",EAP!D61))))))))))))</f>
        <v>2.4</v>
      </c>
      <c r="E19" s="504" t="str">
        <f>IF(B19="+","",IF(B19="++","",IF(B19="*","",IF(B19="-","",IF(B19=1,EAP!E61,IF(B19=2,EAP!E61,IF(B19="C",EAP!E61,IF(B19="P",EAP!E61,IF(B19="I",EAP!E61,IF(B19="M",EAP!E61,IF(B19="T",EAP!E61,IF(B19="R",EAP!E61))))))))))))</f>
        <v>UFRJ</v>
      </c>
      <c r="F19" s="199" t="str">
        <f>IF(B19="+","",IF(B19="++","",IF(B19="*","",IF(B19="-","",IF(B19=1,"",IF(B19=2,"",IF(B19="C",EAP!F61,IF(B19="P",EAP!F61,IF(B19="I",EAP!F61,IF(B19="M",EAP!F61,IF(B19="T",EAP!F61,IF(B19="R",EAP!F61))))))))))))</f>
        <v>SCO/RIO TC05.15.0100</v>
      </c>
      <c r="G19" s="16" t="s">
        <v>345</v>
      </c>
      <c r="H19" s="17" t="s">
        <v>269</v>
      </c>
      <c r="I19" s="149">
        <v>26</v>
      </c>
      <c r="J19" s="149">
        <f t="shared" si="8"/>
        <v>312</v>
      </c>
      <c r="K19" s="794"/>
      <c r="L19" s="15">
        <f>IF(B19="+","",IF(B19="++","",IF(B19="*","",IF(B19="-","",IF(B19=1,"",IF(B19=2,"",IF(B19="C",(K19+(K19*BDI!$J$11)),IF(B19="P",(K19+(K19*BDI!$J$11)),IF(B19="I",(K19+(K19*BDI!$J$11)),IF(B19="M",(K19+(K19*BDI!$J$11)),IF(B19="T",(K19+(K19*BDI!$J$11)),IF(B19="R",(K19+(K19*BDI!$J$11))))))))))))))</f>
        <v>0</v>
      </c>
      <c r="M19" s="15" t="str">
        <f t="shared" si="9"/>
        <v/>
      </c>
      <c r="N19" s="15">
        <f t="shared" si="4"/>
        <v>0</v>
      </c>
      <c r="O19" s="185">
        <f t="shared" si="5"/>
        <v>0</v>
      </c>
      <c r="P19" s="243" t="e">
        <f>O19/$O$21</f>
        <v>#DIV/0!</v>
      </c>
      <c r="Q19" s="193"/>
      <c r="R19" s="220"/>
      <c r="S19" s="219"/>
      <c r="T19" s="217"/>
      <c r="U19" s="217"/>
      <c r="V19" s="217"/>
    </row>
    <row r="20" spans="2:22" ht="22.5" customHeight="1" thickBot="1">
      <c r="B20" s="504" t="str">
        <f>EAP!B62</f>
        <v>T</v>
      </c>
      <c r="C20" s="504">
        <f>EAP!C62</f>
        <v>12</v>
      </c>
      <c r="D20" s="504" t="str">
        <f>IF(B20="+","",IF(B20="++","",IF(B20="*","",IF(B20="-","",IF(B20=1,EAP!D62,IF(B20=2,EAP!D62,IF(B20="C",EAP!D62,IF(B20="P",EAP!D62,IF(B20="I",EAP!D62,IF(B20="M",EAP!D62,IF(B20="T",EAP!D62,IF(B20="R",EAP!D62))))))))))))</f>
        <v>2.5</v>
      </c>
      <c r="E20" s="504" t="str">
        <f>IF(B20="+","",IF(B20="++","",IF(B20="*","",IF(B20="-","",IF(B20=1,EAP!E62,IF(B20=2,EAP!E62,IF(B20="C",EAP!E62,IF(B20="P",EAP!E62,IF(B20="I",EAP!E62,IF(B20="M",EAP!E62,IF(B20="T",EAP!E62,IF(B20="R",EAP!E62))))))))))))</f>
        <v>COMLURB</v>
      </c>
      <c r="F20" s="199" t="str">
        <f>IF(B20="+","",IF(B20="++","",IF(B20="*","",IF(B20="-","",IF(B20=1,"",IF(B20=2,"",IF(B20="C",EAP!F62,IF(B20="P",EAP!F62,IF(B20="I",EAP!F62,IF(B20="M",EAP!F62,IF(B20="T",EAP!F62,IF(B20="R",EAP!F62))))))))))))</f>
        <v>COMLURB</v>
      </c>
      <c r="G20" s="16" t="s">
        <v>303</v>
      </c>
      <c r="H20" s="17" t="s">
        <v>269</v>
      </c>
      <c r="I20" s="149">
        <f>I19</f>
        <v>26</v>
      </c>
      <c r="J20" s="149">
        <f t="shared" si="8"/>
        <v>312</v>
      </c>
      <c r="K20" s="793"/>
      <c r="L20" s="15">
        <f>IF(B20="+","",IF(B20="++","",IF(B20="*","",IF(B20="-","",IF(B20=1,"",IF(B20=2,"",IF(B20="C",(K20+(K20*BDI!$J$11)),IF(B20="P",(K20+(K20*BDI!$J$11)),IF(B20="I",(K20+(K20*BDI!$J$11)),IF(B20="M",(K20+(K20*BDI!$J$11)),IF(B20="T",(K20+(K20*BDI!$J$11)),IF(B20="R",(K20+(K20*BDI!$J$11))))))))))))))</f>
        <v>0</v>
      </c>
      <c r="M20" s="15" t="str">
        <f t="shared" si="9"/>
        <v/>
      </c>
      <c r="N20" s="15">
        <f t="shared" si="4"/>
        <v>0</v>
      </c>
      <c r="O20" s="185">
        <f t="shared" si="5"/>
        <v>0</v>
      </c>
      <c r="P20" s="243" t="e">
        <f>O20/$O$21</f>
        <v>#DIV/0!</v>
      </c>
      <c r="Q20" s="193"/>
      <c r="R20" s="220"/>
      <c r="S20" s="219"/>
      <c r="T20" s="217"/>
      <c r="U20" s="217"/>
      <c r="V20" s="217"/>
    </row>
    <row r="21" spans="2:22" ht="22.5" customHeight="1" thickTop="1">
      <c r="B21" s="504" t="str">
        <f>EAP!B63</f>
        <v>+</v>
      </c>
      <c r="D21" s="504" t="str">
        <f>IF(B21="+","",IF(B21="++","",IF(B21="*","",IF(B21="-","",IF(B21=1,EAP!D63,IF(B21=2,EAP!D63,IF(B21="C",EAP!D63,IF(B21="P",EAP!D63,IF(B21="I",EAP!D63,IF(B21="M",EAP!D63,IF(B21="T",EAP!D63,IF(B21="R",EAP!D63))))))))))))</f>
        <v/>
      </c>
      <c r="E21" s="504" t="str">
        <f>IF(B21="+","",IF(B21="++","",IF(B21="*","",IF(B21="-","",IF(B21=1,EAP!E63,IF(B21=2,EAP!E63,IF(B21="C",EAP!E63,IF(B21="P",EAP!E63,IF(B21="I",EAP!E63,IF(B21="M",EAP!E63,IF(B21="T",EAP!E63,IF(B21="R",EAP!E63))))))))))))</f>
        <v/>
      </c>
      <c r="F21" s="199" t="str">
        <f>IF(B21="+","",IF(B21="++","",IF(B21="*","",IF(B21="-","",IF(B21=1,"",IF(B21=2,"",IF(B21="C",EAP!F63,IF(B21="P",EAP!F63,IF(B21="I",EAP!F63,IF(B21="M",EAP!F63,IF(B21="T",EAP!F63,IF(B21="R",EAP!F63))))))))))))</f>
        <v/>
      </c>
      <c r="G21" s="164" t="s">
        <v>400</v>
      </c>
      <c r="H21" s="17">
        <f>D15</f>
        <v>2</v>
      </c>
      <c r="I21" s="507" t="s">
        <v>307</v>
      </c>
      <c r="M21" s="15">
        <f>SUM(M16:M20)</f>
        <v>0</v>
      </c>
      <c r="N21" s="15">
        <f>SUM(N16:N20)</f>
        <v>0</v>
      </c>
      <c r="O21" s="185">
        <f>SUM(O16:O20)</f>
        <v>0</v>
      </c>
      <c r="P21" s="487" t="e">
        <f>O21/$O$25</f>
        <v>#DIV/0!</v>
      </c>
      <c r="Q21" s="193"/>
      <c r="R21" s="220"/>
      <c r="S21" s="219"/>
      <c r="T21" s="217"/>
      <c r="U21" s="217"/>
      <c r="V21" s="217"/>
    </row>
    <row r="22" spans="2:22">
      <c r="B22" s="504" t="str">
        <f>EAP!B65</f>
        <v>-</v>
      </c>
      <c r="D22" s="708" t="str">
        <f>IF(B22="+","",IF(B22="++","",IF(B22="*","",IF(B22="-","",IF(B22=1,EAP!D65,IF(B22=2,EAP!D65,IF(B22="C",EAP!D65,IF(B22="P",EAP!D65,IF(B22="I",EAP!D65,IF(B22="M",EAP!D65,IF(B22="T",EAP!D65,IF(B22="R",EAP!D65))))))))))))</f>
        <v/>
      </c>
      <c r="E22" s="685" t="str">
        <f>IF(B22="+","",IF(B22="++","",IF(B22="*","",IF(B22="-","",IF(B22=1,EAP!E65,IF(B22=2,EAP!E65,IF(B22="C",EAP!E65,IF(B22="P",EAP!E65,IF(B22="I",EAP!E65,IF(B22="M",EAP!E65,IF(B22="T",EAP!E65,IF(B22="R",EAP!E65))))))))))))</f>
        <v/>
      </c>
      <c r="F22" s="199" t="str">
        <f>IF(B22="+","",IF(B22="++","",IF(B22="*","",IF(B22="-","",IF(B22=1,"",IF(B22=2,"",IF(B22="C",EAP!F65,IF(B22="P",EAP!F65,IF(B22="I",EAP!F65,IF(B22="M",EAP!F65,IF(B22="T",EAP!F65,IF(B22="R",EAP!F65))))))))))))</f>
        <v/>
      </c>
      <c r="G22" s="16" t="s">
        <v>401</v>
      </c>
      <c r="H22" s="17" t="s">
        <v>401</v>
      </c>
      <c r="I22" s="149" t="str">
        <f>IF(B22="+","",IF(B22="++","",IF(B22="*","",IF(B22="-","",IF(B22=1,"",IF(B22=2,"",IF(B22="C",EAP!I65,IF(B22="P",EAP!I65,IF(B22="I",EAP!I65,IF(B22="M",EAP!I65,IF(B22="T",EAP!I65,IF(B22="R",EAP!I65))))))))))))</f>
        <v/>
      </c>
      <c r="K22" s="149"/>
      <c r="L22" s="149"/>
      <c r="M22" s="149"/>
      <c r="N22" s="149"/>
      <c r="O22" s="149"/>
      <c r="P22" s="243"/>
      <c r="Q22" s="193"/>
      <c r="R22" s="220"/>
      <c r="S22" s="219"/>
      <c r="T22" s="217"/>
      <c r="U22" s="217"/>
      <c r="V22" s="217"/>
    </row>
    <row r="23" spans="2:22">
      <c r="B23" s="504" t="str">
        <f>EAP!B66</f>
        <v>*</v>
      </c>
      <c r="D23" s="708" t="str">
        <f>IF(B23="+","",IF(B23="++","",IF(B23="*","",IF(B23="-","",IF(B23=1,EAP!D66,IF(B23=2,EAP!D66,IF(B23="C",EAP!D66,IF(B23="P",EAP!D66,IF(B23="I",EAP!D66,IF(B23="M",EAP!D66,IF(B23="T",EAP!D66,IF(B23="R",EAP!D66))))))))))))</f>
        <v/>
      </c>
      <c r="E23" s="685" t="str">
        <f>IF(B23="+","",IF(B23="++","",IF(B23="*","",IF(B23="-","",IF(B23=1,EAP!E66,IF(B23=2,EAP!E66,IF(B23="C",EAP!E66,IF(B23="P",EAP!E66,IF(B23="I",EAP!E66,IF(B23="M",EAP!E66,IF(B23="T",EAP!E66,IF(B23="R",EAP!E66))))))))))))</f>
        <v/>
      </c>
      <c r="F23" s="199" t="str">
        <f>IF(B23="+","",IF(B23="++","",IF(B23="*","",IF(B23="-","",IF(B23=1,"",IF(B23=2,"",IF(B23="C",EAP!F66,IF(B23="P",EAP!F66,IF(B23="I",EAP!F66,IF(B23="M",EAP!F66,IF(B23="T",EAP!F66,IF(B23="R",EAP!F66))))))))))))</f>
        <v/>
      </c>
      <c r="G23" s="506" t="s">
        <v>256</v>
      </c>
      <c r="H23" s="727" t="s">
        <v>307</v>
      </c>
      <c r="J23" s="508"/>
      <c r="K23" s="726"/>
      <c r="L23" s="509"/>
      <c r="M23" s="15">
        <f>SUM(M14,M21)</f>
        <v>0</v>
      </c>
      <c r="O23" s="690"/>
      <c r="Q23" s="193"/>
      <c r="R23" s="220"/>
      <c r="S23" s="219"/>
      <c r="T23" s="217"/>
      <c r="U23" s="217"/>
      <c r="V23" s="217"/>
    </row>
    <row r="24" spans="2:22">
      <c r="B24" s="11"/>
      <c r="C24" s="11"/>
      <c r="D24" s="709"/>
      <c r="E24" s="685"/>
      <c r="G24" s="506"/>
      <c r="H24" s="507"/>
      <c r="I24" s="507"/>
      <c r="J24" s="508"/>
      <c r="K24" s="506" t="s">
        <v>23</v>
      </c>
      <c r="L24" s="511">
        <f>BDI!J11</f>
        <v>0.19818131607686618</v>
      </c>
      <c r="M24" s="512">
        <f>M23*L24</f>
        <v>0</v>
      </c>
      <c r="O24" s="690"/>
    </row>
    <row r="25" spans="2:22">
      <c r="B25" s="11"/>
      <c r="C25" s="11"/>
      <c r="D25" s="710"/>
      <c r="E25" s="691"/>
      <c r="F25" s="699"/>
      <c r="G25" s="700" t="s">
        <v>243</v>
      </c>
      <c r="H25" s="698" t="s">
        <v>307</v>
      </c>
      <c r="I25" s="698"/>
      <c r="J25" s="701"/>
      <c r="K25" s="711"/>
      <c r="L25" s="702"/>
      <c r="M25" s="703"/>
      <c r="N25" s="695">
        <f>SUM(N14,N21)</f>
        <v>0</v>
      </c>
      <c r="O25" s="704">
        <f>SUM(O14,O21)</f>
        <v>0</v>
      </c>
      <c r="P25" s="487" t="e">
        <f>SUM(P14,P21)</f>
        <v>#DIV/0!</v>
      </c>
    </row>
    <row r="26" spans="2:22">
      <c r="B26" s="11"/>
      <c r="C26" s="11"/>
      <c r="E26" s="685"/>
      <c r="G26" s="506"/>
      <c r="H26" s="507"/>
      <c r="I26" s="507"/>
      <c r="J26" s="508"/>
      <c r="K26" s="508"/>
      <c r="L26" s="509"/>
      <c r="M26" s="510"/>
      <c r="O26" s="15"/>
      <c r="P26" s="487"/>
      <c r="R26" s="685"/>
      <c r="S26" s="685"/>
    </row>
    <row r="27" spans="2:22">
      <c r="B27" s="504">
        <f>COUNTIF(B10:B23,"C")+COUNTIF(B10:B23,"I")+COUNTIF(B10:B23,"P")+COUNTIF(B10:B23,"M")+COUNTIF(B10:B23,"T")</f>
        <v>7</v>
      </c>
      <c r="D27" s="210" t="str">
        <f>"Total de serviços ="&amp;" "&amp;B27</f>
        <v>Total de serviços = 7</v>
      </c>
      <c r="G27" s="16"/>
      <c r="H27" s="18"/>
      <c r="O27" s="185"/>
    </row>
    <row r="28" spans="2:22">
      <c r="B28" s="504">
        <f>COUNTIF(B10:B23,"P")</f>
        <v>3</v>
      </c>
      <c r="D28" s="210" t="str">
        <f>"Total de serviços parametrizados ="&amp;" "&amp;B28</f>
        <v>Total de serviços parametrizados = 3</v>
      </c>
      <c r="G28" s="16"/>
      <c r="H28" s="18"/>
      <c r="O28" s="185"/>
    </row>
    <row r="29" spans="2:22">
      <c r="B29" s="504">
        <f>COUNTIF(B10:B27,"m")</f>
        <v>1</v>
      </c>
      <c r="D29" s="210" t="str">
        <f>"Total de serviços pesquisados no mercado ="&amp;" "&amp;B29</f>
        <v>Total de serviços pesquisados no mercado = 1</v>
      </c>
      <c r="G29" s="16"/>
      <c r="H29" s="18"/>
      <c r="O29" s="185"/>
    </row>
    <row r="30" spans="2:22">
      <c r="B30" s="504">
        <f>COUNTIF(B10:B27,"T")</f>
        <v>3</v>
      </c>
      <c r="D30" s="210" t="str">
        <f>"Total de taxas ="&amp;" "&amp;B30</f>
        <v>Total de taxas = 3</v>
      </c>
      <c r="E30" s="683"/>
      <c r="G30" s="16"/>
      <c r="H30" s="18"/>
      <c r="O30" s="185"/>
      <c r="R30" s="683"/>
      <c r="S30" s="683"/>
    </row>
    <row r="31" spans="2:22">
      <c r="D31" s="165"/>
      <c r="H31" s="18"/>
      <c r="M31" s="513">
        <f>SUM(M23:M24)</f>
        <v>0</v>
      </c>
      <c r="N31" s="513">
        <f>N25-M31</f>
        <v>0</v>
      </c>
      <c r="O31" s="467">
        <f>M31*12-O25</f>
        <v>0</v>
      </c>
    </row>
    <row r="32" spans="2:22">
      <c r="D32" s="165"/>
      <c r="H32" s="18"/>
    </row>
    <row r="33" spans="2:14">
      <c r="B33" s="504" t="s">
        <v>275</v>
      </c>
      <c r="C33" s="11" t="s">
        <v>276</v>
      </c>
      <c r="D33" s="165"/>
      <c r="H33" s="18"/>
      <c r="N33" s="244"/>
    </row>
    <row r="34" spans="2:14">
      <c r="B34" s="504" t="s">
        <v>263</v>
      </c>
      <c r="C34" s="11" t="s">
        <v>277</v>
      </c>
      <c r="D34" s="165"/>
      <c r="H34" s="18"/>
    </row>
    <row r="35" spans="2:14">
      <c r="B35" s="504" t="s">
        <v>264</v>
      </c>
      <c r="C35" s="11" t="s">
        <v>278</v>
      </c>
      <c r="D35" s="165"/>
      <c r="H35" s="18"/>
    </row>
    <row r="36" spans="2:14">
      <c r="B36" s="504" t="s">
        <v>134</v>
      </c>
      <c r="C36" s="11" t="s">
        <v>279</v>
      </c>
      <c r="D36" s="165"/>
      <c r="H36" s="18"/>
      <c r="K36" s="279"/>
    </row>
    <row r="37" spans="2:14">
      <c r="B37" s="504" t="s">
        <v>269</v>
      </c>
      <c r="C37" s="11" t="s">
        <v>280</v>
      </c>
      <c r="D37" s="165"/>
      <c r="H37" s="18"/>
      <c r="K37" s="278"/>
    </row>
    <row r="38" spans="2:14">
      <c r="B38" s="504" t="s">
        <v>281</v>
      </c>
      <c r="C38" s="11" t="s">
        <v>282</v>
      </c>
      <c r="D38" s="165"/>
      <c r="H38" s="18"/>
      <c r="K38" s="278"/>
    </row>
    <row r="39" spans="2:14">
      <c r="D39" s="165"/>
      <c r="H39" s="18"/>
    </row>
    <row r="40" spans="2:14">
      <c r="D40" s="165"/>
      <c r="H40" s="18"/>
    </row>
    <row r="41" spans="2:14">
      <c r="D41" s="165"/>
      <c r="H41" s="18"/>
    </row>
    <row r="42" spans="2:14">
      <c r="D42" s="165"/>
      <c r="H42" s="18"/>
    </row>
    <row r="43" spans="2:14">
      <c r="D43" s="165"/>
      <c r="H43" s="18"/>
    </row>
    <row r="44" spans="2:14">
      <c r="D44" s="165"/>
      <c r="H44" s="18"/>
    </row>
    <row r="45" spans="2:14">
      <c r="D45" s="165"/>
      <c r="H45" s="18"/>
    </row>
    <row r="46" spans="2:14">
      <c r="D46" s="165"/>
      <c r="H46" s="18"/>
    </row>
    <row r="47" spans="2:14">
      <c r="D47" s="165"/>
      <c r="H47" s="18"/>
    </row>
    <row r="48" spans="2:14">
      <c r="D48" s="165"/>
      <c r="H48" s="18"/>
    </row>
    <row r="49" spans="1:27">
      <c r="D49" s="165"/>
      <c r="H49" s="18"/>
    </row>
    <row r="50" spans="1:27">
      <c r="D50" s="165"/>
      <c r="H50" s="18"/>
    </row>
    <row r="51" spans="1:27">
      <c r="D51" s="165"/>
      <c r="H51" s="18"/>
    </row>
    <row r="52" spans="1:27">
      <c r="D52" s="165"/>
      <c r="H52" s="18"/>
    </row>
    <row r="53" spans="1:27">
      <c r="D53" s="165"/>
      <c r="H53" s="18"/>
    </row>
    <row r="54" spans="1:27">
      <c r="D54" s="165"/>
      <c r="H54" s="18"/>
    </row>
    <row r="55" spans="1:27">
      <c r="D55" s="165"/>
      <c r="H55" s="18"/>
    </row>
    <row r="56" spans="1:27">
      <c r="D56" s="165"/>
      <c r="H56" s="18"/>
    </row>
    <row r="57" spans="1:27">
      <c r="D57" s="165"/>
      <c r="H57" s="18"/>
    </row>
    <row r="58" spans="1:27">
      <c r="D58" s="165"/>
      <c r="H58" s="18"/>
    </row>
    <row r="59" spans="1:27">
      <c r="D59" s="165"/>
      <c r="H59" s="18"/>
    </row>
    <row r="60" spans="1:27">
      <c r="D60" s="165"/>
      <c r="H60" s="18"/>
    </row>
    <row r="61" spans="1:27">
      <c r="D61" s="165"/>
      <c r="H61" s="18"/>
    </row>
    <row r="62" spans="1:27" s="16" customFormat="1">
      <c r="A62" s="184"/>
      <c r="B62" s="504"/>
      <c r="C62" s="504"/>
      <c r="D62" s="504"/>
      <c r="E62" s="504"/>
      <c r="F62" s="199"/>
      <c r="G62" s="164"/>
      <c r="H62" s="17"/>
      <c r="I62" s="149"/>
      <c r="J62" s="149"/>
      <c r="K62" s="15"/>
      <c r="L62" s="15"/>
      <c r="M62" s="15"/>
      <c r="N62" s="15"/>
      <c r="O62" s="22"/>
      <c r="P62" s="242"/>
      <c r="Q62" s="208"/>
      <c r="R62" s="504"/>
      <c r="S62" s="504"/>
      <c r="T62" s="11"/>
      <c r="U62" s="11"/>
      <c r="V62" s="11"/>
      <c r="W62" s="11"/>
      <c r="X62" s="11"/>
      <c r="Y62" s="11"/>
      <c r="Z62" s="11"/>
      <c r="AA62" s="11"/>
    </row>
    <row r="63" spans="1:27" s="16" customFormat="1">
      <c r="A63" s="184"/>
      <c r="B63" s="504"/>
      <c r="C63" s="504"/>
      <c r="D63" s="504"/>
      <c r="E63" s="504"/>
      <c r="F63" s="199"/>
      <c r="G63" s="164"/>
      <c r="H63" s="17"/>
      <c r="I63" s="149"/>
      <c r="J63" s="149"/>
      <c r="K63" s="15"/>
      <c r="L63" s="15"/>
      <c r="M63" s="15"/>
      <c r="N63" s="15"/>
      <c r="O63" s="22"/>
      <c r="P63" s="242"/>
      <c r="Q63" s="208"/>
      <c r="R63" s="504"/>
      <c r="S63" s="504"/>
      <c r="T63" s="11"/>
      <c r="U63" s="11"/>
      <c r="V63" s="11"/>
      <c r="W63" s="11"/>
      <c r="X63" s="11"/>
      <c r="Y63" s="11"/>
      <c r="Z63" s="11"/>
      <c r="AA63" s="11"/>
    </row>
    <row r="64" spans="1:27" s="16" customFormat="1">
      <c r="A64" s="184"/>
      <c r="B64" s="504"/>
      <c r="C64" s="504"/>
      <c r="D64" s="504"/>
      <c r="E64" s="504"/>
      <c r="F64" s="199"/>
      <c r="G64" s="164"/>
      <c r="H64" s="17"/>
      <c r="I64" s="149"/>
      <c r="J64" s="149"/>
      <c r="K64" s="15"/>
      <c r="L64" s="15"/>
      <c r="M64" s="15"/>
      <c r="N64" s="15"/>
      <c r="O64" s="22"/>
      <c r="P64" s="242"/>
      <c r="Q64" s="208"/>
      <c r="R64" s="504"/>
      <c r="S64" s="504"/>
      <c r="T64" s="11"/>
      <c r="U64" s="11"/>
      <c r="V64" s="11"/>
      <c r="W64" s="11"/>
      <c r="X64" s="11"/>
      <c r="Y64" s="11"/>
      <c r="Z64" s="11"/>
      <c r="AA64" s="11"/>
    </row>
    <row r="65" spans="1:27" s="16" customFormat="1">
      <c r="A65" s="184"/>
      <c r="B65" s="504"/>
      <c r="C65" s="504"/>
      <c r="D65" s="504"/>
      <c r="E65" s="504"/>
      <c r="F65" s="199"/>
      <c r="G65" s="164"/>
      <c r="H65" s="17"/>
      <c r="I65" s="149"/>
      <c r="J65" s="149"/>
      <c r="K65" s="15"/>
      <c r="L65" s="15"/>
      <c r="M65" s="15"/>
      <c r="N65" s="15"/>
      <c r="O65" s="22"/>
      <c r="P65" s="242"/>
      <c r="Q65" s="208"/>
      <c r="R65" s="504"/>
      <c r="S65" s="504"/>
      <c r="T65" s="11"/>
      <c r="U65" s="11"/>
      <c r="V65" s="11"/>
      <c r="W65" s="11"/>
      <c r="X65" s="11"/>
      <c r="Y65" s="11"/>
      <c r="Z65" s="11"/>
      <c r="AA65" s="11"/>
    </row>
    <row r="66" spans="1:27" s="16" customFormat="1">
      <c r="A66" s="184"/>
      <c r="B66" s="504"/>
      <c r="C66" s="504"/>
      <c r="D66" s="504"/>
      <c r="E66" s="504"/>
      <c r="F66" s="199"/>
      <c r="G66" s="164"/>
      <c r="H66" s="17"/>
      <c r="I66" s="149"/>
      <c r="J66" s="149"/>
      <c r="K66" s="15"/>
      <c r="L66" s="15"/>
      <c r="M66" s="15"/>
      <c r="N66" s="15"/>
      <c r="O66" s="22"/>
      <c r="P66" s="242"/>
      <c r="Q66" s="208"/>
      <c r="R66" s="504"/>
      <c r="S66" s="504"/>
      <c r="T66" s="11"/>
      <c r="U66" s="11"/>
      <c r="V66" s="11"/>
      <c r="W66" s="11"/>
      <c r="X66" s="11"/>
      <c r="Y66" s="11"/>
      <c r="Z66" s="11"/>
      <c r="AA66" s="11"/>
    </row>
    <row r="67" spans="1:27" s="16" customFormat="1">
      <c r="A67" s="184"/>
      <c r="B67" s="504"/>
      <c r="C67" s="504"/>
      <c r="D67" s="504"/>
      <c r="E67" s="504"/>
      <c r="F67" s="199"/>
      <c r="G67" s="164"/>
      <c r="H67" s="17"/>
      <c r="I67" s="149"/>
      <c r="J67" s="149"/>
      <c r="K67" s="15"/>
      <c r="L67" s="15"/>
      <c r="M67" s="15"/>
      <c r="N67" s="15"/>
      <c r="O67" s="22"/>
      <c r="P67" s="242"/>
      <c r="Q67" s="208"/>
      <c r="R67" s="504"/>
      <c r="S67" s="504"/>
      <c r="T67" s="11"/>
      <c r="U67" s="11"/>
      <c r="V67" s="11"/>
      <c r="W67" s="11"/>
      <c r="X67" s="11"/>
      <c r="Y67" s="11"/>
      <c r="Z67" s="11"/>
      <c r="AA67" s="11"/>
    </row>
    <row r="68" spans="1:27" s="16" customFormat="1">
      <c r="A68" s="184"/>
      <c r="B68" s="504"/>
      <c r="C68" s="504"/>
      <c r="D68" s="504"/>
      <c r="E68" s="504"/>
      <c r="F68" s="199"/>
      <c r="G68" s="164"/>
      <c r="H68" s="17"/>
      <c r="I68" s="149"/>
      <c r="J68" s="149"/>
      <c r="K68" s="15"/>
      <c r="L68" s="15"/>
      <c r="M68" s="15"/>
      <c r="N68" s="15"/>
      <c r="O68" s="22"/>
      <c r="P68" s="242"/>
      <c r="Q68" s="208"/>
      <c r="R68" s="504"/>
      <c r="S68" s="504"/>
      <c r="T68" s="11"/>
      <c r="U68" s="11"/>
      <c r="V68" s="11"/>
      <c r="W68" s="11"/>
      <c r="X68" s="11"/>
      <c r="Y68" s="11"/>
      <c r="Z68" s="11"/>
      <c r="AA68" s="11"/>
    </row>
    <row r="69" spans="1:27" s="16" customFormat="1">
      <c r="A69" s="184"/>
      <c r="B69" s="504"/>
      <c r="C69" s="504"/>
      <c r="D69" s="504"/>
      <c r="E69" s="504"/>
      <c r="F69" s="199"/>
      <c r="G69" s="164"/>
      <c r="H69" s="17"/>
      <c r="I69" s="149"/>
      <c r="J69" s="149"/>
      <c r="K69" s="15"/>
      <c r="L69" s="15"/>
      <c r="M69" s="15"/>
      <c r="N69" s="15"/>
      <c r="O69" s="22"/>
      <c r="P69" s="242"/>
      <c r="Q69" s="208"/>
      <c r="R69" s="504"/>
      <c r="S69" s="504"/>
      <c r="T69" s="11"/>
      <c r="U69" s="11"/>
      <c r="V69" s="11"/>
      <c r="W69" s="11"/>
      <c r="X69" s="11"/>
      <c r="Y69" s="11"/>
      <c r="Z69" s="11"/>
      <c r="AA69" s="11"/>
    </row>
    <row r="70" spans="1:27" s="16" customFormat="1">
      <c r="A70" s="184"/>
      <c r="B70" s="504"/>
      <c r="C70" s="504"/>
      <c r="D70" s="504"/>
      <c r="E70" s="504"/>
      <c r="F70" s="199"/>
      <c r="G70" s="164"/>
      <c r="H70" s="17"/>
      <c r="I70" s="149"/>
      <c r="J70" s="149"/>
      <c r="K70" s="15"/>
      <c r="L70" s="15"/>
      <c r="M70" s="15"/>
      <c r="N70" s="15"/>
      <c r="O70" s="22"/>
      <c r="P70" s="242"/>
      <c r="Q70" s="208"/>
      <c r="R70" s="504"/>
      <c r="S70" s="504"/>
      <c r="T70" s="11"/>
      <c r="U70" s="11"/>
      <c r="V70" s="11"/>
      <c r="W70" s="11"/>
      <c r="X70" s="11"/>
      <c r="Y70" s="11"/>
      <c r="Z70" s="11"/>
      <c r="AA70" s="11"/>
    </row>
    <row r="71" spans="1:27" s="16" customFormat="1">
      <c r="A71" s="184"/>
      <c r="B71" s="504"/>
      <c r="C71" s="504"/>
      <c r="D71" s="504"/>
      <c r="E71" s="504"/>
      <c r="F71" s="199"/>
      <c r="G71" s="164"/>
      <c r="H71" s="17"/>
      <c r="I71" s="149"/>
      <c r="J71" s="149"/>
      <c r="K71" s="15"/>
      <c r="L71" s="15"/>
      <c r="M71" s="15"/>
      <c r="N71" s="15"/>
      <c r="O71" s="22"/>
      <c r="P71" s="242"/>
      <c r="Q71" s="208"/>
      <c r="R71" s="504"/>
      <c r="S71" s="504"/>
      <c r="T71" s="11"/>
      <c r="U71" s="11"/>
      <c r="V71" s="11"/>
      <c r="W71" s="11"/>
      <c r="X71" s="11"/>
      <c r="Y71" s="11"/>
      <c r="Z71" s="11"/>
      <c r="AA71" s="11"/>
    </row>
    <row r="72" spans="1:27" s="16" customFormat="1">
      <c r="A72" s="184"/>
      <c r="B72" s="504"/>
      <c r="C72" s="504"/>
      <c r="D72" s="504"/>
      <c r="E72" s="504"/>
      <c r="F72" s="199"/>
      <c r="G72" s="164"/>
      <c r="H72" s="17"/>
      <c r="I72" s="149"/>
      <c r="J72" s="149"/>
      <c r="K72" s="15"/>
      <c r="L72" s="15"/>
      <c r="M72" s="15"/>
      <c r="N72" s="15"/>
      <c r="O72" s="22"/>
      <c r="P72" s="242"/>
      <c r="Q72" s="208"/>
      <c r="R72" s="504"/>
      <c r="S72" s="504"/>
      <c r="T72" s="11"/>
      <c r="U72" s="11"/>
      <c r="V72" s="11"/>
      <c r="W72" s="11"/>
      <c r="X72" s="11"/>
      <c r="Y72" s="11"/>
      <c r="Z72" s="11"/>
      <c r="AA72" s="11"/>
    </row>
    <row r="73" spans="1:27" s="16" customFormat="1">
      <c r="A73" s="184"/>
      <c r="B73" s="504"/>
      <c r="C73" s="504"/>
      <c r="D73" s="504"/>
      <c r="E73" s="504"/>
      <c r="F73" s="199"/>
      <c r="G73" s="164"/>
      <c r="H73" s="17"/>
      <c r="I73" s="149"/>
      <c r="J73" s="149"/>
      <c r="K73" s="15"/>
      <c r="L73" s="15"/>
      <c r="M73" s="15"/>
      <c r="N73" s="15"/>
      <c r="O73" s="22"/>
      <c r="P73" s="242"/>
      <c r="Q73" s="208"/>
      <c r="R73" s="504"/>
      <c r="S73" s="504"/>
      <c r="T73" s="11"/>
      <c r="U73" s="11"/>
      <c r="V73" s="11"/>
      <c r="W73" s="11"/>
      <c r="X73" s="11"/>
      <c r="Y73" s="11"/>
      <c r="Z73" s="11"/>
      <c r="AA73" s="11"/>
    </row>
    <row r="74" spans="1:27" s="16" customFormat="1">
      <c r="A74" s="184"/>
      <c r="B74" s="504"/>
      <c r="C74" s="504"/>
      <c r="D74" s="504"/>
      <c r="E74" s="504"/>
      <c r="F74" s="199"/>
      <c r="G74" s="164"/>
      <c r="H74" s="17"/>
      <c r="I74" s="149"/>
      <c r="J74" s="149"/>
      <c r="K74" s="15"/>
      <c r="L74" s="15"/>
      <c r="M74" s="15"/>
      <c r="N74" s="15"/>
      <c r="O74" s="22"/>
      <c r="P74" s="242"/>
      <c r="Q74" s="208"/>
      <c r="R74" s="504"/>
      <c r="S74" s="504"/>
      <c r="T74" s="11"/>
      <c r="U74" s="11"/>
      <c r="V74" s="11"/>
      <c r="W74" s="11"/>
      <c r="X74" s="11"/>
      <c r="Y74" s="11"/>
      <c r="Z74" s="11"/>
      <c r="AA74" s="11"/>
    </row>
    <row r="75" spans="1:27" s="16" customFormat="1">
      <c r="A75" s="184"/>
      <c r="B75" s="504"/>
      <c r="C75" s="504"/>
      <c r="D75" s="504"/>
      <c r="E75" s="504"/>
      <c r="F75" s="199"/>
      <c r="G75" s="164"/>
      <c r="H75" s="17"/>
      <c r="I75" s="149"/>
      <c r="J75" s="149"/>
      <c r="K75" s="15"/>
      <c r="L75" s="15"/>
      <c r="M75" s="15"/>
      <c r="N75" s="15"/>
      <c r="O75" s="22"/>
      <c r="P75" s="242"/>
      <c r="Q75" s="208"/>
      <c r="R75" s="504"/>
      <c r="S75" s="504"/>
      <c r="T75" s="11"/>
      <c r="U75" s="11"/>
      <c r="V75" s="11"/>
      <c r="W75" s="11"/>
      <c r="X75" s="11"/>
      <c r="Y75" s="11"/>
      <c r="Z75" s="11"/>
      <c r="AA75" s="11"/>
    </row>
    <row r="76" spans="1:27" s="16" customFormat="1">
      <c r="A76" s="184"/>
      <c r="B76" s="504"/>
      <c r="C76" s="504"/>
      <c r="D76" s="504"/>
      <c r="E76" s="504"/>
      <c r="F76" s="199"/>
      <c r="G76" s="164"/>
      <c r="H76" s="17"/>
      <c r="I76" s="149"/>
      <c r="J76" s="149"/>
      <c r="K76" s="15"/>
      <c r="L76" s="15"/>
      <c r="M76" s="15"/>
      <c r="N76" s="15"/>
      <c r="O76" s="22"/>
      <c r="P76" s="242"/>
      <c r="Q76" s="208"/>
      <c r="R76" s="504"/>
      <c r="S76" s="504"/>
      <c r="T76" s="11"/>
      <c r="U76" s="11"/>
      <c r="V76" s="11"/>
      <c r="W76" s="11"/>
      <c r="X76" s="11"/>
      <c r="Y76" s="11"/>
      <c r="Z76" s="11"/>
      <c r="AA76" s="11"/>
    </row>
    <row r="77" spans="1:27" s="16" customFormat="1">
      <c r="A77" s="184"/>
      <c r="B77" s="504"/>
      <c r="C77" s="504"/>
      <c r="D77" s="504"/>
      <c r="E77" s="504"/>
      <c r="F77" s="199"/>
      <c r="G77" s="164"/>
      <c r="H77" s="17"/>
      <c r="I77" s="149"/>
      <c r="J77" s="149"/>
      <c r="K77" s="15"/>
      <c r="L77" s="15"/>
      <c r="M77" s="15"/>
      <c r="N77" s="15"/>
      <c r="O77" s="22"/>
      <c r="P77" s="242"/>
      <c r="Q77" s="208"/>
      <c r="R77" s="504"/>
      <c r="S77" s="504"/>
      <c r="T77" s="11"/>
      <c r="U77" s="11"/>
      <c r="V77" s="11"/>
      <c r="W77" s="11"/>
      <c r="X77" s="11"/>
      <c r="Y77" s="11"/>
      <c r="Z77" s="11"/>
      <c r="AA77" s="11"/>
    </row>
    <row r="78" spans="1:27" s="16" customFormat="1">
      <c r="A78" s="184"/>
      <c r="B78" s="504"/>
      <c r="C78" s="504"/>
      <c r="D78" s="504"/>
      <c r="E78" s="504"/>
      <c r="F78" s="199"/>
      <c r="G78" s="164"/>
      <c r="H78" s="17"/>
      <c r="I78" s="149"/>
      <c r="J78" s="149"/>
      <c r="K78" s="15"/>
      <c r="L78" s="15"/>
      <c r="M78" s="15"/>
      <c r="N78" s="15"/>
      <c r="O78" s="22"/>
      <c r="P78" s="242"/>
      <c r="Q78" s="208"/>
      <c r="R78" s="504"/>
      <c r="S78" s="504"/>
      <c r="T78" s="11"/>
      <c r="U78" s="11"/>
      <c r="V78" s="11"/>
      <c r="W78" s="11"/>
      <c r="X78" s="11"/>
      <c r="Y78" s="11"/>
      <c r="Z78" s="11"/>
      <c r="AA78" s="11"/>
    </row>
    <row r="79" spans="1:27" s="16" customFormat="1">
      <c r="A79" s="184"/>
      <c r="B79" s="504"/>
      <c r="C79" s="504"/>
      <c r="D79" s="504"/>
      <c r="E79" s="504"/>
      <c r="F79" s="199"/>
      <c r="G79" s="164"/>
      <c r="H79" s="17"/>
      <c r="I79" s="149"/>
      <c r="J79" s="149"/>
      <c r="K79" s="15"/>
      <c r="L79" s="15"/>
      <c r="M79" s="15"/>
      <c r="N79" s="15"/>
      <c r="O79" s="22"/>
      <c r="P79" s="242"/>
      <c r="Q79" s="208"/>
      <c r="R79" s="504"/>
      <c r="S79" s="504"/>
      <c r="T79" s="11"/>
      <c r="U79" s="11"/>
      <c r="V79" s="11"/>
      <c r="W79" s="11"/>
      <c r="X79" s="11"/>
      <c r="Y79" s="11"/>
      <c r="Z79" s="11"/>
      <c r="AA79" s="11"/>
    </row>
    <row r="80" spans="1:27" s="16" customFormat="1">
      <c r="A80" s="184"/>
      <c r="B80" s="504"/>
      <c r="C80" s="504"/>
      <c r="D80" s="504"/>
      <c r="E80" s="504"/>
      <c r="F80" s="199"/>
      <c r="G80" s="164"/>
      <c r="H80" s="17"/>
      <c r="I80" s="149"/>
      <c r="J80" s="149"/>
      <c r="K80" s="15"/>
      <c r="L80" s="15"/>
      <c r="M80" s="15"/>
      <c r="N80" s="15"/>
      <c r="O80" s="22"/>
      <c r="P80" s="242"/>
      <c r="Q80" s="208"/>
      <c r="R80" s="504"/>
      <c r="S80" s="504"/>
      <c r="T80" s="11"/>
      <c r="U80" s="11"/>
      <c r="V80" s="11"/>
      <c r="W80" s="11"/>
      <c r="X80" s="11"/>
      <c r="Y80" s="11"/>
      <c r="Z80" s="11"/>
      <c r="AA80" s="11"/>
    </row>
    <row r="81" spans="1:27" s="16" customFormat="1">
      <c r="A81" s="184"/>
      <c r="B81" s="504"/>
      <c r="C81" s="504"/>
      <c r="D81" s="504"/>
      <c r="E81" s="504"/>
      <c r="F81" s="199"/>
      <c r="G81" s="164"/>
      <c r="H81" s="17"/>
      <c r="I81" s="149"/>
      <c r="J81" s="149"/>
      <c r="K81" s="15"/>
      <c r="L81" s="15"/>
      <c r="M81" s="15"/>
      <c r="N81" s="15"/>
      <c r="O81" s="22"/>
      <c r="P81" s="242"/>
      <c r="Q81" s="208"/>
      <c r="R81" s="504"/>
      <c r="S81" s="504"/>
      <c r="T81" s="11"/>
      <c r="U81" s="11"/>
      <c r="V81" s="11"/>
      <c r="W81" s="11"/>
      <c r="X81" s="11"/>
      <c r="Y81" s="11"/>
      <c r="Z81" s="11"/>
      <c r="AA81" s="11"/>
    </row>
    <row r="82" spans="1:27" s="16" customFormat="1">
      <c r="A82" s="184"/>
      <c r="B82" s="504"/>
      <c r="C82" s="504"/>
      <c r="D82" s="504"/>
      <c r="E82" s="504"/>
      <c r="F82" s="199"/>
      <c r="G82" s="164"/>
      <c r="H82" s="17"/>
      <c r="I82" s="149"/>
      <c r="J82" s="149"/>
      <c r="K82" s="15"/>
      <c r="L82" s="15"/>
      <c r="M82" s="15"/>
      <c r="N82" s="15"/>
      <c r="O82" s="22"/>
      <c r="P82" s="242"/>
      <c r="Q82" s="208"/>
      <c r="R82" s="504"/>
      <c r="S82" s="504"/>
      <c r="T82" s="11"/>
      <c r="U82" s="11"/>
      <c r="V82" s="11"/>
      <c r="W82" s="11"/>
      <c r="X82" s="11"/>
      <c r="Y82" s="11"/>
      <c r="Z82" s="11"/>
      <c r="AA82" s="11"/>
    </row>
    <row r="83" spans="1:27" s="16" customFormat="1">
      <c r="A83" s="184"/>
      <c r="B83" s="504"/>
      <c r="C83" s="504"/>
      <c r="D83" s="504"/>
      <c r="E83" s="504"/>
      <c r="F83" s="199"/>
      <c r="G83" s="164"/>
      <c r="H83" s="17"/>
      <c r="I83" s="149"/>
      <c r="J83" s="149"/>
      <c r="K83" s="15"/>
      <c r="L83" s="15"/>
      <c r="M83" s="15"/>
      <c r="N83" s="15"/>
      <c r="O83" s="22"/>
      <c r="P83" s="242"/>
      <c r="Q83" s="208"/>
      <c r="R83" s="504"/>
      <c r="S83" s="504"/>
      <c r="T83" s="11"/>
      <c r="U83" s="11"/>
      <c r="V83" s="11"/>
      <c r="W83" s="11"/>
      <c r="X83" s="11"/>
      <c r="Y83" s="11"/>
      <c r="Z83" s="11"/>
      <c r="AA83" s="11"/>
    </row>
    <row r="84" spans="1:27" s="16" customFormat="1">
      <c r="A84" s="184"/>
      <c r="B84" s="504"/>
      <c r="C84" s="504"/>
      <c r="D84" s="504"/>
      <c r="E84" s="504"/>
      <c r="F84" s="199"/>
      <c r="G84" s="164"/>
      <c r="H84" s="17"/>
      <c r="I84" s="149"/>
      <c r="J84" s="149"/>
      <c r="K84" s="15"/>
      <c r="L84" s="15"/>
      <c r="M84" s="15"/>
      <c r="N84" s="15"/>
      <c r="O84" s="22"/>
      <c r="P84" s="242"/>
      <c r="Q84" s="208"/>
      <c r="R84" s="504"/>
      <c r="S84" s="504"/>
      <c r="T84" s="11"/>
      <c r="U84" s="11"/>
      <c r="V84" s="11"/>
      <c r="W84" s="11"/>
      <c r="X84" s="11"/>
      <c r="Y84" s="11"/>
      <c r="Z84" s="11"/>
      <c r="AA84" s="11"/>
    </row>
    <row r="85" spans="1:27" s="16" customFormat="1">
      <c r="A85" s="184"/>
      <c r="B85" s="504"/>
      <c r="C85" s="504"/>
      <c r="D85" s="504"/>
      <c r="E85" s="504"/>
      <c r="F85" s="199"/>
      <c r="G85" s="164"/>
      <c r="H85" s="17"/>
      <c r="I85" s="149"/>
      <c r="J85" s="149"/>
      <c r="K85" s="15"/>
      <c r="L85" s="15"/>
      <c r="M85" s="15"/>
      <c r="N85" s="15"/>
      <c r="O85" s="22"/>
      <c r="P85" s="242"/>
      <c r="Q85" s="208"/>
      <c r="R85" s="504"/>
      <c r="S85" s="504"/>
      <c r="T85" s="11"/>
      <c r="U85" s="11"/>
      <c r="V85" s="11"/>
      <c r="W85" s="11"/>
      <c r="X85" s="11"/>
      <c r="Y85" s="11"/>
      <c r="Z85" s="11"/>
      <c r="AA85" s="11"/>
    </row>
  </sheetData>
  <sheetProtection autoFilter="0"/>
  <autoFilter ref="A9:O31">
    <filterColumn colId="1">
      <filters blank="1">
        <filter val="-"/>
        <filter val="*"/>
        <filter val="+"/>
        <filter val="1"/>
        <filter val="3"/>
        <filter val="7"/>
        <filter val="M"/>
        <filter val="P"/>
        <filter val="T"/>
      </filters>
    </filterColumn>
  </autoFilter>
  <mergeCells count="5">
    <mergeCell ref="R7:S7"/>
    <mergeCell ref="T7:U7"/>
    <mergeCell ref="V7:W7"/>
    <mergeCell ref="D7:O7"/>
    <mergeCell ref="K3:N5"/>
  </mergeCells>
  <conditionalFormatting sqref="B31:O472 B23:H23 J23:M23 B10:O11 B14:O15 B12:J13 L12:O13 B21:O22 B16:J20 L16:O20">
    <cfRule type="expression" dxfId="56" priority="167">
      <formula>$B10="*"</formula>
    </cfRule>
    <cfRule type="expression" dxfId="55" priority="168">
      <formula>$B10="+"</formula>
    </cfRule>
    <cfRule type="expression" dxfId="54" priority="169">
      <formula>$B10="++"</formula>
    </cfRule>
    <cfRule type="expression" dxfId="53" priority="170">
      <formula>$B10=2</formula>
    </cfRule>
    <cfRule type="expression" dxfId="52" priority="171">
      <formula>$B10=1</formula>
    </cfRule>
  </conditionalFormatting>
  <conditionalFormatting sqref="R10:W23">
    <cfRule type="expression" dxfId="51" priority="153">
      <formula>$B10="+"</formula>
    </cfRule>
    <cfRule type="expression" dxfId="50" priority="154">
      <formula>$B10="++"</formula>
    </cfRule>
  </conditionalFormatting>
  <conditionalFormatting sqref="N25:O26">
    <cfRule type="expression" dxfId="49" priority="177">
      <formula>$B23="*"</formula>
    </cfRule>
    <cfRule type="expression" dxfId="48" priority="178">
      <formula>$B23="+"</formula>
    </cfRule>
    <cfRule type="expression" dxfId="47" priority="179">
      <formula>$B23="++"</formula>
    </cfRule>
    <cfRule type="expression" dxfId="46" priority="180">
      <formula>$B23=2</formula>
    </cfRule>
    <cfRule type="expression" dxfId="45" priority="181">
      <formula>$B23=1</formula>
    </cfRule>
  </conditionalFormatting>
  <conditionalFormatting sqref="H24">
    <cfRule type="expression" dxfId="44" priority="187">
      <formula>$B27="*"</formula>
    </cfRule>
    <cfRule type="expression" dxfId="43" priority="188">
      <formula>$B27="+"</formula>
    </cfRule>
    <cfRule type="expression" dxfId="42" priority="189">
      <formula>$B27="++"</formula>
    </cfRule>
    <cfRule type="expression" dxfId="41" priority="190">
      <formula>$B27=2</formula>
    </cfRule>
    <cfRule type="expression" dxfId="40" priority="191">
      <formula>$B27=1</formula>
    </cfRule>
  </conditionalFormatting>
  <conditionalFormatting sqref="K25">
    <cfRule type="expression" dxfId="39" priority="16">
      <formula>$B25="*"</formula>
    </cfRule>
    <cfRule type="expression" dxfId="38" priority="17">
      <formula>$B25="+"</formula>
    </cfRule>
    <cfRule type="expression" dxfId="37" priority="18">
      <formula>$B25="++"</formula>
    </cfRule>
    <cfRule type="expression" dxfId="36" priority="19">
      <formula>$B25=2</formula>
    </cfRule>
    <cfRule type="expression" dxfId="35" priority="20">
      <formula>$B25=1</formula>
    </cfRule>
  </conditionalFormatting>
  <conditionalFormatting sqref="K12:K13">
    <cfRule type="expression" dxfId="34" priority="6">
      <formula>$B12="*"</formula>
    </cfRule>
    <cfRule type="expression" dxfId="33" priority="7">
      <formula>$B12="+"</formula>
    </cfRule>
    <cfRule type="expression" dxfId="32" priority="8">
      <formula>$B12="++"</formula>
    </cfRule>
    <cfRule type="expression" dxfId="31" priority="9">
      <formula>$B12=2</formula>
    </cfRule>
    <cfRule type="expression" dxfId="30" priority="10">
      <formula>$B12=1</formula>
    </cfRule>
  </conditionalFormatting>
  <conditionalFormatting sqref="K16:K20">
    <cfRule type="expression" dxfId="29" priority="1">
      <formula>$B16="*"</formula>
    </cfRule>
    <cfRule type="expression" dxfId="28" priority="2">
      <formula>$B16="+"</formula>
    </cfRule>
    <cfRule type="expression" dxfId="27" priority="3">
      <formula>$B16="++"</formula>
    </cfRule>
    <cfRule type="expression" dxfId="26" priority="4">
      <formula>$B16=2</formula>
    </cfRule>
    <cfRule type="expression" dxfId="25" priority="5">
      <formula>$B16=1</formula>
    </cfRule>
  </conditionalFormatting>
  <hyperlinks>
    <hyperlink ref="R3" location="INÍCIO!B15" display="INÍCIO"/>
  </hyperlinks>
  <printOptions horizontalCentered="1"/>
  <pageMargins left="0.39370078740157483" right="0.39370078740157483" top="0.39370078740157483" bottom="0.98425196850393704" header="0.39370078740157483" footer="0.39370078740157483"/>
  <pageSetup paperSize="9" scale="59" orientation="landscape" r:id="rId1"/>
  <headerFooter>
    <oddFooter>&amp;C&amp;"Courier New,Normal"&amp;8Prefeitura da UFRJ
Praça Jorge Machado Moreira, 100 - Cidade Universitária - Ilha do Fundão
CEP 21941-598 - Rio de Janeiro-RJ - Cx. Postal 68.010
Tel:21 3938-9324&amp;R&amp;"Courier New,Normal"&amp;8Página: &amp;P/&amp;N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26"/>
  <sheetViews>
    <sheetView view="pageBreakPreview" zoomScaleNormal="100" zoomScaleSheetLayoutView="100" workbookViewId="0">
      <selection activeCell="E10" sqref="E10"/>
    </sheetView>
  </sheetViews>
  <sheetFormatPr defaultRowHeight="11.25"/>
  <cols>
    <col min="1" max="1" width="9.140625" style="491"/>
    <col min="2" max="2" width="13.85546875" style="491" customWidth="1"/>
    <col min="3" max="3" width="41.85546875" style="491" customWidth="1"/>
    <col min="4" max="4" width="9.140625" style="491"/>
    <col min="5" max="5" width="13.140625" style="496" customWidth="1"/>
    <col min="6" max="6" width="15.140625" style="496" bestFit="1" customWidth="1"/>
    <col min="7" max="8" width="13.7109375" style="496" customWidth="1"/>
    <col min="9" max="9" width="18.28515625" style="495" bestFit="1" customWidth="1"/>
    <col min="10" max="10" width="18.28515625" style="495" customWidth="1"/>
    <col min="11" max="11" width="18.42578125" style="495" bestFit="1" customWidth="1"/>
    <col min="12" max="12" width="16.140625" style="496" customWidth="1"/>
    <col min="13" max="13" width="12.85546875" style="497" hidden="1" customWidth="1"/>
    <col min="14" max="14" width="25.85546875" style="497" hidden="1" customWidth="1"/>
    <col min="15" max="15" width="9.42578125" style="497" hidden="1" customWidth="1"/>
    <col min="16" max="16" width="14.140625" style="497" hidden="1" customWidth="1"/>
    <col min="17" max="17" width="9.42578125" style="497" hidden="1" customWidth="1"/>
    <col min="18" max="18" width="11.42578125" style="497" hidden="1" customWidth="1"/>
    <col min="19" max="19" width="13.28515625" style="497" hidden="1" customWidth="1"/>
    <col min="20" max="21" width="12" style="497" hidden="1" customWidth="1"/>
    <col min="22" max="22" width="17.7109375" style="497" hidden="1" customWidth="1"/>
    <col min="23" max="23" width="14.42578125" style="497" hidden="1" customWidth="1"/>
    <col min="24" max="24" width="9.140625" style="491"/>
    <col min="25" max="25" width="12" style="491" bestFit="1" customWidth="1"/>
    <col min="26" max="16384" width="9.140625" style="491"/>
  </cols>
  <sheetData>
    <row r="2" spans="1:30" s="1" customFormat="1" ht="13.5">
      <c r="C2" s="61" t="s">
        <v>0</v>
      </c>
      <c r="E2" s="60"/>
      <c r="F2" s="2"/>
      <c r="G2" s="2"/>
      <c r="H2" s="2"/>
      <c r="I2" s="147"/>
      <c r="J2" s="3"/>
      <c r="K2" s="4"/>
      <c r="L2" s="146"/>
      <c r="M2" s="192"/>
      <c r="N2" s="5"/>
      <c r="O2" s="520"/>
    </row>
    <row r="3" spans="1:30" s="1" customFormat="1" ht="13.5">
      <c r="C3" s="453" t="s">
        <v>1</v>
      </c>
      <c r="E3" s="452"/>
      <c r="F3" s="20"/>
      <c r="G3" s="20"/>
      <c r="H3" s="20"/>
      <c r="I3" s="167"/>
      <c r="J3" s="168"/>
      <c r="K3" s="192"/>
      <c r="L3" s="5"/>
      <c r="M3" s="520"/>
    </row>
    <row r="4" spans="1:30" s="1" customFormat="1" ht="15">
      <c r="C4" s="212" t="str">
        <f>"Objeto:"&amp;" "&amp;INÍCIO!$D$6</f>
        <v>Objeto: COLETA DE RESÍDUOS DE COMÉRCIO E SERVIÇOS (RESÍDUO EXTRAORDINÁRIO) E RESÍDUO INERTE</v>
      </c>
      <c r="E4" s="196"/>
      <c r="F4" s="196"/>
      <c r="G4" s="196"/>
      <c r="H4" s="196"/>
      <c r="I4" s="167"/>
      <c r="J4" s="169"/>
      <c r="K4" s="192"/>
      <c r="L4" s="215"/>
      <c r="M4" s="520"/>
    </row>
    <row r="5" spans="1:30" s="1" customFormat="1" ht="13.5">
      <c r="C5" s="212" t="str">
        <f>"Local:"&amp;" "&amp;INÍCIO!$D$7</f>
        <v>Local: CIDADE UNIVERSITÁRIA, PRAIA VERMELHA, UNIDADES EXTERNAS E STA. CRUZ DA SERRA</v>
      </c>
      <c r="E5" s="196"/>
      <c r="F5" s="196"/>
      <c r="G5" s="196"/>
      <c r="H5" s="196"/>
      <c r="I5" s="196"/>
      <c r="J5" s="196"/>
      <c r="K5" s="7"/>
      <c r="L5" s="146"/>
      <c r="M5" s="192"/>
      <c r="N5" s="520"/>
      <c r="O5" s="520"/>
    </row>
    <row r="6" spans="1:30" s="1" customFormat="1" ht="13.5">
      <c r="C6" s="212" t="str">
        <f>"Responsável:"&amp;" "&amp;INÍCIO!$D$8</f>
        <v xml:space="preserve">Responsável: </v>
      </c>
      <c r="E6" s="196"/>
      <c r="F6" s="196"/>
      <c r="G6" s="196"/>
      <c r="H6" s="196"/>
      <c r="I6" s="196"/>
      <c r="J6" s="196"/>
      <c r="K6" s="8"/>
      <c r="L6" s="146"/>
      <c r="M6" s="192"/>
      <c r="N6" s="520"/>
      <c r="O6" s="520"/>
    </row>
    <row r="7" spans="1:30" s="1" customFormat="1" ht="12" customHeight="1">
      <c r="C7" s="171"/>
      <c r="D7" s="817"/>
      <c r="E7" s="817"/>
      <c r="F7" s="817"/>
      <c r="G7" s="817"/>
      <c r="H7" s="817"/>
      <c r="I7" s="817"/>
      <c r="J7" s="817"/>
      <c r="K7" s="9"/>
      <c r="L7" s="10"/>
      <c r="M7" s="192"/>
      <c r="N7" s="520"/>
      <c r="O7" s="520"/>
    </row>
    <row r="8" spans="1:30" s="11" customFormat="1" ht="15" customHeight="1">
      <c r="A8" s="183"/>
      <c r="B8" s="818" t="s">
        <v>395</v>
      </c>
      <c r="C8" s="818"/>
      <c r="D8" s="818"/>
      <c r="E8" s="818"/>
      <c r="F8" s="819"/>
      <c r="G8" s="819"/>
      <c r="H8" s="819"/>
      <c r="I8" s="818"/>
      <c r="J8" s="818"/>
      <c r="K8" s="818"/>
      <c r="L8" s="818"/>
      <c r="M8" s="818"/>
      <c r="N8" s="818"/>
      <c r="O8" s="818"/>
      <c r="P8" s="818"/>
      <c r="Q8" s="818"/>
      <c r="R8" s="242"/>
      <c r="S8" s="208"/>
      <c r="T8" s="803"/>
      <c r="U8" s="803"/>
      <c r="V8" s="803"/>
      <c r="W8" s="803"/>
      <c r="X8" s="803"/>
      <c r="Y8" s="803"/>
    </row>
    <row r="9" spans="1:30" s="223" customFormat="1" ht="40.5">
      <c r="A9" s="221"/>
      <c r="B9" s="610" t="s">
        <v>4</v>
      </c>
      <c r="C9" s="610" t="s">
        <v>321</v>
      </c>
      <c r="D9" s="12" t="s">
        <v>9</v>
      </c>
      <c r="E9" s="13" t="s">
        <v>286</v>
      </c>
      <c r="F9" s="198" t="s">
        <v>332</v>
      </c>
      <c r="G9" s="774" t="s">
        <v>333</v>
      </c>
      <c r="H9" s="198" t="s">
        <v>287</v>
      </c>
      <c r="I9" s="13" t="s">
        <v>288</v>
      </c>
      <c r="J9" s="13" t="s">
        <v>289</v>
      </c>
      <c r="K9" s="148" t="s">
        <v>290</v>
      </c>
      <c r="L9" s="148" t="s">
        <v>291</v>
      </c>
      <c r="M9" s="14" t="s">
        <v>292</v>
      </c>
      <c r="N9" s="14" t="s">
        <v>293</v>
      </c>
      <c r="O9" s="14" t="s">
        <v>283</v>
      </c>
      <c r="P9" s="14" t="s">
        <v>294</v>
      </c>
      <c r="Q9" s="14" t="s">
        <v>207</v>
      </c>
      <c r="R9" s="242" t="s">
        <v>294</v>
      </c>
      <c r="S9" s="208" t="s">
        <v>284</v>
      </c>
      <c r="T9" s="224" t="s">
        <v>125</v>
      </c>
      <c r="U9" s="224" t="s">
        <v>128</v>
      </c>
      <c r="V9" s="224" t="s">
        <v>295</v>
      </c>
      <c r="W9" s="224" t="s">
        <v>296</v>
      </c>
      <c r="X9" s="225"/>
      <c r="Y9" s="225"/>
      <c r="Z9" s="37"/>
      <c r="AA9" s="37"/>
      <c r="AB9" s="37"/>
      <c r="AC9" s="37"/>
      <c r="AD9" s="37"/>
    </row>
    <row r="10" spans="1:30" ht="22.5">
      <c r="B10" s="612">
        <v>2</v>
      </c>
      <c r="C10" s="613" t="s">
        <v>298</v>
      </c>
      <c r="D10" s="614">
        <v>1</v>
      </c>
      <c r="E10" s="749">
        <f>(4254.7+3664.5+5453.2)/3</f>
        <v>4457.4666666666662</v>
      </c>
      <c r="F10" s="772">
        <f>40.1*(0.23/1000)*1200</f>
        <v>11.067600000000001</v>
      </c>
      <c r="G10" s="772">
        <f>0.96*((0.23/1000)*50)*1200</f>
        <v>13.247999999999999</v>
      </c>
      <c r="H10" s="773">
        <f>D10*(E10+SUM(F10:G10)*1.25)</f>
        <v>4487.8611666666666</v>
      </c>
      <c r="I10" s="615">
        <v>24</v>
      </c>
      <c r="J10" s="616">
        <f t="shared" ref="J10" si="0">12/I10</f>
        <v>0.5</v>
      </c>
      <c r="K10" s="617">
        <v>12</v>
      </c>
      <c r="L10" s="618">
        <f t="shared" ref="L10" si="1">+(H10*J10)/K10</f>
        <v>186.99421527777778</v>
      </c>
      <c r="M10" s="611">
        <f>L10*($D$19+$D$20)*-1</f>
        <v>-17.296964913194444</v>
      </c>
      <c r="N10" s="499">
        <f t="shared" ref="N10" si="2">+M10+L10</f>
        <v>169.69725036458334</v>
      </c>
      <c r="O10" s="498">
        <f>+N10*$D$17</f>
        <v>9.0957726195416679</v>
      </c>
      <c r="P10" s="499">
        <f t="shared" ref="P10" si="3">+N10+O10</f>
        <v>178.793022984125</v>
      </c>
      <c r="Q10" s="498">
        <f>+P10*$D$18</f>
        <v>11.0136502158221</v>
      </c>
      <c r="R10" s="499">
        <f t="shared" ref="R10" si="4">+Q10+P10</f>
        <v>189.80667319994711</v>
      </c>
      <c r="S10" s="498">
        <f>+V10*$D$19</f>
        <v>3.6522566854800327</v>
      </c>
      <c r="T10" s="498">
        <f>+V10*$D$20</f>
        <v>16.822515642211059</v>
      </c>
      <c r="U10" s="498">
        <f>+V10*$D$21</f>
        <v>11.067444501454645</v>
      </c>
      <c r="V10" s="498">
        <f>+R10/(1-$D$22)</f>
        <v>221.34889002909287</v>
      </c>
      <c r="W10" s="500">
        <f t="shared" ref="W10" si="5">ROUND(+V10,2)</f>
        <v>221.35</v>
      </c>
      <c r="Y10" s="501"/>
    </row>
    <row r="11" spans="1:30">
      <c r="G11" s="775"/>
      <c r="S11" s="814" t="s">
        <v>297</v>
      </c>
      <c r="T11" s="815"/>
      <c r="U11" s="815"/>
      <c r="V11" s="816"/>
      <c r="W11" s="500">
        <f>SUM(W10:W10)</f>
        <v>221.35</v>
      </c>
    </row>
    <row r="12" spans="1:30">
      <c r="C12" s="491" t="s">
        <v>329</v>
      </c>
      <c r="S12" s="646"/>
      <c r="T12" s="646"/>
      <c r="U12" s="646"/>
      <c r="V12" s="646"/>
      <c r="W12" s="646"/>
    </row>
    <row r="13" spans="1:30">
      <c r="B13" s="647" t="s">
        <v>233</v>
      </c>
      <c r="C13" s="491" t="s">
        <v>330</v>
      </c>
      <c r="S13" s="646"/>
      <c r="T13" s="646"/>
      <c r="U13" s="646"/>
      <c r="V13" s="646"/>
      <c r="W13" s="646"/>
    </row>
    <row r="14" spans="1:30">
      <c r="B14" s="647" t="s">
        <v>328</v>
      </c>
      <c r="C14" s="491" t="s">
        <v>331</v>
      </c>
    </row>
    <row r="17" spans="3:28">
      <c r="C17" s="492" t="s">
        <v>283</v>
      </c>
      <c r="D17" s="493">
        <f>SUM(BDI!J21,BDI!J23,BDI!J25,BDI!J27)</f>
        <v>5.3600000000000002E-2</v>
      </c>
    </row>
    <row r="18" spans="3:28">
      <c r="C18" s="492" t="s">
        <v>207</v>
      </c>
      <c r="D18" s="493">
        <f>BDI!J29</f>
        <v>6.1600000000000002E-2</v>
      </c>
    </row>
    <row r="19" spans="3:28">
      <c r="C19" s="492" t="s">
        <v>284</v>
      </c>
      <c r="D19" s="493">
        <v>1.6500000000000001E-2</v>
      </c>
    </row>
    <row r="20" spans="3:28">
      <c r="C20" s="492" t="s">
        <v>125</v>
      </c>
      <c r="D20" s="493">
        <v>7.5999999999999998E-2</v>
      </c>
    </row>
    <row r="21" spans="3:28">
      <c r="C21" s="492" t="s">
        <v>128</v>
      </c>
      <c r="D21" s="493">
        <v>0.05</v>
      </c>
    </row>
    <row r="22" spans="3:28">
      <c r="C22" s="492" t="s">
        <v>285</v>
      </c>
      <c r="D22" s="494">
        <f>+D21+D20+D19</f>
        <v>0.14250000000000002</v>
      </c>
    </row>
    <row r="25" spans="3:28">
      <c r="F25" s="519"/>
      <c r="G25" s="519"/>
      <c r="H25" s="519"/>
      <c r="J25" s="518"/>
      <c r="X25" s="502"/>
      <c r="Y25" s="502"/>
      <c r="Z25" s="502"/>
      <c r="AA25" s="502"/>
      <c r="AB25" s="502"/>
    </row>
    <row r="26" spans="3:28">
      <c r="J26" s="518"/>
    </row>
  </sheetData>
  <mergeCells count="6">
    <mergeCell ref="X8:Y8"/>
    <mergeCell ref="S11:V11"/>
    <mergeCell ref="D7:J7"/>
    <mergeCell ref="B8:Q8"/>
    <mergeCell ref="T8:U8"/>
    <mergeCell ref="V8:W8"/>
  </mergeCells>
  <pageMargins left="0.51181102362204722" right="0.51181102362204722" top="0.78740157480314965" bottom="0.78740157480314965" header="0.31496062992125984" footer="0.31496062992125984"/>
  <pageSetup paperSize="9" scale="70" orientation="landscape" r:id="rId1"/>
  <headerFooter>
    <oddFooter>&amp;C&amp;"Courier New,Normal"&amp;8Prefeitura da UFRJ
Praça Jorge Machado Moreira, 100 - Cidade Universitária - Ilha do Fundão
CEP 21941-598 - Rio de Janeiro-RJ - Cx. Postal 68.010
Tel:21 2598-9324&amp;R&amp;"Courier New,Normal"&amp;8Página: &amp;P/&amp;N</oddFooter>
  </headerFooter>
  <colBreaks count="1" manualBreakCount="1">
    <brk id="12" max="17"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1"/>
  <sheetViews>
    <sheetView view="pageBreakPreview" topLeftCell="B1" zoomScaleNormal="100" zoomScaleSheetLayoutView="100" workbookViewId="0">
      <pane ySplit="8" topLeftCell="A39" activePane="bottomLeft" state="frozenSplit"/>
      <selection activeCell="B14" sqref="B14"/>
      <selection pane="bottomLeft" activeCell="L45" sqref="L45"/>
    </sheetView>
  </sheetViews>
  <sheetFormatPr defaultRowHeight="11.25"/>
  <cols>
    <col min="1" max="1" width="9.140625" style="318"/>
    <col min="2" max="2" width="13.140625" style="318" bestFit="1" customWidth="1"/>
    <col min="3" max="3" width="9.28515625" style="319" bestFit="1" customWidth="1"/>
    <col min="4" max="4" width="5.7109375" style="443" customWidth="1"/>
    <col min="5" max="5" width="11.42578125" style="444" bestFit="1" customWidth="1"/>
    <col min="6" max="6" width="18.28515625" style="445" customWidth="1"/>
    <col min="7" max="7" width="9.5703125" style="440" customWidth="1"/>
    <col min="8" max="8" width="52.42578125" style="447" bestFit="1" customWidth="1"/>
    <col min="9" max="9" width="12.140625" style="319" bestFit="1" customWidth="1"/>
    <col min="10" max="10" width="18.42578125" style="448" customWidth="1"/>
    <col min="11" max="11" width="12" style="449" customWidth="1"/>
    <col min="12" max="12" width="13.140625" style="450" customWidth="1"/>
    <col min="13" max="13" width="17.5703125" style="450" customWidth="1"/>
    <col min="14" max="14" width="15.140625" style="320" customWidth="1"/>
    <col min="15" max="15" width="21.28515625" style="456" bestFit="1" customWidth="1"/>
    <col min="16" max="16" width="17" style="440" bestFit="1" customWidth="1"/>
    <col min="17" max="17" width="19.28515625" style="446" bestFit="1" customWidth="1"/>
    <col min="18" max="18" width="25.5703125" style="322" bestFit="1" customWidth="1"/>
    <col min="19" max="19" width="10" style="323" bestFit="1" customWidth="1"/>
    <col min="20" max="20" width="9.140625" style="324"/>
    <col min="21" max="16384" width="9.140625" style="318"/>
  </cols>
  <sheetData>
    <row r="1" spans="1:22" s="288" customFormat="1" ht="13.5">
      <c r="C1" s="289"/>
      <c r="D1" s="171"/>
      <c r="E1" s="171"/>
      <c r="F1" s="290" t="s">
        <v>0</v>
      </c>
      <c r="G1" s="291"/>
      <c r="H1" s="292"/>
      <c r="I1" s="291"/>
      <c r="J1" s="293"/>
      <c r="K1" s="294"/>
      <c r="L1" s="295"/>
      <c r="M1" s="295"/>
      <c r="N1" s="296"/>
      <c r="O1" s="454" t="s">
        <v>31</v>
      </c>
      <c r="P1" s="454" t="s">
        <v>260</v>
      </c>
      <c r="Q1" s="482"/>
      <c r="R1" s="297"/>
      <c r="S1" s="298"/>
      <c r="T1" s="299"/>
    </row>
    <row r="2" spans="1:22" s="288" customFormat="1" ht="14.25" thickBot="1">
      <c r="C2" s="289"/>
      <c r="D2" s="171"/>
      <c r="E2" s="171"/>
      <c r="F2" s="300" t="s">
        <v>1</v>
      </c>
      <c r="G2" s="301"/>
      <c r="H2" s="302"/>
      <c r="I2" s="301"/>
      <c r="J2" s="303"/>
      <c r="K2" s="304"/>
      <c r="L2" s="305"/>
      <c r="M2" s="306"/>
      <c r="N2" s="296"/>
      <c r="O2" s="454" t="s">
        <v>14</v>
      </c>
      <c r="P2" s="479">
        <f>'ENCARGOS SOCIAIS'!F44/100</f>
        <v>1.1672</v>
      </c>
      <c r="Q2" s="479"/>
      <c r="R2" s="297"/>
      <c r="S2" s="298"/>
      <c r="T2" s="299"/>
    </row>
    <row r="3" spans="1:22" s="288" customFormat="1" ht="15.75" thickBot="1">
      <c r="C3" s="289"/>
      <c r="D3" s="171"/>
      <c r="E3" s="171"/>
      <c r="F3" s="212" t="str">
        <f>"Objeto:"&amp;" "&amp;INÍCIO!$D$6</f>
        <v>Objeto: COLETA DE RESÍDUOS DE COMÉRCIO E SERVIÇOS (RESÍDUO EXTRAORDINÁRIO) E RESÍDUO INERTE</v>
      </c>
      <c r="G3" s="284"/>
      <c r="H3" s="284"/>
      <c r="I3" s="284"/>
      <c r="J3" s="284"/>
      <c r="K3" s="284"/>
      <c r="L3" s="305"/>
      <c r="M3" s="307"/>
      <c r="N3" s="296"/>
      <c r="O3" s="454" t="s">
        <v>15</v>
      </c>
      <c r="P3" s="480"/>
      <c r="Q3" s="483"/>
      <c r="R3" s="283" t="s">
        <v>2</v>
      </c>
      <c r="S3" s="298"/>
      <c r="T3" s="299"/>
    </row>
    <row r="4" spans="1:22" s="288" customFormat="1" ht="15.75">
      <c r="C4" s="289"/>
      <c r="D4" s="171"/>
      <c r="E4" s="171"/>
      <c r="F4" s="212" t="str">
        <f>"Local:"&amp;" "&amp;INÍCIO!$D$7</f>
        <v>Local: CIDADE UNIVERSITÁRIA, PRAIA VERMELHA, UNIDADES EXTERNAS E STA. CRUZ DA SERRA</v>
      </c>
      <c r="G4" s="196"/>
      <c r="H4" s="196"/>
      <c r="I4" s="196"/>
      <c r="J4" s="196"/>
      <c r="K4" s="196"/>
      <c r="L4" s="295"/>
      <c r="M4" s="295"/>
      <c r="N4" s="296"/>
      <c r="O4" s="454" t="s">
        <v>234</v>
      </c>
      <c r="P4" s="481">
        <f>P2</f>
        <v>1.1672</v>
      </c>
      <c r="Q4" s="479"/>
      <c r="R4" s="309"/>
      <c r="S4" s="298"/>
      <c r="T4" s="308"/>
    </row>
    <row r="5" spans="1:22" s="288" customFormat="1" ht="13.5">
      <c r="C5" s="289"/>
      <c r="D5" s="171"/>
      <c r="E5" s="171"/>
      <c r="F5" s="212" t="str">
        <f>"Responsável:"&amp;" "&amp;INÍCIO!$D$8</f>
        <v xml:space="preserve">Responsável: </v>
      </c>
      <c r="G5" s="310"/>
      <c r="H5" s="310"/>
      <c r="I5" s="311"/>
      <c r="J5" s="312"/>
      <c r="K5" s="313"/>
      <c r="L5" s="295"/>
      <c r="M5" s="295"/>
      <c r="N5" s="296"/>
      <c r="O5" s="454" t="s">
        <v>259</v>
      </c>
      <c r="P5" s="479"/>
      <c r="Q5" s="479"/>
      <c r="R5" s="297"/>
      <c r="S5" s="298"/>
      <c r="T5" s="299"/>
    </row>
    <row r="6" spans="1:22" s="288" customFormat="1">
      <c r="C6" s="289"/>
      <c r="D6" s="172"/>
      <c r="E6" s="172"/>
      <c r="F6" s="213" t="str">
        <f>"Data base das fontes: SCO/RIO -"&amp;" "&amp;INÍCIO!$D$12 &amp;", Informativo SBC -"&amp;" "&amp;INÍCIO!$D$13 &amp;" (na inexistência de item SINAPI)"</f>
        <v>Data base das fontes: SCO/RIO - 11/2020, Informativo SBC - 01/2021 (na inexistência de item SINAPI)</v>
      </c>
      <c r="G6" s="5"/>
      <c r="H6" s="314"/>
      <c r="I6" s="315"/>
      <c r="J6" s="316"/>
      <c r="K6" s="317"/>
      <c r="L6" s="295"/>
      <c r="M6" s="10"/>
      <c r="N6" s="296"/>
      <c r="O6" s="454"/>
      <c r="P6" s="455"/>
      <c r="Q6" s="455"/>
      <c r="R6" s="297"/>
      <c r="S6" s="298"/>
      <c r="T6" s="299"/>
    </row>
    <row r="7" spans="1:22" ht="13.5">
      <c r="D7" s="820" t="s">
        <v>251</v>
      </c>
      <c r="E7" s="820"/>
      <c r="F7" s="820"/>
      <c r="G7" s="820"/>
      <c r="H7" s="821"/>
      <c r="I7" s="820"/>
      <c r="J7" s="820"/>
      <c r="K7" s="822"/>
      <c r="L7" s="823"/>
      <c r="M7" s="823"/>
      <c r="Q7" s="440"/>
    </row>
    <row r="8" spans="1:22" s="325" customFormat="1" ht="27">
      <c r="C8" s="326" t="s">
        <v>17</v>
      </c>
      <c r="D8" s="326" t="s">
        <v>4</v>
      </c>
      <c r="E8" s="327" t="s">
        <v>5</v>
      </c>
      <c r="F8" s="328" t="s">
        <v>6</v>
      </c>
      <c r="G8" s="329" t="s">
        <v>18</v>
      </c>
      <c r="H8" s="330" t="s">
        <v>7</v>
      </c>
      <c r="I8" s="327" t="s">
        <v>8</v>
      </c>
      <c r="J8" s="331" t="s">
        <v>19</v>
      </c>
      <c r="K8" s="332" t="s">
        <v>247</v>
      </c>
      <c r="L8" s="333" t="s">
        <v>20</v>
      </c>
      <c r="M8" s="334" t="s">
        <v>21</v>
      </c>
      <c r="N8" s="335" t="s">
        <v>22</v>
      </c>
      <c r="O8" s="336" t="s">
        <v>252</v>
      </c>
      <c r="P8" s="329" t="s">
        <v>253</v>
      </c>
      <c r="Q8" s="337" t="s">
        <v>16</v>
      </c>
      <c r="R8" s="338"/>
      <c r="S8" s="339" t="s">
        <v>387</v>
      </c>
      <c r="T8" s="340"/>
      <c r="U8" s="338" t="s">
        <v>121</v>
      </c>
      <c r="V8" s="341"/>
    </row>
    <row r="9" spans="1:22" s="353" customFormat="1" ht="22.5">
      <c r="B9" s="342" t="s">
        <v>347</v>
      </c>
      <c r="C9" s="343" t="s">
        <v>275</v>
      </c>
      <c r="D9" s="344" t="s">
        <v>347</v>
      </c>
      <c r="E9" s="345" t="str">
        <f>VLOOKUP(B9,GERAL!$C$10:$E$106,3,FALSE)</f>
        <v>SCO/RIO</v>
      </c>
      <c r="F9" s="346" t="str">
        <f>VLOOKUP(B9,GERAL!$C$10:$F$106,4,FALSE)</f>
        <v>TC05.15.0100</v>
      </c>
      <c r="G9" s="345" t="s">
        <v>12</v>
      </c>
      <c r="H9" s="347" t="str">
        <f>VLOOKUP(B9,GERAL!$C$10:$G$106,5,FALSE)</f>
        <v>RETIRADA DE ENTULHO DE OBRA EM CACAMBA DE ACO COM 5M3</v>
      </c>
      <c r="I9" s="346" t="s">
        <v>301</v>
      </c>
      <c r="J9" s="348"/>
      <c r="K9" s="349">
        <f>VLOOKUP(B9,GERAL!$C$10:$I$106,7,FALSE)</f>
        <v>0</v>
      </c>
      <c r="L9" s="350"/>
      <c r="M9" s="350"/>
      <c r="N9" s="351"/>
      <c r="O9" s="372"/>
      <c r="P9" s="461"/>
      <c r="Q9" s="460"/>
      <c r="R9" s="352"/>
      <c r="T9" s="354"/>
      <c r="U9" s="355"/>
    </row>
    <row r="10" spans="1:22" s="353" customFormat="1" ht="22.5" customHeight="1">
      <c r="A10" s="353">
        <v>1</v>
      </c>
      <c r="B10" s="427" t="str">
        <f>F9</f>
        <v>TC05.15.0100</v>
      </c>
      <c r="C10" s="357"/>
      <c r="D10" s="356" t="str">
        <f>D9</f>
        <v>0.3</v>
      </c>
      <c r="E10" s="357" t="str">
        <f>E9</f>
        <v>SCO/RIO</v>
      </c>
      <c r="F10" s="361" t="s">
        <v>381</v>
      </c>
      <c r="H10" s="360" t="s">
        <v>384</v>
      </c>
      <c r="I10" s="361" t="s">
        <v>237</v>
      </c>
      <c r="J10" s="475">
        <v>0.2</v>
      </c>
      <c r="K10" s="363">
        <f>J10*$K$9</f>
        <v>0</v>
      </c>
      <c r="L10" s="364">
        <v>250</v>
      </c>
      <c r="M10" s="364">
        <f t="shared" ref="M10:M12" si="0">J10*L10</f>
        <v>50</v>
      </c>
      <c r="N10" s="365">
        <f t="shared" ref="N10:N12" si="1">K10*L10</f>
        <v>0</v>
      </c>
      <c r="O10" s="470"/>
      <c r="P10" s="470"/>
      <c r="Q10" s="471"/>
      <c r="R10" s="352"/>
      <c r="T10" s="354"/>
      <c r="U10" s="355"/>
    </row>
    <row r="11" spans="1:22" s="353" customFormat="1">
      <c r="A11" s="353">
        <v>2</v>
      </c>
      <c r="B11" s="427" t="str">
        <f>B10</f>
        <v>TC05.15.0100</v>
      </c>
      <c r="C11" s="357"/>
      <c r="D11" s="356" t="str">
        <f t="shared" ref="D11:E11" si="2">D10</f>
        <v>0.3</v>
      </c>
      <c r="E11" s="357" t="str">
        <f t="shared" si="2"/>
        <v>SCO/RIO</v>
      </c>
      <c r="F11" s="361" t="s">
        <v>382</v>
      </c>
      <c r="H11" s="360" t="s">
        <v>385</v>
      </c>
      <c r="I11" s="361" t="s">
        <v>372</v>
      </c>
      <c r="J11" s="475">
        <v>0.8</v>
      </c>
      <c r="K11" s="363">
        <f>J11*$K$9</f>
        <v>0</v>
      </c>
      <c r="L11" s="364">
        <v>15.06</v>
      </c>
      <c r="M11" s="364">
        <f t="shared" si="0"/>
        <v>12.048000000000002</v>
      </c>
      <c r="N11" s="365">
        <f t="shared" si="1"/>
        <v>0</v>
      </c>
      <c r="O11" s="655"/>
      <c r="P11" s="470"/>
      <c r="Q11" s="471"/>
      <c r="R11" s="352"/>
      <c r="T11" s="354"/>
      <c r="U11" s="355"/>
    </row>
    <row r="12" spans="1:22" s="353" customFormat="1" ht="22.5">
      <c r="A12" s="353">
        <v>3</v>
      </c>
      <c r="B12" s="427" t="str">
        <f t="shared" ref="B12" si="3">B11</f>
        <v>TC05.15.0100</v>
      </c>
      <c r="C12" s="357"/>
      <c r="D12" s="356" t="str">
        <f t="shared" ref="D12:E12" si="4">D11</f>
        <v>0.3</v>
      </c>
      <c r="E12" s="357" t="str">
        <f t="shared" si="4"/>
        <v>SCO/RIO</v>
      </c>
      <c r="F12" s="361" t="s">
        <v>383</v>
      </c>
      <c r="H12" s="360" t="s">
        <v>386</v>
      </c>
      <c r="I12" s="361" t="s">
        <v>257</v>
      </c>
      <c r="J12" s="475">
        <v>0.03</v>
      </c>
      <c r="K12" s="363">
        <f>J12*$K$9</f>
        <v>0</v>
      </c>
      <c r="L12" s="364">
        <f>M11</f>
        <v>12.048000000000002</v>
      </c>
      <c r="M12" s="364">
        <f t="shared" si="0"/>
        <v>0.36144000000000004</v>
      </c>
      <c r="N12" s="365">
        <f t="shared" si="1"/>
        <v>0</v>
      </c>
      <c r="O12" s="470"/>
      <c r="P12" s="470"/>
      <c r="Q12" s="471"/>
      <c r="R12" s="352"/>
      <c r="T12" s="354"/>
      <c r="U12" s="355"/>
    </row>
    <row r="13" spans="1:22" s="353" customFormat="1">
      <c r="B13" s="427"/>
      <c r="C13" s="357"/>
      <c r="D13" s="356" t="str">
        <f t="shared" ref="D13" si="5">D12</f>
        <v>0.3</v>
      </c>
      <c r="E13" s="357"/>
      <c r="F13" s="361"/>
      <c r="G13" s="357"/>
      <c r="H13" s="369"/>
      <c r="I13" s="370"/>
      <c r="J13" s="371"/>
      <c r="K13" s="372"/>
      <c r="L13" s="373" t="s">
        <v>254</v>
      </c>
      <c r="M13" s="372">
        <f>SUM(M10:M12)</f>
        <v>62.409440000000004</v>
      </c>
      <c r="N13" s="40">
        <f>SUM(N10:N12)</f>
        <v>0</v>
      </c>
      <c r="O13" s="381">
        <f>SUM(N10:N12)</f>
        <v>0</v>
      </c>
      <c r="P13" s="381">
        <f>K9*M13</f>
        <v>0</v>
      </c>
      <c r="Q13" s="459">
        <f>O13-P13</f>
        <v>0</v>
      </c>
      <c r="R13" s="352">
        <f>K9*M12</f>
        <v>0</v>
      </c>
      <c r="T13" s="354"/>
      <c r="U13" s="355"/>
    </row>
    <row r="14" spans="1:22" s="353" customFormat="1">
      <c r="B14" s="427"/>
      <c r="C14" s="357"/>
      <c r="D14" s="356" t="str">
        <f t="shared" ref="D14" si="6">D13</f>
        <v>0.3</v>
      </c>
      <c r="E14" s="357"/>
      <c r="F14" s="361"/>
      <c r="G14" s="357"/>
      <c r="H14" s="369"/>
      <c r="I14" s="370"/>
      <c r="J14" s="371"/>
      <c r="K14" s="373" t="s">
        <v>23</v>
      </c>
      <c r="L14" s="376">
        <f>BDI!$J$11</f>
        <v>0.19818131607686618</v>
      </c>
      <c r="M14" s="372">
        <f>M13*L14</f>
        <v>12.368384954820216</v>
      </c>
      <c r="N14" s="373"/>
      <c r="O14" s="372"/>
      <c r="P14" s="357"/>
      <c r="Q14" s="462"/>
      <c r="R14" s="352"/>
      <c r="T14" s="354"/>
      <c r="U14" s="355"/>
    </row>
    <row r="15" spans="1:22" s="353" customFormat="1">
      <c r="B15" s="427"/>
      <c r="C15" s="357"/>
      <c r="D15" s="356" t="str">
        <f t="shared" ref="D15" si="7">D14</f>
        <v>0.3</v>
      </c>
      <c r="E15" s="357"/>
      <c r="F15" s="361"/>
      <c r="G15" s="357"/>
      <c r="H15" s="369"/>
      <c r="I15" s="370"/>
      <c r="J15" s="371"/>
      <c r="K15" s="372"/>
      <c r="L15" s="373" t="s">
        <v>255</v>
      </c>
      <c r="M15" s="372">
        <f>SUM(M13:M14)</f>
        <v>74.777824954820218</v>
      </c>
      <c r="N15" s="373"/>
      <c r="O15" s="372"/>
      <c r="P15" s="381"/>
      <c r="Q15" s="462"/>
      <c r="R15" s="352"/>
      <c r="T15" s="354"/>
      <c r="U15" s="355"/>
    </row>
    <row r="16" spans="1:22" s="353" customFormat="1" ht="45">
      <c r="B16" s="342">
        <v>6</v>
      </c>
      <c r="C16" s="343" t="s">
        <v>263</v>
      </c>
      <c r="D16" s="344" t="s">
        <v>402</v>
      </c>
      <c r="E16" s="345" t="str">
        <f>VLOOKUP(B16,GERAL!$C$10:$E$106,3,FALSE)</f>
        <v>UFRJ</v>
      </c>
      <c r="F16" s="346" t="str">
        <f>VLOOKUP(B16,GERAL!$C$10:$F$106,4,FALSE)</f>
        <v>SCO/RIO TC05.15.0100</v>
      </c>
      <c r="G16" s="345" t="s">
        <v>12</v>
      </c>
      <c r="H16" s="347" t="str">
        <f>VLOOKUP(B16,GERAL!$C$10:$G$106,5,FALSE)</f>
        <v>RETIRADA DE ENTULHO DE OBRA EM CACAMBA DE ACO COM 5M3 DE CAPACIDADE, INCLUSIVE CARREGAMENTO DO CONTAINER, TRANSPORTE E DESCARGA, EXCLUSIVE TARIFA DE DISPOSICAO FINAL.</v>
      </c>
      <c r="I16" s="346" t="str">
        <f>VLOOKUP(B16,GERAL!$C$10:$H$106,6,FALSE)</f>
        <v>T</v>
      </c>
      <c r="J16" s="348"/>
      <c r="K16" s="349">
        <f>VLOOKUP(B16,GERAL!$C$10:$I$106,7,FALSE)</f>
        <v>33.333333333333336</v>
      </c>
      <c r="L16" s="350"/>
      <c r="M16" s="350"/>
      <c r="N16" s="351"/>
      <c r="O16" s="372"/>
      <c r="P16" s="461"/>
      <c r="Q16" s="460"/>
      <c r="R16" s="352"/>
      <c r="T16" s="354"/>
      <c r="U16" s="355"/>
    </row>
    <row r="17" spans="1:21" s="353" customFormat="1" ht="22.5">
      <c r="A17" s="353">
        <v>1</v>
      </c>
      <c r="B17" s="427" t="s">
        <v>235</v>
      </c>
      <c r="C17" s="357"/>
      <c r="D17" s="356" t="str">
        <f>D16</f>
        <v>1.1</v>
      </c>
      <c r="E17" s="357" t="s">
        <v>15</v>
      </c>
      <c r="F17" s="361" t="s">
        <v>381</v>
      </c>
      <c r="G17" s="359"/>
      <c r="H17" s="360" t="s">
        <v>384</v>
      </c>
      <c r="I17" s="485" t="s">
        <v>237</v>
      </c>
      <c r="J17" s="475">
        <v>0.15384615384615383</v>
      </c>
      <c r="K17" s="363">
        <f>J17*$K$16</f>
        <v>5.1282051282051277</v>
      </c>
      <c r="L17" s="364">
        <f>L10</f>
        <v>250</v>
      </c>
      <c r="M17" s="364">
        <f t="shared" ref="M17:M19" si="8">J17*L17</f>
        <v>38.46153846153846</v>
      </c>
      <c r="N17" s="365">
        <f t="shared" ref="N17:N19" si="9">K17*L17</f>
        <v>1282.051282051282</v>
      </c>
      <c r="O17" s="470"/>
      <c r="P17" s="470"/>
      <c r="Q17" s="654"/>
      <c r="R17" s="352"/>
      <c r="T17" s="354"/>
      <c r="U17" s="355"/>
    </row>
    <row r="18" spans="1:21" s="353" customFormat="1">
      <c r="A18" s="353">
        <v>2</v>
      </c>
      <c r="B18" s="427" t="str">
        <f>B17</f>
        <v>TC05.15.0100</v>
      </c>
      <c r="C18" s="357"/>
      <c r="D18" s="356" t="str">
        <f t="shared" ref="D18:E18" si="10">D17</f>
        <v>1.1</v>
      </c>
      <c r="E18" s="357" t="str">
        <f t="shared" si="10"/>
        <v>SCO/RIO</v>
      </c>
      <c r="F18" s="361" t="s">
        <v>382</v>
      </c>
      <c r="G18" s="359"/>
      <c r="H18" s="360" t="s">
        <v>385</v>
      </c>
      <c r="I18" s="485" t="s">
        <v>372</v>
      </c>
      <c r="J18" s="475">
        <v>0.61538461538461531</v>
      </c>
      <c r="K18" s="363">
        <f>J18*$K$16</f>
        <v>20.512820512820511</v>
      </c>
      <c r="L18" s="364">
        <f>L11</f>
        <v>15.06</v>
      </c>
      <c r="M18" s="364">
        <f t="shared" si="8"/>
        <v>9.2676923076923075</v>
      </c>
      <c r="N18" s="365">
        <f t="shared" si="9"/>
        <v>308.92307692307691</v>
      </c>
      <c r="O18" s="655"/>
      <c r="P18" s="657"/>
      <c r="Q18" s="656"/>
      <c r="T18" s="354"/>
      <c r="U18" s="355"/>
    </row>
    <row r="19" spans="1:21" s="353" customFormat="1" ht="22.5">
      <c r="A19" s="353">
        <v>3</v>
      </c>
      <c r="B19" s="427" t="str">
        <f>B18</f>
        <v>TC05.15.0100</v>
      </c>
      <c r="C19" s="357"/>
      <c r="D19" s="356" t="str">
        <f t="shared" ref="D19:E22" si="11">D18</f>
        <v>1.1</v>
      </c>
      <c r="E19" s="357" t="str">
        <f t="shared" si="11"/>
        <v>SCO/RIO</v>
      </c>
      <c r="F19" s="361" t="s">
        <v>383</v>
      </c>
      <c r="G19" s="359"/>
      <c r="H19" s="360" t="s">
        <v>386</v>
      </c>
      <c r="I19" s="485" t="s">
        <v>257</v>
      </c>
      <c r="J19" s="475">
        <v>0.03</v>
      </c>
      <c r="K19" s="363">
        <f>J19*$K$16</f>
        <v>1</v>
      </c>
      <c r="L19" s="364">
        <f>M18</f>
        <v>9.2676923076923075</v>
      </c>
      <c r="M19" s="364">
        <f t="shared" si="8"/>
        <v>0.27803076923076919</v>
      </c>
      <c r="N19" s="365">
        <f t="shared" si="9"/>
        <v>9.2676923076923075</v>
      </c>
      <c r="O19" s="470"/>
      <c r="P19" s="470"/>
      <c r="Q19" s="471"/>
      <c r="R19" s="352"/>
      <c r="T19" s="354"/>
      <c r="U19" s="355"/>
    </row>
    <row r="20" spans="1:21" s="353" customFormat="1">
      <c r="B20" s="427"/>
      <c r="C20" s="357"/>
      <c r="D20" s="356" t="str">
        <f t="shared" si="11"/>
        <v>1.1</v>
      </c>
      <c r="E20" s="357"/>
      <c r="F20" s="361"/>
      <c r="G20" s="357"/>
      <c r="H20" s="369"/>
      <c r="I20" s="370"/>
      <c r="J20" s="371"/>
      <c r="K20" s="372"/>
      <c r="L20" s="373" t="s">
        <v>254</v>
      </c>
      <c r="M20" s="372">
        <f>SUM(M17:M19)</f>
        <v>48.007261538461535</v>
      </c>
      <c r="N20" s="40">
        <f>SUM(N17:N19)</f>
        <v>1600.2420512820513</v>
      </c>
      <c r="O20" s="381">
        <f>SUM(N17:N19)</f>
        <v>1600.2420512820513</v>
      </c>
      <c r="P20" s="381">
        <f>K16*M20</f>
        <v>1600.2420512820513</v>
      </c>
      <c r="Q20" s="459">
        <f>N20-P20</f>
        <v>0</v>
      </c>
      <c r="R20" s="352"/>
      <c r="T20" s="354"/>
      <c r="U20" s="355"/>
    </row>
    <row r="21" spans="1:21" s="353" customFormat="1">
      <c r="B21" s="427"/>
      <c r="C21" s="357"/>
      <c r="D21" s="356" t="str">
        <f t="shared" si="11"/>
        <v>1.1</v>
      </c>
      <c r="E21" s="357"/>
      <c r="F21" s="361"/>
      <c r="G21" s="357"/>
      <c r="H21" s="369"/>
      <c r="I21" s="370"/>
      <c r="J21" s="371"/>
      <c r="K21" s="373" t="s">
        <v>23</v>
      </c>
      <c r="L21" s="376">
        <f>BDI!$J$11</f>
        <v>0.19818131607686618</v>
      </c>
      <c r="M21" s="372">
        <f>M20*L21</f>
        <v>9.514142272938626</v>
      </c>
      <c r="N21" s="373"/>
      <c r="O21" s="372"/>
      <c r="P21" s="357"/>
      <c r="Q21" s="462"/>
      <c r="R21" s="352"/>
      <c r="T21" s="354"/>
      <c r="U21" s="355"/>
    </row>
    <row r="22" spans="1:21" s="353" customFormat="1">
      <c r="B22" s="427"/>
      <c r="C22" s="357"/>
      <c r="D22" s="356" t="str">
        <f t="shared" si="11"/>
        <v>1.1</v>
      </c>
      <c r="E22" s="357"/>
      <c r="F22" s="361"/>
      <c r="G22" s="357"/>
      <c r="H22" s="369"/>
      <c r="I22" s="370"/>
      <c r="J22" s="371"/>
      <c r="K22" s="372"/>
      <c r="L22" s="373" t="s">
        <v>255</v>
      </c>
      <c r="M22" s="372">
        <f>SUM(M20:M21)</f>
        <v>57.521403811400162</v>
      </c>
      <c r="N22" s="373"/>
      <c r="O22" s="372"/>
      <c r="P22" s="381"/>
      <c r="Q22" s="462"/>
      <c r="R22" s="352"/>
      <c r="T22" s="354"/>
      <c r="U22" s="355"/>
    </row>
    <row r="23" spans="1:21" s="353" customFormat="1" ht="22.5">
      <c r="B23" s="342">
        <v>7</v>
      </c>
      <c r="C23" s="343" t="s">
        <v>269</v>
      </c>
      <c r="D23" s="344" t="s">
        <v>403</v>
      </c>
      <c r="E23" s="345" t="str">
        <f>VLOOKUP(B23,GERAL!$C$10:$E$106,3,FALSE)</f>
        <v>COMLURB</v>
      </c>
      <c r="F23" s="346" t="str">
        <f>VLOOKUP(B23,GERAL!$C$10:$F$106,4,FALSE)</f>
        <v>COMLURB</v>
      </c>
      <c r="G23" s="345" t="s">
        <v>12</v>
      </c>
      <c r="H23" s="347" t="str">
        <f>VLOOKUP(B23,GERAL!$C$10:$G$106,5,FALSE)</f>
        <v>TARIFA DE DISPOSICAO FINAL (VAZAMENTO DE RESÍDUOS SÓLIDOS INERTES MISTURADOS - RSI)</v>
      </c>
      <c r="I23" s="346" t="str">
        <f>VLOOKUP(B23,GERAL!$C$10:$H$106,6,FALSE)</f>
        <v>T</v>
      </c>
      <c r="J23" s="348"/>
      <c r="K23" s="349">
        <f>VLOOKUP(B23,GERAL!$C$10:$I$106,7,FALSE)</f>
        <v>33.333333333333336</v>
      </c>
      <c r="L23" s="350"/>
      <c r="M23" s="350"/>
      <c r="N23" s="351"/>
      <c r="O23" s="372"/>
      <c r="P23" s="461"/>
      <c r="Q23" s="460"/>
      <c r="R23" s="352"/>
      <c r="T23" s="354"/>
      <c r="U23" s="355"/>
    </row>
    <row r="24" spans="1:21" s="353" customFormat="1">
      <c r="A24" s="353">
        <v>1</v>
      </c>
      <c r="B24" s="427"/>
      <c r="C24" s="357"/>
      <c r="D24" s="356" t="str">
        <f>D23</f>
        <v>1.2</v>
      </c>
      <c r="E24" s="357" t="str">
        <f>E23</f>
        <v>COMLURB</v>
      </c>
      <c r="F24" s="361"/>
      <c r="G24" s="359"/>
      <c r="H24" s="360" t="s">
        <v>268</v>
      </c>
      <c r="I24" s="361" t="s">
        <v>237</v>
      </c>
      <c r="J24" s="475">
        <v>1</v>
      </c>
      <c r="K24" s="363">
        <f>J24*K23</f>
        <v>33.333333333333336</v>
      </c>
      <c r="L24" s="364">
        <v>14.59</v>
      </c>
      <c r="M24" s="364">
        <f t="shared" ref="M24" si="12">J24*L24</f>
        <v>14.59</v>
      </c>
      <c r="N24" s="365">
        <f t="shared" ref="N24" si="13">K24*L24</f>
        <v>486.33333333333337</v>
      </c>
      <c r="O24" s="470"/>
      <c r="P24" s="470"/>
      <c r="Q24" s="471"/>
      <c r="R24" s="352"/>
      <c r="T24" s="354"/>
      <c r="U24" s="355"/>
    </row>
    <row r="25" spans="1:21" s="353" customFormat="1" ht="15">
      <c r="B25" s="366"/>
      <c r="C25" s="367"/>
      <c r="D25" s="356" t="str">
        <f t="shared" ref="D25:D27" si="14">D24</f>
        <v>1.2</v>
      </c>
      <c r="E25" s="357"/>
      <c r="F25" s="375"/>
      <c r="G25" s="357"/>
      <c r="H25" s="369"/>
      <c r="I25" s="370"/>
      <c r="J25" s="371"/>
      <c r="K25" s="372"/>
      <c r="L25" s="373" t="s">
        <v>254</v>
      </c>
      <c r="M25" s="372">
        <f>SUM(M24)</f>
        <v>14.59</v>
      </c>
      <c r="N25" s="40">
        <f>SUM(N24)</f>
        <v>486.33333333333337</v>
      </c>
      <c r="O25" s="381">
        <f>SUM(N24)</f>
        <v>486.33333333333337</v>
      </c>
      <c r="P25" s="381">
        <f>K23*M25</f>
        <v>486.33333333333337</v>
      </c>
      <c r="Q25" s="459">
        <f>O25-P25</f>
        <v>0</v>
      </c>
      <c r="R25" s="352"/>
      <c r="T25" s="354"/>
      <c r="U25" s="355"/>
    </row>
    <row r="26" spans="1:21" s="353" customFormat="1" ht="15">
      <c r="B26" s="366"/>
      <c r="C26" s="367"/>
      <c r="D26" s="356" t="str">
        <f t="shared" si="14"/>
        <v>1.2</v>
      </c>
      <c r="E26" s="357"/>
      <c r="F26" s="375"/>
      <c r="G26" s="357"/>
      <c r="H26" s="369"/>
      <c r="I26" s="370"/>
      <c r="J26" s="371"/>
      <c r="K26" s="373" t="s">
        <v>23</v>
      </c>
      <c r="L26" s="376">
        <f>BDI!$J$11</f>
        <v>0.19818131607686618</v>
      </c>
      <c r="M26" s="372">
        <f>M25*L26</f>
        <v>2.8914654015614776</v>
      </c>
      <c r="N26" s="377"/>
      <c r="O26" s="372"/>
      <c r="P26" s="461"/>
      <c r="Q26" s="460"/>
      <c r="R26" s="352"/>
      <c r="T26" s="354"/>
      <c r="U26" s="355"/>
    </row>
    <row r="27" spans="1:21" s="353" customFormat="1" ht="15">
      <c r="B27" s="366"/>
      <c r="C27" s="367"/>
      <c r="D27" s="356" t="str">
        <f t="shared" si="14"/>
        <v>1.2</v>
      </c>
      <c r="E27" s="357"/>
      <c r="F27" s="375"/>
      <c r="G27" s="357"/>
      <c r="H27" s="369"/>
      <c r="I27" s="370"/>
      <c r="J27" s="371"/>
      <c r="K27" s="372"/>
      <c r="L27" s="373" t="s">
        <v>255</v>
      </c>
      <c r="M27" s="372">
        <f>SUM(M25:M26)</f>
        <v>17.481465401561479</v>
      </c>
      <c r="N27" s="377"/>
      <c r="O27" s="372"/>
      <c r="P27" s="461"/>
      <c r="Q27" s="460"/>
      <c r="R27" s="352"/>
      <c r="T27" s="354"/>
      <c r="U27" s="355"/>
    </row>
    <row r="28" spans="1:21" s="353" customFormat="1" ht="22.5">
      <c r="B28" s="342">
        <v>8</v>
      </c>
      <c r="C28" s="343" t="s">
        <v>263</v>
      </c>
      <c r="D28" s="344" t="s">
        <v>404</v>
      </c>
      <c r="E28" s="345" t="str">
        <f>VLOOKUP(B28,GERAL!$C$10:$E$106,3,FALSE)</f>
        <v>UFRJ</v>
      </c>
      <c r="F28" s="346" t="str">
        <f>VLOOKUP(B28,GERAL!$C$10:$F$106,4,FALSE)</f>
        <v>UFRJ-004</v>
      </c>
      <c r="G28" s="345" t="s">
        <v>12</v>
      </c>
      <c r="H28" s="347" t="str">
        <f>VLOOKUP(B28,GERAL!$C$10:$G$106,5,FALSE)</f>
        <v>COLETA LIXO DOMICILIAR -CAMINHAO COMPACTADOR 13,76Tn-(COLIXO</v>
      </c>
      <c r="I28" s="346" t="str">
        <f>VLOOKUP(B28,GERAL!$C$10:$H$106,6,FALSE)</f>
        <v>T</v>
      </c>
      <c r="J28" s="348"/>
      <c r="K28" s="349">
        <f>VLOOKUP(B28,GERAL!$C$10:$I$106,7,FALSE)</f>
        <v>14.352</v>
      </c>
      <c r="L28" s="350"/>
      <c r="M28" s="350"/>
      <c r="N28" s="351"/>
      <c r="O28" s="372"/>
      <c r="P28" s="461"/>
      <c r="Q28" s="460"/>
      <c r="R28" s="352"/>
      <c r="T28" s="354"/>
      <c r="U28" s="355"/>
    </row>
    <row r="29" spans="1:21" s="353" customFormat="1">
      <c r="A29" s="353">
        <v>1</v>
      </c>
      <c r="B29" s="435" t="s">
        <v>249</v>
      </c>
      <c r="C29" s="357"/>
      <c r="D29" s="356" t="str">
        <f>D28</f>
        <v>2.1</v>
      </c>
      <c r="E29" s="357" t="s">
        <v>234</v>
      </c>
      <c r="F29" s="361">
        <v>15</v>
      </c>
      <c r="H29" s="360" t="s">
        <v>353</v>
      </c>
      <c r="I29" s="361" t="s">
        <v>237</v>
      </c>
      <c r="J29" s="475" t="s">
        <v>373</v>
      </c>
      <c r="K29" s="363">
        <f t="shared" ref="K29:K48" si="15">J29*$K$28</f>
        <v>1.4352E-2</v>
      </c>
      <c r="L29" s="725">
        <v>22.28</v>
      </c>
      <c r="M29" s="364">
        <f t="shared" ref="M29:M55" si="16">J29*L29</f>
        <v>2.2280000000000001E-2</v>
      </c>
      <c r="N29" s="365">
        <f t="shared" ref="N29:N55" si="17">K29*L29</f>
        <v>0.31976256000000003</v>
      </c>
      <c r="O29" s="470"/>
      <c r="P29" s="791"/>
      <c r="Q29" s="471"/>
      <c r="R29" s="352"/>
      <c r="T29" s="354"/>
      <c r="U29" s="355"/>
    </row>
    <row r="30" spans="1:21" s="353" customFormat="1">
      <c r="A30" s="353">
        <v>3</v>
      </c>
      <c r="B30" s="427" t="str">
        <f t="shared" ref="B30:B47" si="18">B29</f>
        <v>017802</v>
      </c>
      <c r="C30" s="357"/>
      <c r="D30" s="356" t="str">
        <f t="shared" ref="D30:E31" si="19">D29</f>
        <v>2.1</v>
      </c>
      <c r="E30" s="357" t="str">
        <f t="shared" si="19"/>
        <v>SBC</v>
      </c>
      <c r="F30" s="361">
        <v>4101</v>
      </c>
      <c r="H30" s="360" t="s">
        <v>354</v>
      </c>
      <c r="I30" s="361" t="s">
        <v>237</v>
      </c>
      <c r="J30" s="475" t="s">
        <v>373</v>
      </c>
      <c r="K30" s="363">
        <f t="shared" si="15"/>
        <v>1.4352E-2</v>
      </c>
      <c r="L30" s="725">
        <v>7.66</v>
      </c>
      <c r="M30" s="364">
        <f t="shared" si="16"/>
        <v>7.6600000000000001E-3</v>
      </c>
      <c r="N30" s="365">
        <f t="shared" si="17"/>
        <v>0.10993632</v>
      </c>
      <c r="O30" s="470"/>
      <c r="P30" s="791"/>
      <c r="Q30" s="471"/>
      <c r="R30" s="352"/>
      <c r="T30" s="354"/>
      <c r="U30" s="355"/>
    </row>
    <row r="31" spans="1:21" s="353" customFormat="1">
      <c r="A31" s="353">
        <v>4</v>
      </c>
      <c r="B31" s="427" t="str">
        <f t="shared" si="18"/>
        <v>017802</v>
      </c>
      <c r="C31" s="357"/>
      <c r="D31" s="356" t="str">
        <f t="shared" si="19"/>
        <v>2.1</v>
      </c>
      <c r="E31" s="357" t="str">
        <f t="shared" si="19"/>
        <v>SBC</v>
      </c>
      <c r="F31" s="361">
        <v>4128</v>
      </c>
      <c r="H31" s="360" t="s">
        <v>355</v>
      </c>
      <c r="I31" s="361" t="s">
        <v>237</v>
      </c>
      <c r="J31" s="475" t="s">
        <v>373</v>
      </c>
      <c r="K31" s="363">
        <f t="shared" si="15"/>
        <v>1.4352E-2</v>
      </c>
      <c r="L31" s="725">
        <v>29.9</v>
      </c>
      <c r="M31" s="364">
        <f t="shared" si="16"/>
        <v>2.9899999999999999E-2</v>
      </c>
      <c r="N31" s="365">
        <f t="shared" si="17"/>
        <v>0.42912479999999997</v>
      </c>
      <c r="O31" s="470"/>
      <c r="P31" s="791"/>
      <c r="Q31" s="471"/>
      <c r="R31" s="352"/>
      <c r="T31" s="354"/>
      <c r="U31" s="355"/>
    </row>
    <row r="32" spans="1:21" s="353" customFormat="1">
      <c r="A32" s="353">
        <v>5</v>
      </c>
      <c r="B32" s="427" t="str">
        <f t="shared" si="18"/>
        <v>017802</v>
      </c>
      <c r="C32" s="357"/>
      <c r="D32" s="356" t="str">
        <f t="shared" ref="D32:E32" si="20">D31</f>
        <v>2.1</v>
      </c>
      <c r="E32" s="357" t="str">
        <f t="shared" si="20"/>
        <v>SBC</v>
      </c>
      <c r="F32" s="361">
        <v>4129</v>
      </c>
      <c r="H32" s="360" t="s">
        <v>356</v>
      </c>
      <c r="I32" s="361" t="s">
        <v>237</v>
      </c>
      <c r="J32" s="475" t="s">
        <v>373</v>
      </c>
      <c r="K32" s="363">
        <f t="shared" si="15"/>
        <v>1.4352E-2</v>
      </c>
      <c r="L32" s="725">
        <v>9.9</v>
      </c>
      <c r="M32" s="364">
        <f t="shared" si="16"/>
        <v>9.9000000000000008E-3</v>
      </c>
      <c r="N32" s="365">
        <f t="shared" si="17"/>
        <v>0.14208480000000001</v>
      </c>
      <c r="O32" s="470"/>
      <c r="P32" s="791"/>
      <c r="Q32" s="471"/>
      <c r="R32" s="352"/>
      <c r="T32" s="354"/>
      <c r="U32" s="355"/>
    </row>
    <row r="33" spans="1:21" s="353" customFormat="1">
      <c r="A33" s="353">
        <v>6</v>
      </c>
      <c r="B33" s="427" t="str">
        <f t="shared" si="18"/>
        <v>017802</v>
      </c>
      <c r="C33" s="357"/>
      <c r="D33" s="356" t="str">
        <f t="shared" ref="D33:E33" si="21">D32</f>
        <v>2.1</v>
      </c>
      <c r="E33" s="357" t="str">
        <f t="shared" si="21"/>
        <v>SBC</v>
      </c>
      <c r="F33" s="361">
        <v>5149</v>
      </c>
      <c r="H33" s="360" t="s">
        <v>357</v>
      </c>
      <c r="I33" s="361" t="s">
        <v>237</v>
      </c>
      <c r="J33" s="475" t="s">
        <v>375</v>
      </c>
      <c r="K33" s="363">
        <f t="shared" si="15"/>
        <v>4.4204160000000003</v>
      </c>
      <c r="L33" s="725">
        <v>25</v>
      </c>
      <c r="M33" s="364">
        <f t="shared" si="16"/>
        <v>7.7</v>
      </c>
      <c r="N33" s="365">
        <f t="shared" si="17"/>
        <v>110.5104</v>
      </c>
      <c r="O33" s="470"/>
      <c r="P33" s="791"/>
      <c r="Q33" s="471"/>
      <c r="R33" s="352"/>
      <c r="T33" s="354"/>
      <c r="U33" s="355"/>
    </row>
    <row r="34" spans="1:21" s="353" customFormat="1">
      <c r="A34" s="353">
        <v>7</v>
      </c>
      <c r="B34" s="427" t="str">
        <f t="shared" si="18"/>
        <v>017802</v>
      </c>
      <c r="C34" s="357"/>
      <c r="D34" s="356" t="str">
        <f t="shared" ref="D34:E34" si="22">D33</f>
        <v>2.1</v>
      </c>
      <c r="E34" s="357" t="str">
        <f t="shared" si="22"/>
        <v>SBC</v>
      </c>
      <c r="F34" s="361">
        <v>6564</v>
      </c>
      <c r="H34" s="360" t="s">
        <v>358</v>
      </c>
      <c r="I34" s="361" t="s">
        <v>237</v>
      </c>
      <c r="J34" s="475" t="s">
        <v>376</v>
      </c>
      <c r="K34" s="363">
        <f t="shared" si="15"/>
        <v>4.3056000000000004E-2</v>
      </c>
      <c r="L34" s="725">
        <v>62.5</v>
      </c>
      <c r="M34" s="364">
        <f t="shared" si="16"/>
        <v>0.1875</v>
      </c>
      <c r="N34" s="365">
        <f t="shared" si="17"/>
        <v>2.6910000000000003</v>
      </c>
      <c r="O34" s="470"/>
      <c r="P34" s="791"/>
      <c r="Q34" s="471"/>
      <c r="R34" s="352"/>
      <c r="T34" s="354"/>
      <c r="U34" s="355"/>
    </row>
    <row r="35" spans="1:21" s="353" customFormat="1">
      <c r="A35" s="353">
        <v>8</v>
      </c>
      <c r="B35" s="427" t="str">
        <f t="shared" si="18"/>
        <v>017802</v>
      </c>
      <c r="C35" s="357"/>
      <c r="D35" s="356" t="str">
        <f t="shared" ref="D35:E35" si="23">D34</f>
        <v>2.1</v>
      </c>
      <c r="E35" s="357" t="str">
        <f t="shared" si="23"/>
        <v>SBC</v>
      </c>
      <c r="F35" s="361">
        <v>6565</v>
      </c>
      <c r="H35" s="360" t="s">
        <v>359</v>
      </c>
      <c r="I35" s="361" t="s">
        <v>237</v>
      </c>
      <c r="J35" s="475" t="s">
        <v>376</v>
      </c>
      <c r="K35" s="363">
        <f t="shared" si="15"/>
        <v>4.3056000000000004E-2</v>
      </c>
      <c r="L35" s="725">
        <v>40.85</v>
      </c>
      <c r="M35" s="364">
        <f t="shared" si="16"/>
        <v>0.12255000000000001</v>
      </c>
      <c r="N35" s="365">
        <f t="shared" si="17"/>
        <v>1.7588376000000003</v>
      </c>
      <c r="O35" s="470"/>
      <c r="P35" s="791"/>
      <c r="Q35" s="471"/>
      <c r="R35" s="352"/>
      <c r="T35" s="354"/>
      <c r="U35" s="355"/>
    </row>
    <row r="36" spans="1:21" s="353" customFormat="1">
      <c r="A36" s="353">
        <v>9</v>
      </c>
      <c r="B36" s="427" t="str">
        <f t="shared" si="18"/>
        <v>017802</v>
      </c>
      <c r="C36" s="357"/>
      <c r="D36" s="356" t="str">
        <f t="shared" ref="D36:E36" si="24">D35</f>
        <v>2.1</v>
      </c>
      <c r="E36" s="357" t="str">
        <f t="shared" si="24"/>
        <v>SBC</v>
      </c>
      <c r="F36" s="361">
        <v>6566</v>
      </c>
      <c r="H36" s="360" t="s">
        <v>360</v>
      </c>
      <c r="I36" s="361" t="s">
        <v>237</v>
      </c>
      <c r="J36" s="475" t="s">
        <v>377</v>
      </c>
      <c r="K36" s="363">
        <f t="shared" si="15"/>
        <v>0.12916800000000001</v>
      </c>
      <c r="L36" s="725">
        <v>69.930000000000007</v>
      </c>
      <c r="M36" s="364">
        <f t="shared" si="16"/>
        <v>0.62936999999999999</v>
      </c>
      <c r="N36" s="365">
        <f t="shared" si="17"/>
        <v>9.0327182400000012</v>
      </c>
      <c r="O36" s="470"/>
      <c r="P36" s="791"/>
      <c r="Q36" s="471"/>
      <c r="R36" s="352"/>
      <c r="T36" s="354"/>
      <c r="U36" s="355"/>
    </row>
    <row r="37" spans="1:21" s="353" customFormat="1">
      <c r="A37" s="353">
        <v>10</v>
      </c>
      <c r="B37" s="427" t="str">
        <f t="shared" si="18"/>
        <v>017802</v>
      </c>
      <c r="C37" s="357"/>
      <c r="D37" s="356" t="str">
        <f t="shared" ref="D37:E37" si="25">D36</f>
        <v>2.1</v>
      </c>
      <c r="E37" s="357" t="str">
        <f t="shared" si="25"/>
        <v>SBC</v>
      </c>
      <c r="F37" s="361">
        <v>6569</v>
      </c>
      <c r="H37" s="360" t="s">
        <v>361</v>
      </c>
      <c r="I37" s="361" t="s">
        <v>237</v>
      </c>
      <c r="J37" s="475" t="s">
        <v>377</v>
      </c>
      <c r="K37" s="363">
        <f t="shared" si="15"/>
        <v>0.12916800000000001</v>
      </c>
      <c r="L37" s="725">
        <v>42.97</v>
      </c>
      <c r="M37" s="364">
        <f t="shared" si="16"/>
        <v>0.38672999999999996</v>
      </c>
      <c r="N37" s="365">
        <f t="shared" si="17"/>
        <v>5.55034896</v>
      </c>
      <c r="O37" s="470"/>
      <c r="P37" s="791"/>
      <c r="Q37" s="471"/>
      <c r="R37" s="352"/>
      <c r="T37" s="354"/>
      <c r="U37" s="355"/>
    </row>
    <row r="38" spans="1:21" s="353" customFormat="1">
      <c r="A38" s="353">
        <v>11</v>
      </c>
      <c r="B38" s="427" t="str">
        <f t="shared" si="18"/>
        <v>017802</v>
      </c>
      <c r="C38" s="357"/>
      <c r="D38" s="356" t="str">
        <f t="shared" ref="D38:E38" si="26">D37</f>
        <v>2.1</v>
      </c>
      <c r="E38" s="357" t="str">
        <f t="shared" si="26"/>
        <v>SBC</v>
      </c>
      <c r="F38" s="361">
        <v>7218</v>
      </c>
      <c r="H38" s="360" t="s">
        <v>362</v>
      </c>
      <c r="I38" s="361" t="s">
        <v>237</v>
      </c>
      <c r="J38" s="475" t="s">
        <v>373</v>
      </c>
      <c r="K38" s="363">
        <f t="shared" si="15"/>
        <v>1.4352E-2</v>
      </c>
      <c r="L38" s="725">
        <v>42.9</v>
      </c>
      <c r="M38" s="364">
        <f t="shared" si="16"/>
        <v>4.2900000000000001E-2</v>
      </c>
      <c r="N38" s="365">
        <f t="shared" si="17"/>
        <v>0.61570079999999994</v>
      </c>
      <c r="O38" s="470"/>
      <c r="P38" s="791"/>
      <c r="Q38" s="471"/>
      <c r="R38" s="352"/>
      <c r="T38" s="354"/>
      <c r="U38" s="355"/>
    </row>
    <row r="39" spans="1:21" s="353" customFormat="1">
      <c r="A39" s="353">
        <v>12</v>
      </c>
      <c r="B39" s="427" t="str">
        <f t="shared" si="18"/>
        <v>017802</v>
      </c>
      <c r="C39" s="357"/>
      <c r="D39" s="356" t="str">
        <f t="shared" ref="D39:E39" si="27">D38</f>
        <v>2.1</v>
      </c>
      <c r="E39" s="357" t="str">
        <f t="shared" si="27"/>
        <v>SBC</v>
      </c>
      <c r="F39" s="361">
        <v>7256</v>
      </c>
      <c r="H39" s="360" t="s">
        <v>363</v>
      </c>
      <c r="I39" s="361" t="s">
        <v>237</v>
      </c>
      <c r="J39" s="475" t="s">
        <v>374</v>
      </c>
      <c r="K39" s="363">
        <f t="shared" si="15"/>
        <v>2.8704E-2</v>
      </c>
      <c r="L39" s="725">
        <v>18.52</v>
      </c>
      <c r="M39" s="364">
        <f t="shared" si="16"/>
        <v>3.7039999999999997E-2</v>
      </c>
      <c r="N39" s="365">
        <f t="shared" si="17"/>
        <v>0.53159807999999997</v>
      </c>
      <c r="O39" s="470"/>
      <c r="P39" s="791"/>
      <c r="Q39" s="471"/>
      <c r="R39" s="352"/>
      <c r="T39" s="354"/>
      <c r="U39" s="355"/>
    </row>
    <row r="40" spans="1:21" s="353" customFormat="1">
      <c r="A40" s="353">
        <v>13</v>
      </c>
      <c r="B40" s="427" t="str">
        <f t="shared" si="18"/>
        <v>017802</v>
      </c>
      <c r="C40" s="357"/>
      <c r="D40" s="356" t="str">
        <f t="shared" ref="D40:E40" si="28">D39</f>
        <v>2.1</v>
      </c>
      <c r="E40" s="357" t="str">
        <f t="shared" si="28"/>
        <v>SBC</v>
      </c>
      <c r="F40" s="361">
        <v>7259</v>
      </c>
      <c r="H40" s="360" t="s">
        <v>364</v>
      </c>
      <c r="I40" s="361" t="s">
        <v>237</v>
      </c>
      <c r="J40" s="475" t="s">
        <v>373</v>
      </c>
      <c r="K40" s="363">
        <f t="shared" si="15"/>
        <v>1.4352E-2</v>
      </c>
      <c r="L40" s="725">
        <v>6.98</v>
      </c>
      <c r="M40" s="364">
        <f t="shared" si="16"/>
        <v>6.980000000000001E-3</v>
      </c>
      <c r="N40" s="365">
        <f t="shared" si="17"/>
        <v>0.10017696000000001</v>
      </c>
      <c r="O40" s="470"/>
      <c r="P40" s="791"/>
      <c r="Q40" s="471"/>
      <c r="R40" s="352"/>
      <c r="T40" s="354"/>
      <c r="U40" s="355"/>
    </row>
    <row r="41" spans="1:21" s="353" customFormat="1">
      <c r="A41" s="353">
        <v>14</v>
      </c>
      <c r="B41" s="427" t="str">
        <f t="shared" si="18"/>
        <v>017802</v>
      </c>
      <c r="C41" s="357"/>
      <c r="D41" s="356" t="str">
        <f t="shared" ref="D41:E41" si="29">D40</f>
        <v>2.1</v>
      </c>
      <c r="E41" s="357" t="str">
        <f t="shared" si="29"/>
        <v>SBC</v>
      </c>
      <c r="F41" s="361">
        <v>7405</v>
      </c>
      <c r="H41" s="360" t="s">
        <v>365</v>
      </c>
      <c r="I41" s="361" t="s">
        <v>371</v>
      </c>
      <c r="J41" s="475" t="s">
        <v>373</v>
      </c>
      <c r="K41" s="363">
        <f t="shared" si="15"/>
        <v>1.4352E-2</v>
      </c>
      <c r="L41" s="725">
        <v>50.32</v>
      </c>
      <c r="M41" s="364">
        <f t="shared" si="16"/>
        <v>5.0320000000000004E-2</v>
      </c>
      <c r="N41" s="365">
        <f t="shared" si="17"/>
        <v>0.72219264000000005</v>
      </c>
      <c r="O41" s="470"/>
      <c r="P41" s="791"/>
      <c r="Q41" s="471"/>
      <c r="R41" s="352"/>
      <c r="T41" s="354"/>
      <c r="U41" s="355"/>
    </row>
    <row r="42" spans="1:21" s="353" customFormat="1">
      <c r="A42" s="353">
        <v>15</v>
      </c>
      <c r="B42" s="427" t="str">
        <f t="shared" si="18"/>
        <v>017802</v>
      </c>
      <c r="C42" s="357"/>
      <c r="D42" s="356" t="str">
        <f t="shared" ref="D42:E42" si="30">D41</f>
        <v>2.1</v>
      </c>
      <c r="E42" s="357" t="str">
        <f t="shared" si="30"/>
        <v>SBC</v>
      </c>
      <c r="F42" s="361">
        <v>12761</v>
      </c>
      <c r="H42" s="360" t="s">
        <v>366</v>
      </c>
      <c r="I42" s="361" t="s">
        <v>237</v>
      </c>
      <c r="J42" s="475" t="s">
        <v>373</v>
      </c>
      <c r="K42" s="363">
        <f t="shared" si="15"/>
        <v>1.4352E-2</v>
      </c>
      <c r="L42" s="725">
        <v>55.9</v>
      </c>
      <c r="M42" s="364">
        <f t="shared" si="16"/>
        <v>5.5899999999999998E-2</v>
      </c>
      <c r="N42" s="365">
        <f t="shared" si="17"/>
        <v>0.80227680000000001</v>
      </c>
      <c r="O42" s="470"/>
      <c r="P42" s="791"/>
      <c r="Q42" s="471"/>
      <c r="R42" s="352"/>
      <c r="T42" s="354"/>
      <c r="U42" s="355"/>
    </row>
    <row r="43" spans="1:21" s="353" customFormat="1">
      <c r="A43" s="353">
        <v>17</v>
      </c>
      <c r="B43" s="427" t="str">
        <f t="shared" si="18"/>
        <v>017802</v>
      </c>
      <c r="C43" s="357"/>
      <c r="D43" s="356" t="str">
        <f t="shared" ref="D43:E44" si="31">D42</f>
        <v>2.1</v>
      </c>
      <c r="E43" s="357" t="str">
        <f t="shared" si="31"/>
        <v>SBC</v>
      </c>
      <c r="F43" s="361">
        <v>38007</v>
      </c>
      <c r="H43" s="360" t="s">
        <v>367</v>
      </c>
      <c r="I43" s="361" t="s">
        <v>371</v>
      </c>
      <c r="J43" s="475" t="s">
        <v>373</v>
      </c>
      <c r="K43" s="363">
        <f t="shared" si="15"/>
        <v>1.4352E-2</v>
      </c>
      <c r="L43" s="725">
        <v>35</v>
      </c>
      <c r="M43" s="364">
        <f t="shared" si="16"/>
        <v>3.5000000000000003E-2</v>
      </c>
      <c r="N43" s="365">
        <f t="shared" si="17"/>
        <v>0.50231999999999999</v>
      </c>
      <c r="O43" s="470"/>
      <c r="P43" s="791"/>
      <c r="Q43" s="471"/>
      <c r="R43" s="352"/>
      <c r="T43" s="354"/>
      <c r="U43" s="355"/>
    </row>
    <row r="44" spans="1:21" s="353" customFormat="1">
      <c r="A44" s="353">
        <v>18</v>
      </c>
      <c r="B44" s="427" t="str">
        <f t="shared" si="18"/>
        <v>017802</v>
      </c>
      <c r="C44" s="357"/>
      <c r="D44" s="356" t="str">
        <f t="shared" si="31"/>
        <v>2.1</v>
      </c>
      <c r="E44" s="357" t="str">
        <f t="shared" si="31"/>
        <v>SBC</v>
      </c>
      <c r="F44" s="361">
        <v>70088</v>
      </c>
      <c r="H44" s="360" t="s">
        <v>368</v>
      </c>
      <c r="I44" s="361" t="s">
        <v>237</v>
      </c>
      <c r="J44" s="475" t="s">
        <v>375</v>
      </c>
      <c r="K44" s="363">
        <f t="shared" si="15"/>
        <v>4.4204160000000003</v>
      </c>
      <c r="L44" s="725">
        <v>4.5</v>
      </c>
      <c r="M44" s="364">
        <f t="shared" si="16"/>
        <v>1.3859999999999999</v>
      </c>
      <c r="N44" s="365">
        <f t="shared" si="17"/>
        <v>19.891872000000003</v>
      </c>
      <c r="O44" s="470"/>
      <c r="P44" s="791"/>
      <c r="Q44" s="471"/>
      <c r="R44" s="352"/>
      <c r="T44" s="354"/>
      <c r="U44" s="355"/>
    </row>
    <row r="45" spans="1:21" s="353" customFormat="1">
      <c r="A45" s="353">
        <v>19</v>
      </c>
      <c r="B45" s="427" t="str">
        <f t="shared" si="18"/>
        <v>017802</v>
      </c>
      <c r="C45" s="357"/>
      <c r="D45" s="356" t="str">
        <f t="shared" ref="D45:E45" si="32">D44</f>
        <v>2.1</v>
      </c>
      <c r="E45" s="357" t="str">
        <f t="shared" si="32"/>
        <v>SBC</v>
      </c>
      <c r="F45" s="361">
        <v>70089</v>
      </c>
      <c r="H45" s="360" t="s">
        <v>369</v>
      </c>
      <c r="I45" s="361" t="s">
        <v>237</v>
      </c>
      <c r="J45" s="475" t="s">
        <v>375</v>
      </c>
      <c r="K45" s="363">
        <f t="shared" si="15"/>
        <v>4.4204160000000003</v>
      </c>
      <c r="L45" s="725">
        <v>5.0999999999999996</v>
      </c>
      <c r="M45" s="364">
        <f t="shared" si="16"/>
        <v>1.5708</v>
      </c>
      <c r="N45" s="365">
        <f t="shared" si="17"/>
        <v>22.5441216</v>
      </c>
      <c r="O45" s="470"/>
      <c r="P45" s="791"/>
      <c r="Q45" s="471"/>
      <c r="R45" s="352"/>
      <c r="T45" s="354"/>
      <c r="U45" s="355"/>
    </row>
    <row r="46" spans="1:21" s="353" customFormat="1" ht="22.5">
      <c r="A46" s="353">
        <v>20</v>
      </c>
      <c r="B46" s="427" t="str">
        <f t="shared" si="18"/>
        <v>017802</v>
      </c>
      <c r="C46" s="357"/>
      <c r="D46" s="356" t="str">
        <f t="shared" ref="D46:E46" si="33">D45</f>
        <v>2.1</v>
      </c>
      <c r="E46" s="357" t="str">
        <f t="shared" si="33"/>
        <v>SBC</v>
      </c>
      <c r="F46" s="361">
        <v>82003</v>
      </c>
      <c r="H46" s="360" t="s">
        <v>370</v>
      </c>
      <c r="I46" s="361" t="s">
        <v>237</v>
      </c>
      <c r="J46" s="475" t="s">
        <v>375</v>
      </c>
      <c r="K46" s="363">
        <f t="shared" si="15"/>
        <v>4.4204160000000003</v>
      </c>
      <c r="L46" s="725">
        <v>8.1</v>
      </c>
      <c r="M46" s="364">
        <f t="shared" si="16"/>
        <v>2.4947999999999997</v>
      </c>
      <c r="N46" s="365">
        <f t="shared" si="17"/>
        <v>35.805369599999999</v>
      </c>
      <c r="O46" s="470"/>
      <c r="P46" s="791"/>
      <c r="Q46" s="471"/>
      <c r="R46" s="352"/>
      <c r="T46" s="354"/>
      <c r="U46" s="355"/>
    </row>
    <row r="47" spans="1:21" s="712" customFormat="1" ht="22.5">
      <c r="A47" s="712">
        <v>21</v>
      </c>
      <c r="B47" s="713" t="str">
        <f t="shared" si="18"/>
        <v>017802</v>
      </c>
      <c r="C47" s="714" t="s">
        <v>264</v>
      </c>
      <c r="D47" s="715" t="str">
        <f t="shared" ref="D47" si="34">D46</f>
        <v>2.1</v>
      </c>
      <c r="E47" s="714" t="s">
        <v>258</v>
      </c>
      <c r="F47" s="716" t="s">
        <v>394</v>
      </c>
      <c r="H47" s="717" t="s">
        <v>397</v>
      </c>
      <c r="I47" s="716" t="s">
        <v>372</v>
      </c>
      <c r="J47" s="771" t="s">
        <v>378</v>
      </c>
      <c r="K47" s="718">
        <f t="shared" si="15"/>
        <v>0.35880000000000001</v>
      </c>
      <c r="L47" s="724">
        <v>151.47999999999999</v>
      </c>
      <c r="M47" s="684">
        <f t="shared" si="16"/>
        <v>3.7869999999999999</v>
      </c>
      <c r="N47" s="365">
        <f t="shared" si="17"/>
        <v>54.351023999999995</v>
      </c>
      <c r="O47" s="719"/>
      <c r="P47" s="791"/>
      <c r="Q47" s="720"/>
      <c r="R47" s="721"/>
      <c r="T47" s="722"/>
      <c r="U47" s="723"/>
    </row>
    <row r="48" spans="1:21" s="353" customFormat="1">
      <c r="A48" s="353">
        <v>22</v>
      </c>
      <c r="B48" s="765" t="s">
        <v>248</v>
      </c>
      <c r="C48" s="357"/>
      <c r="D48" s="356" t="str">
        <f t="shared" ref="D48" si="35">D47</f>
        <v>2.1</v>
      </c>
      <c r="E48" s="357" t="s">
        <v>234</v>
      </c>
      <c r="F48" s="361">
        <v>99525</v>
      </c>
      <c r="G48" s="764"/>
      <c r="H48" s="360" t="s">
        <v>389</v>
      </c>
      <c r="I48" s="361" t="s">
        <v>372</v>
      </c>
      <c r="J48" s="475" t="s">
        <v>380</v>
      </c>
      <c r="K48" s="363">
        <f t="shared" si="15"/>
        <v>6.3722880000000002</v>
      </c>
      <c r="L48" s="364">
        <v>13.05</v>
      </c>
      <c r="M48" s="364">
        <f t="shared" si="16"/>
        <v>5.7942</v>
      </c>
      <c r="N48" s="365">
        <f t="shared" si="17"/>
        <v>83.158358400000012</v>
      </c>
      <c r="O48" s="470"/>
      <c r="P48" s="791"/>
      <c r="Q48" s="471"/>
      <c r="R48" s="352"/>
      <c r="T48" s="354"/>
      <c r="U48" s="355"/>
    </row>
    <row r="49" spans="1:21" s="353" customFormat="1">
      <c r="B49" s="765"/>
      <c r="C49" s="357"/>
      <c r="D49" s="356"/>
      <c r="E49" s="357"/>
      <c r="F49" s="361"/>
      <c r="G49" s="764"/>
      <c r="H49" s="360" t="s">
        <v>396</v>
      </c>
      <c r="I49" s="361" t="s">
        <v>257</v>
      </c>
      <c r="J49" s="475">
        <v>0.4</v>
      </c>
      <c r="K49" s="363">
        <f t="shared" ref="K49:K55" si="36">J49*$K$28</f>
        <v>5.7408000000000001</v>
      </c>
      <c r="L49" s="364">
        <f>M48</f>
        <v>5.7942</v>
      </c>
      <c r="M49" s="364">
        <f t="shared" si="16"/>
        <v>2.3176800000000002</v>
      </c>
      <c r="N49" s="365">
        <f t="shared" si="17"/>
        <v>33.26334336</v>
      </c>
      <c r="O49" s="470"/>
      <c r="P49" s="791"/>
      <c r="Q49" s="471"/>
      <c r="R49" s="352"/>
      <c r="T49" s="354"/>
      <c r="U49" s="355"/>
    </row>
    <row r="50" spans="1:21" s="353" customFormat="1">
      <c r="B50" s="765"/>
      <c r="C50" s="357"/>
      <c r="D50" s="356"/>
      <c r="E50" s="357"/>
      <c r="F50" s="361"/>
      <c r="G50" s="764"/>
      <c r="H50" s="360" t="s">
        <v>388</v>
      </c>
      <c r="I50" s="361" t="s">
        <v>257</v>
      </c>
      <c r="J50" s="475">
        <v>0.25</v>
      </c>
      <c r="K50" s="363">
        <f t="shared" si="36"/>
        <v>3.5880000000000001</v>
      </c>
      <c r="L50" s="364">
        <f>M48</f>
        <v>5.7942</v>
      </c>
      <c r="M50" s="364">
        <f t="shared" si="16"/>
        <v>1.44855</v>
      </c>
      <c r="N50" s="365">
        <f t="shared" si="17"/>
        <v>20.789589599999999</v>
      </c>
      <c r="O50" s="470"/>
      <c r="P50" s="791"/>
      <c r="Q50" s="471"/>
      <c r="R50" s="352"/>
      <c r="T50" s="354"/>
      <c r="U50" s="355"/>
    </row>
    <row r="51" spans="1:21" s="353" customFormat="1">
      <c r="A51" s="353">
        <v>23</v>
      </c>
      <c r="B51" s="439" t="str">
        <f>B48</f>
        <v>017801</v>
      </c>
      <c r="C51" s="357"/>
      <c r="D51" s="356" t="str">
        <f t="shared" ref="D51:E51" si="37">D48</f>
        <v>2.1</v>
      </c>
      <c r="E51" s="357" t="str">
        <f t="shared" si="37"/>
        <v>SBC</v>
      </c>
      <c r="F51" s="361">
        <v>99900</v>
      </c>
      <c r="G51" s="764"/>
      <c r="H51" s="360" t="s">
        <v>391</v>
      </c>
      <c r="I51" s="361" t="s">
        <v>372</v>
      </c>
      <c r="J51" s="475" t="s">
        <v>379</v>
      </c>
      <c r="K51" s="363">
        <f t="shared" si="36"/>
        <v>19.116864000000003</v>
      </c>
      <c r="L51" s="364">
        <v>6.83</v>
      </c>
      <c r="M51" s="364">
        <f t="shared" si="16"/>
        <v>9.0975600000000014</v>
      </c>
      <c r="N51" s="365">
        <f t="shared" si="17"/>
        <v>130.56818112000002</v>
      </c>
      <c r="O51" s="470"/>
      <c r="P51" s="791"/>
      <c r="Q51" s="471"/>
      <c r="R51" s="352"/>
      <c r="T51" s="354"/>
      <c r="U51" s="355"/>
    </row>
    <row r="52" spans="1:21" s="353" customFormat="1">
      <c r="B52" s="439"/>
      <c r="C52" s="357"/>
      <c r="D52" s="356"/>
      <c r="E52" s="357"/>
      <c r="F52" s="361"/>
      <c r="G52" s="764"/>
      <c r="H52" s="360" t="s">
        <v>396</v>
      </c>
      <c r="I52" s="361" t="s">
        <v>257</v>
      </c>
      <c r="J52" s="475">
        <v>0.4</v>
      </c>
      <c r="K52" s="363">
        <f t="shared" si="36"/>
        <v>5.7408000000000001</v>
      </c>
      <c r="L52" s="364">
        <f>M51</f>
        <v>9.0975600000000014</v>
      </c>
      <c r="M52" s="364">
        <f t="shared" si="16"/>
        <v>3.6390240000000009</v>
      </c>
      <c r="N52" s="365">
        <f t="shared" si="17"/>
        <v>52.227272448000008</v>
      </c>
      <c r="O52" s="470"/>
      <c r="P52" s="791"/>
      <c r="Q52" s="471"/>
      <c r="R52" s="352"/>
      <c r="T52" s="354"/>
      <c r="U52" s="355"/>
    </row>
    <row r="53" spans="1:21" s="353" customFormat="1">
      <c r="A53" s="353">
        <v>24</v>
      </c>
      <c r="B53" s="439" t="str">
        <f>B51</f>
        <v>017801</v>
      </c>
      <c r="C53" s="357"/>
      <c r="D53" s="356" t="str">
        <f t="shared" ref="D53:E53" si="38">D51</f>
        <v>2.1</v>
      </c>
      <c r="E53" s="357" t="str">
        <f t="shared" si="38"/>
        <v>SBC</v>
      </c>
      <c r="F53" s="361">
        <v>99915</v>
      </c>
      <c r="G53" s="764"/>
      <c r="H53" s="360" t="s">
        <v>390</v>
      </c>
      <c r="I53" s="361" t="s">
        <v>372</v>
      </c>
      <c r="J53" s="475" t="s">
        <v>380</v>
      </c>
      <c r="K53" s="363">
        <f t="shared" si="36"/>
        <v>6.3722880000000002</v>
      </c>
      <c r="L53" s="364">
        <v>7.45</v>
      </c>
      <c r="M53" s="364">
        <f t="shared" si="16"/>
        <v>3.3078000000000003</v>
      </c>
      <c r="N53" s="365">
        <f t="shared" si="17"/>
        <v>47.473545600000001</v>
      </c>
      <c r="O53" s="470"/>
      <c r="P53" s="791"/>
      <c r="Q53" s="471"/>
      <c r="R53" s="352"/>
      <c r="T53" s="354"/>
      <c r="U53" s="355"/>
    </row>
    <row r="54" spans="1:21" s="766" customFormat="1">
      <c r="B54" s="439"/>
      <c r="C54" s="462"/>
      <c r="D54" s="763"/>
      <c r="E54" s="462"/>
      <c r="F54" s="361"/>
      <c r="G54" s="764"/>
      <c r="H54" s="360" t="s">
        <v>396</v>
      </c>
      <c r="I54" s="361" t="s">
        <v>257</v>
      </c>
      <c r="J54" s="475">
        <v>0.4</v>
      </c>
      <c r="K54" s="363">
        <f t="shared" si="36"/>
        <v>5.7408000000000001</v>
      </c>
      <c r="L54" s="364">
        <f>M53</f>
        <v>3.3078000000000003</v>
      </c>
      <c r="M54" s="364">
        <f t="shared" si="16"/>
        <v>1.3231200000000003</v>
      </c>
      <c r="N54" s="365">
        <f t="shared" si="17"/>
        <v>18.989418240000003</v>
      </c>
      <c r="O54" s="470"/>
      <c r="P54" s="791"/>
      <c r="Q54" s="471"/>
      <c r="R54" s="767"/>
      <c r="T54" s="768"/>
      <c r="U54" s="769"/>
    </row>
    <row r="55" spans="1:21" s="353" customFormat="1">
      <c r="B55" s="427"/>
      <c r="C55" s="357"/>
      <c r="D55" s="356" t="str">
        <f t="shared" ref="D55" si="39">D53</f>
        <v>2.1</v>
      </c>
      <c r="E55" s="357" t="s">
        <v>14</v>
      </c>
      <c r="F55" s="361"/>
      <c r="G55" s="359"/>
      <c r="H55" s="360" t="s">
        <v>265</v>
      </c>
      <c r="I55" s="361" t="s">
        <v>257</v>
      </c>
      <c r="J55" s="475">
        <f>$P$2</f>
        <v>1.1672</v>
      </c>
      <c r="K55" s="363">
        <f t="shared" si="36"/>
        <v>16.7516544</v>
      </c>
      <c r="L55" s="364">
        <f>SUM(M48:M54)</f>
        <v>26.927934000000004</v>
      </c>
      <c r="M55" s="364">
        <f t="shared" si="16"/>
        <v>31.430284564800004</v>
      </c>
      <c r="N55" s="365">
        <f t="shared" si="17"/>
        <v>451.08744407400968</v>
      </c>
      <c r="O55" s="470"/>
      <c r="P55" s="791"/>
      <c r="Q55" s="471"/>
      <c r="R55" s="352"/>
      <c r="T55" s="354"/>
      <c r="U55" s="355"/>
    </row>
    <row r="56" spans="1:21" s="353" customFormat="1">
      <c r="B56" s="427"/>
      <c r="C56" s="357"/>
      <c r="D56" s="356" t="str">
        <f t="shared" ref="D56" si="40">D55</f>
        <v>2.1</v>
      </c>
      <c r="E56" s="357"/>
      <c r="F56" s="361"/>
      <c r="G56" s="357"/>
      <c r="H56" s="369"/>
      <c r="I56" s="370"/>
      <c r="J56" s="371"/>
      <c r="K56" s="372"/>
      <c r="L56" s="373" t="s">
        <v>254</v>
      </c>
      <c r="M56" s="372">
        <f>SUM(M29:M55)</f>
        <v>76.920848564799996</v>
      </c>
      <c r="N56" s="40">
        <f>SUM(N29:N55)</f>
        <v>1103.9680186020096</v>
      </c>
      <c r="O56" s="381">
        <f>SUM(N29:N55)</f>
        <v>1103.9680186020096</v>
      </c>
      <c r="P56" s="381">
        <f>K28*M56</f>
        <v>1103.9680186020096</v>
      </c>
      <c r="Q56" s="459">
        <f>O56-P56</f>
        <v>0</v>
      </c>
      <c r="R56" s="352"/>
      <c r="T56" s="354"/>
      <c r="U56" s="355"/>
    </row>
    <row r="57" spans="1:21" s="353" customFormat="1">
      <c r="B57" s="427"/>
      <c r="C57" s="357"/>
      <c r="D57" s="356" t="str">
        <f t="shared" ref="D57" si="41">D56</f>
        <v>2.1</v>
      </c>
      <c r="E57" s="357"/>
      <c r="F57" s="361"/>
      <c r="G57" s="357"/>
      <c r="H57" s="369"/>
      <c r="I57" s="370"/>
      <c r="J57" s="371"/>
      <c r="K57" s="373" t="s">
        <v>23</v>
      </c>
      <c r="L57" s="376">
        <f>BDI!$J$11</f>
        <v>0.19818131607686618</v>
      </c>
      <c r="M57" s="372">
        <f>M56*L57</f>
        <v>15.244275002321386</v>
      </c>
      <c r="N57" s="373"/>
      <c r="O57" s="372"/>
      <c r="P57" s="357"/>
      <c r="Q57" s="462"/>
      <c r="R57" s="352"/>
      <c r="T57" s="354"/>
      <c r="U57" s="355"/>
    </row>
    <row r="58" spans="1:21" s="353" customFormat="1">
      <c r="B58" s="427"/>
      <c r="C58" s="357"/>
      <c r="D58" s="356" t="str">
        <f t="shared" ref="D58" si="42">D57</f>
        <v>2.1</v>
      </c>
      <c r="E58" s="357"/>
      <c r="F58" s="361"/>
      <c r="G58" s="357"/>
      <c r="H58" s="369"/>
      <c r="I58" s="370"/>
      <c r="J58" s="371"/>
      <c r="K58" s="372"/>
      <c r="L58" s="373" t="s">
        <v>255</v>
      </c>
      <c r="M58" s="372">
        <f>SUM(M56:M57)</f>
        <v>92.165123567121384</v>
      </c>
      <c r="N58" s="373"/>
      <c r="O58" s="372"/>
      <c r="P58" s="381"/>
      <c r="Q58" s="462"/>
      <c r="R58" s="352"/>
      <c r="T58" s="354"/>
      <c r="U58" s="355"/>
    </row>
    <row r="59" spans="1:21" s="353" customFormat="1" ht="22.5">
      <c r="B59" s="342">
        <v>9</v>
      </c>
      <c r="C59" s="343" t="s">
        <v>264</v>
      </c>
      <c r="D59" s="344" t="s">
        <v>405</v>
      </c>
      <c r="E59" s="345" t="str">
        <f>VLOOKUP(B59,GERAL!$C$10:$E$106,3,FALSE)</f>
        <v>UFRJ</v>
      </c>
      <c r="F59" s="346" t="str">
        <f>VLOOKUP(B59,GERAL!$C$10:$F$106,4,FALSE)</f>
        <v>UFRJ-002</v>
      </c>
      <c r="G59" s="345" t="s">
        <v>12</v>
      </c>
      <c r="H59" s="347" t="str">
        <f>VLOOKUP(B59,GERAL!$C$10:$G$106,5,FALSE)</f>
        <v>LOCAÇÃO DE CONTENTOR METÁLICO DE 1200L, CONFORME ABNT NBR 13334</v>
      </c>
      <c r="I59" s="346" t="str">
        <f>VLOOKUP(B59,GERAL!$C$10:$H$106,6,FALSE)</f>
        <v xml:space="preserve">UN </v>
      </c>
      <c r="J59" s="348"/>
      <c r="K59" s="349">
        <f>VLOOKUP(B59,GERAL!$C$10:$I$106,7,FALSE)</f>
        <v>4</v>
      </c>
      <c r="L59" s="350"/>
      <c r="M59" s="350"/>
      <c r="N59" s="351"/>
      <c r="O59" s="372"/>
      <c r="P59" s="461"/>
      <c r="Q59" s="460"/>
      <c r="R59" s="352"/>
      <c r="T59" s="354"/>
      <c r="U59" s="355"/>
    </row>
    <row r="60" spans="1:21" s="353" customFormat="1" ht="45">
      <c r="A60" s="353">
        <v>1</v>
      </c>
      <c r="B60" s="427"/>
      <c r="C60" s="357"/>
      <c r="D60" s="356" t="str">
        <f>D59</f>
        <v>2.2</v>
      </c>
      <c r="E60" s="357" t="str">
        <f>E59</f>
        <v>UFRJ</v>
      </c>
      <c r="F60" s="361"/>
      <c r="G60" s="359"/>
      <c r="H60" s="360" t="s">
        <v>299</v>
      </c>
      <c r="I60" s="361" t="s">
        <v>237</v>
      </c>
      <c r="J60" s="475">
        <v>1</v>
      </c>
      <c r="K60" s="363">
        <f>J60*K59</f>
        <v>4</v>
      </c>
      <c r="L60" s="364">
        <f>EQUIPAMENTOS!L10</f>
        <v>186.99421527777778</v>
      </c>
      <c r="M60" s="364">
        <f t="shared" ref="M60" si="43">J60*L60</f>
        <v>186.99421527777778</v>
      </c>
      <c r="N60" s="365">
        <f t="shared" ref="N60" si="44">K60*L60</f>
        <v>747.97686111111113</v>
      </c>
      <c r="O60" s="470"/>
      <c r="P60" s="470"/>
      <c r="Q60" s="471"/>
      <c r="R60" s="352"/>
      <c r="T60" s="354"/>
      <c r="U60" s="355"/>
    </row>
    <row r="61" spans="1:21" s="353" customFormat="1" ht="15">
      <c r="B61" s="366"/>
      <c r="C61" s="367"/>
      <c r="D61" s="356" t="str">
        <f t="shared" ref="D61:D63" si="45">D60</f>
        <v>2.2</v>
      </c>
      <c r="E61" s="357"/>
      <c r="F61" s="375"/>
      <c r="G61" s="357"/>
      <c r="H61" s="369"/>
      <c r="I61" s="370"/>
      <c r="J61" s="371"/>
      <c r="K61" s="372"/>
      <c r="L61" s="373" t="s">
        <v>254</v>
      </c>
      <c r="M61" s="372">
        <f>SUM(M60)</f>
        <v>186.99421527777778</v>
      </c>
      <c r="N61" s="40">
        <f>SUM(N60)</f>
        <v>747.97686111111113</v>
      </c>
      <c r="O61" s="381">
        <f>SUM(N60)</f>
        <v>747.97686111111113</v>
      </c>
      <c r="P61" s="381">
        <f>K59*M61</f>
        <v>747.97686111111113</v>
      </c>
      <c r="Q61" s="459">
        <f>O61-P61</f>
        <v>0</v>
      </c>
      <c r="R61" s="352"/>
      <c r="T61" s="354"/>
      <c r="U61" s="355"/>
    </row>
    <row r="62" spans="1:21" s="353" customFormat="1" ht="15">
      <c r="B62" s="366"/>
      <c r="C62" s="367"/>
      <c r="D62" s="356" t="str">
        <f t="shared" si="45"/>
        <v>2.2</v>
      </c>
      <c r="E62" s="357"/>
      <c r="F62" s="375"/>
      <c r="G62" s="357"/>
      <c r="H62" s="369"/>
      <c r="I62" s="370"/>
      <c r="J62" s="371"/>
      <c r="K62" s="373" t="s">
        <v>23</v>
      </c>
      <c r="L62" s="376">
        <f>BDI!$J$11</f>
        <v>0.19818131607686618</v>
      </c>
      <c r="M62" s="372">
        <f>M61*L62</f>
        <v>37.058759682510839</v>
      </c>
      <c r="N62" s="377"/>
      <c r="O62" s="372"/>
      <c r="P62" s="461"/>
      <c r="Q62" s="460"/>
      <c r="R62" s="352"/>
      <c r="T62" s="354"/>
      <c r="U62" s="355"/>
    </row>
    <row r="63" spans="1:21" s="353" customFormat="1" ht="15">
      <c r="B63" s="366"/>
      <c r="C63" s="367"/>
      <c r="D63" s="356" t="str">
        <f t="shared" si="45"/>
        <v>2.2</v>
      </c>
      <c r="E63" s="357"/>
      <c r="F63" s="375"/>
      <c r="G63" s="357"/>
      <c r="H63" s="369"/>
      <c r="I63" s="370"/>
      <c r="J63" s="371"/>
      <c r="K63" s="372"/>
      <c r="L63" s="373" t="s">
        <v>255</v>
      </c>
      <c r="M63" s="372">
        <f>SUM(M61:M62)</f>
        <v>224.05297496028862</v>
      </c>
      <c r="N63" s="377"/>
      <c r="O63" s="372"/>
      <c r="P63" s="461"/>
      <c r="Q63" s="460"/>
      <c r="R63" s="352"/>
      <c r="T63" s="354"/>
      <c r="U63" s="355"/>
    </row>
    <row r="64" spans="1:21" s="353" customFormat="1" ht="33.75">
      <c r="B64" s="342">
        <v>10</v>
      </c>
      <c r="C64" s="343" t="s">
        <v>269</v>
      </c>
      <c r="D64" s="344" t="s">
        <v>406</v>
      </c>
      <c r="E64" s="345" t="str">
        <f>VLOOKUP(B64,GERAL!$C$10:$E$106,3,FALSE)</f>
        <v>COMLURB</v>
      </c>
      <c r="F64" s="346" t="str">
        <f>VLOOKUP(B64,GERAL!$C$10:$F$106,4,FALSE)</f>
        <v>COMLURB</v>
      </c>
      <c r="G64" s="345" t="s">
        <v>12</v>
      </c>
      <c r="H64" s="347" t="str">
        <f>VLOOKUP(B64,GERAL!$C$10:$G$106,5,FALSE)</f>
        <v>TARIFA DE DISPOSICAO FINAL (VAZAMENTO DE RESÍDUO DE GRANDE GERADOR PROVENIENTE DA CIDADE DO RIO DE JANEIRO)</v>
      </c>
      <c r="I64" s="346" t="str">
        <f>VLOOKUP(B64,GERAL!$C$10:$H$106,6,FALSE)</f>
        <v>T</v>
      </c>
      <c r="J64" s="348"/>
      <c r="K64" s="349">
        <f>VLOOKUP(B64,GERAL!$C$10:$I$106,7,FALSE)</f>
        <v>14.352</v>
      </c>
      <c r="L64" s="350"/>
      <c r="M64" s="350"/>
      <c r="N64" s="351"/>
      <c r="O64" s="372"/>
      <c r="P64" s="461"/>
      <c r="Q64" s="460"/>
      <c r="R64" s="352"/>
      <c r="T64" s="354"/>
      <c r="U64" s="355"/>
    </row>
    <row r="65" spans="1:21" s="353" customFormat="1">
      <c r="A65" s="353">
        <v>1</v>
      </c>
      <c r="B65" s="427"/>
      <c r="C65" s="357"/>
      <c r="D65" s="356" t="str">
        <f>D64</f>
        <v>2.3</v>
      </c>
      <c r="E65" s="357" t="str">
        <f>E64</f>
        <v>COMLURB</v>
      </c>
      <c r="F65" s="361"/>
      <c r="G65" s="359"/>
      <c r="H65" s="360" t="s">
        <v>268</v>
      </c>
      <c r="I65" s="361" t="s">
        <v>237</v>
      </c>
      <c r="J65" s="475">
        <v>1</v>
      </c>
      <c r="K65" s="363">
        <f>J65*K64</f>
        <v>14.352</v>
      </c>
      <c r="L65" s="364">
        <v>75</v>
      </c>
      <c r="M65" s="364">
        <f>J65*L65</f>
        <v>75</v>
      </c>
      <c r="N65" s="365">
        <f t="shared" ref="N65" si="46">K65*L65</f>
        <v>1076.4000000000001</v>
      </c>
      <c r="O65" s="470"/>
      <c r="P65" s="470"/>
      <c r="Q65" s="471"/>
      <c r="R65" s="352"/>
      <c r="T65" s="354"/>
      <c r="U65" s="355"/>
    </row>
    <row r="66" spans="1:21" s="353" customFormat="1" ht="15">
      <c r="B66" s="366"/>
      <c r="C66" s="367"/>
      <c r="D66" s="356" t="str">
        <f t="shared" ref="D66:D68" si="47">D65</f>
        <v>2.3</v>
      </c>
      <c r="E66" s="357"/>
      <c r="F66" s="375"/>
      <c r="G66" s="357"/>
      <c r="H66" s="369"/>
      <c r="I66" s="370"/>
      <c r="J66" s="371"/>
      <c r="K66" s="372"/>
      <c r="L66" s="373" t="s">
        <v>254</v>
      </c>
      <c r="M66" s="372">
        <f>SUM(M65)</f>
        <v>75</v>
      </c>
      <c r="N66" s="40">
        <f>SUM(N65)</f>
        <v>1076.4000000000001</v>
      </c>
      <c r="O66" s="381">
        <f>SUM(N65)</f>
        <v>1076.4000000000001</v>
      </c>
      <c r="P66" s="381">
        <f>K64*M66</f>
        <v>1076.4000000000001</v>
      </c>
      <c r="Q66" s="459">
        <f>O66-P66</f>
        <v>0</v>
      </c>
      <c r="R66" s="352"/>
      <c r="T66" s="354"/>
      <c r="U66" s="355"/>
    </row>
    <row r="67" spans="1:21" s="353" customFormat="1" ht="15">
      <c r="B67" s="366"/>
      <c r="C67" s="367"/>
      <c r="D67" s="356" t="str">
        <f t="shared" si="47"/>
        <v>2.3</v>
      </c>
      <c r="E67" s="357"/>
      <c r="F67" s="375"/>
      <c r="G67" s="357"/>
      <c r="H67" s="369"/>
      <c r="I67" s="370"/>
      <c r="J67" s="371"/>
      <c r="K67" s="373" t="s">
        <v>23</v>
      </c>
      <c r="L67" s="376">
        <f>BDI!$J$11</f>
        <v>0.19818131607686618</v>
      </c>
      <c r="M67" s="372">
        <f>M66*L67</f>
        <v>14.863598705764963</v>
      </c>
      <c r="N67" s="377"/>
      <c r="O67" s="372"/>
      <c r="P67" s="461"/>
      <c r="Q67" s="460"/>
      <c r="R67" s="352"/>
      <c r="T67" s="354"/>
      <c r="U67" s="355"/>
    </row>
    <row r="68" spans="1:21" s="353" customFormat="1" ht="15">
      <c r="B68" s="366"/>
      <c r="C68" s="367"/>
      <c r="D68" s="356" t="str">
        <f t="shared" si="47"/>
        <v>2.3</v>
      </c>
      <c r="E68" s="357"/>
      <c r="F68" s="375"/>
      <c r="G68" s="357"/>
      <c r="H68" s="369"/>
      <c r="I68" s="370"/>
      <c r="J68" s="371"/>
      <c r="K68" s="372"/>
      <c r="L68" s="373" t="s">
        <v>255</v>
      </c>
      <c r="M68" s="372">
        <f>SUM(M66:M67)</f>
        <v>89.863598705764957</v>
      </c>
      <c r="N68" s="377"/>
      <c r="O68" s="372"/>
      <c r="P68" s="461"/>
      <c r="Q68" s="460"/>
      <c r="R68" s="352"/>
      <c r="T68" s="354"/>
      <c r="U68" s="355"/>
    </row>
    <row r="69" spans="1:21" s="353" customFormat="1" ht="45">
      <c r="B69" s="342">
        <v>11</v>
      </c>
      <c r="C69" s="343" t="s">
        <v>263</v>
      </c>
      <c r="D69" s="344" t="s">
        <v>407</v>
      </c>
      <c r="E69" s="345" t="str">
        <f>VLOOKUP(B69,GERAL!$C$10:$E$106,3,FALSE)</f>
        <v>UFRJ</v>
      </c>
      <c r="F69" s="346" t="str">
        <f>VLOOKUP(B69,GERAL!$C$10:$F$106,4,FALSE)</f>
        <v>SCO/RIO TC05.15.0100</v>
      </c>
      <c r="G69" s="345" t="s">
        <v>12</v>
      </c>
      <c r="H69" s="347" t="str">
        <f>VLOOKUP(B69,GERAL!$C$10:$G$106,5,FALSE)</f>
        <v>RETIRADA DE ENTULHO DE OBRA EM CACAMBA DE ACO COM 5M3 DE CAPACIDADE, INCLUSIVE CARREGAMENTO DO CONTAINER, TRANSPORTE E DESCARGA, EXCLUSIVE TARIFA DE DISPOSICAO FINAL.</v>
      </c>
      <c r="I69" s="346" t="str">
        <f>VLOOKUP(B69,GERAL!$C$10:$H$106,6,FALSE)</f>
        <v>T</v>
      </c>
      <c r="J69" s="348"/>
      <c r="K69" s="349">
        <f>VLOOKUP(B69,GERAL!$C$10:$I$106,7,FALSE)</f>
        <v>26</v>
      </c>
      <c r="L69" s="350"/>
      <c r="M69" s="350"/>
      <c r="N69" s="351"/>
      <c r="O69" s="372"/>
      <c r="P69" s="461"/>
      <c r="Q69" s="460"/>
      <c r="R69" s="352"/>
      <c r="T69" s="354"/>
      <c r="U69" s="355"/>
    </row>
    <row r="70" spans="1:21" s="353" customFormat="1" ht="22.5">
      <c r="A70" s="353">
        <v>1</v>
      </c>
      <c r="B70" s="427" t="s">
        <v>235</v>
      </c>
      <c r="C70" s="357"/>
      <c r="D70" s="356" t="str">
        <f>D69</f>
        <v>2.4</v>
      </c>
      <c r="E70" s="357" t="s">
        <v>15</v>
      </c>
      <c r="F70" s="361" t="s">
        <v>381</v>
      </c>
      <c r="G70" s="359"/>
      <c r="H70" s="360" t="s">
        <v>384</v>
      </c>
      <c r="I70" s="485" t="s">
        <v>237</v>
      </c>
      <c r="J70" s="475">
        <v>0.15384615384615383</v>
      </c>
      <c r="K70" s="363">
        <f>J70*$K$69</f>
        <v>3.9999999999999996</v>
      </c>
      <c r="L70" s="364">
        <f>L17</f>
        <v>250</v>
      </c>
      <c r="M70" s="364">
        <f t="shared" ref="M70:M72" si="48">J70*L70</f>
        <v>38.46153846153846</v>
      </c>
      <c r="N70" s="365">
        <f t="shared" ref="N70:N72" si="49">K70*L70</f>
        <v>999.99999999999989</v>
      </c>
      <c r="O70" s="470"/>
      <c r="P70" s="470"/>
      <c r="Q70" s="471"/>
      <c r="R70" s="352"/>
      <c r="T70" s="354"/>
      <c r="U70" s="355"/>
    </row>
    <row r="71" spans="1:21" s="353" customFormat="1">
      <c r="A71" s="353">
        <v>2</v>
      </c>
      <c r="B71" s="427" t="str">
        <f>B70</f>
        <v>TC05.15.0100</v>
      </c>
      <c r="C71" s="357"/>
      <c r="D71" s="356" t="str">
        <f t="shared" ref="D71:E71" si="50">D70</f>
        <v>2.4</v>
      </c>
      <c r="E71" s="357" t="str">
        <f t="shared" si="50"/>
        <v>SCO/RIO</v>
      </c>
      <c r="F71" s="361" t="s">
        <v>382</v>
      </c>
      <c r="G71" s="359"/>
      <c r="H71" s="360" t="s">
        <v>385</v>
      </c>
      <c r="I71" s="485" t="s">
        <v>372</v>
      </c>
      <c r="J71" s="475">
        <v>0.61538461538461531</v>
      </c>
      <c r="K71" s="363">
        <f t="shared" ref="K71:K72" si="51">J71*$K$69</f>
        <v>15.999999999999998</v>
      </c>
      <c r="L71" s="364">
        <f>L11</f>
        <v>15.06</v>
      </c>
      <c r="M71" s="364">
        <f t="shared" si="48"/>
        <v>9.2676923076923075</v>
      </c>
      <c r="N71" s="365">
        <f t="shared" si="49"/>
        <v>240.95999999999998</v>
      </c>
      <c r="O71" s="470"/>
      <c r="P71" s="470"/>
      <c r="Q71" s="471"/>
      <c r="R71" s="352"/>
      <c r="T71" s="354"/>
      <c r="U71" s="355"/>
    </row>
    <row r="72" spans="1:21" s="353" customFormat="1" ht="22.5">
      <c r="A72" s="353">
        <v>3</v>
      </c>
      <c r="B72" s="427" t="str">
        <f t="shared" ref="B72" si="52">B71</f>
        <v>TC05.15.0100</v>
      </c>
      <c r="C72" s="357"/>
      <c r="D72" s="356" t="str">
        <f t="shared" ref="D72:E75" si="53">D71</f>
        <v>2.4</v>
      </c>
      <c r="E72" s="357" t="str">
        <f t="shared" si="53"/>
        <v>SCO/RIO</v>
      </c>
      <c r="F72" s="361" t="s">
        <v>383</v>
      </c>
      <c r="G72" s="359"/>
      <c r="H72" s="360" t="s">
        <v>386</v>
      </c>
      <c r="I72" s="485" t="s">
        <v>257</v>
      </c>
      <c r="J72" s="475">
        <v>0.03</v>
      </c>
      <c r="K72" s="363">
        <f t="shared" si="51"/>
        <v>0.78</v>
      </c>
      <c r="L72" s="364">
        <f>M71</f>
        <v>9.2676923076923075</v>
      </c>
      <c r="M72" s="364">
        <f t="shared" si="48"/>
        <v>0.27803076923076919</v>
      </c>
      <c r="N72" s="365">
        <f t="shared" si="49"/>
        <v>7.2287999999999997</v>
      </c>
      <c r="O72" s="470"/>
      <c r="P72" s="470"/>
      <c r="Q72" s="471"/>
      <c r="R72" s="352"/>
      <c r="T72" s="354"/>
      <c r="U72" s="355"/>
    </row>
    <row r="73" spans="1:21" s="353" customFormat="1">
      <c r="B73" s="427"/>
      <c r="C73" s="357"/>
      <c r="D73" s="356" t="str">
        <f t="shared" si="53"/>
        <v>2.4</v>
      </c>
      <c r="E73" s="357"/>
      <c r="F73" s="361"/>
      <c r="G73" s="357"/>
      <c r="H73" s="369"/>
      <c r="I73" s="370"/>
      <c r="J73" s="371"/>
      <c r="K73" s="372"/>
      <c r="L73" s="373" t="s">
        <v>254</v>
      </c>
      <c r="M73" s="372">
        <f>SUM(M70:M72)</f>
        <v>48.007261538461535</v>
      </c>
      <c r="N73" s="40">
        <f>SUM(N70:N72)</f>
        <v>1248.1887999999999</v>
      </c>
      <c r="O73" s="381">
        <f>SUM(N70:N72)</f>
        <v>1248.1887999999999</v>
      </c>
      <c r="P73" s="381">
        <f>K69*M73</f>
        <v>1248.1887999999999</v>
      </c>
      <c r="Q73" s="459">
        <f>O73-P73</f>
        <v>0</v>
      </c>
      <c r="R73" s="352"/>
      <c r="T73" s="354"/>
      <c r="U73" s="355"/>
    </row>
    <row r="74" spans="1:21" s="353" customFormat="1">
      <c r="B74" s="427"/>
      <c r="C74" s="357"/>
      <c r="D74" s="356" t="str">
        <f t="shared" si="53"/>
        <v>2.4</v>
      </c>
      <c r="E74" s="357"/>
      <c r="F74" s="361"/>
      <c r="G74" s="357"/>
      <c r="H74" s="369"/>
      <c r="I74" s="370"/>
      <c r="J74" s="371"/>
      <c r="K74" s="373" t="s">
        <v>23</v>
      </c>
      <c r="L74" s="376">
        <f>BDI!$J$11</f>
        <v>0.19818131607686618</v>
      </c>
      <c r="M74" s="372">
        <f>M73*L74</f>
        <v>9.514142272938626</v>
      </c>
      <c r="N74" s="373"/>
      <c r="O74" s="372"/>
      <c r="P74" s="357"/>
      <c r="Q74" s="462"/>
      <c r="R74" s="352"/>
      <c r="T74" s="354"/>
      <c r="U74" s="355"/>
    </row>
    <row r="75" spans="1:21" s="353" customFormat="1">
      <c r="B75" s="427"/>
      <c r="C75" s="357"/>
      <c r="D75" s="356" t="str">
        <f t="shared" si="53"/>
        <v>2.4</v>
      </c>
      <c r="E75" s="357"/>
      <c r="F75" s="361"/>
      <c r="G75" s="357"/>
      <c r="H75" s="369"/>
      <c r="I75" s="370"/>
      <c r="J75" s="371"/>
      <c r="K75" s="372"/>
      <c r="L75" s="373" t="s">
        <v>255</v>
      </c>
      <c r="M75" s="372">
        <f>SUM(M73:M74)</f>
        <v>57.521403811400162</v>
      </c>
      <c r="N75" s="373"/>
      <c r="O75" s="372"/>
      <c r="P75" s="381"/>
      <c r="Q75" s="462"/>
      <c r="R75" s="352"/>
      <c r="T75" s="354"/>
      <c r="U75" s="355"/>
    </row>
    <row r="76" spans="1:21" s="353" customFormat="1" ht="22.5">
      <c r="B76" s="342">
        <v>12</v>
      </c>
      <c r="C76" s="343" t="s">
        <v>269</v>
      </c>
      <c r="D76" s="344" t="s">
        <v>408</v>
      </c>
      <c r="E76" s="345" t="str">
        <f>VLOOKUP(B76,GERAL!$C$10:$E$106,3,FALSE)</f>
        <v>COMLURB</v>
      </c>
      <c r="F76" s="346" t="str">
        <f>VLOOKUP(B76,GERAL!$C$10:$F$106,4,FALSE)</f>
        <v>COMLURB</v>
      </c>
      <c r="G76" s="345" t="s">
        <v>12</v>
      </c>
      <c r="H76" s="347" t="str">
        <f>VLOOKUP(B76,GERAL!$C$10:$G$106,5,FALSE)</f>
        <v>TARIFA DE DISPOSICAO FINAL (VAZAMENTO DE RESÍDUOS SÓLIDOS INERTES MISTURADOS - RSI)</v>
      </c>
      <c r="I76" s="346" t="str">
        <f>VLOOKUP(B76,GERAL!$C$10:$H$106,6,FALSE)</f>
        <v>T</v>
      </c>
      <c r="J76" s="348"/>
      <c r="K76" s="349">
        <f>VLOOKUP(B76,GERAL!$C$10:$I$106,7,FALSE)</f>
        <v>26</v>
      </c>
      <c r="L76" s="350"/>
      <c r="M76" s="350"/>
      <c r="N76" s="351"/>
      <c r="O76" s="372"/>
      <c r="P76" s="461"/>
      <c r="Q76" s="460"/>
      <c r="R76" s="352"/>
      <c r="T76" s="354"/>
      <c r="U76" s="355"/>
    </row>
    <row r="77" spans="1:21" s="353" customFormat="1">
      <c r="A77" s="353">
        <v>1</v>
      </c>
      <c r="B77" s="427"/>
      <c r="C77" s="357"/>
      <c r="D77" s="356" t="str">
        <f>D76</f>
        <v>2.5</v>
      </c>
      <c r="E77" s="357" t="str">
        <f>E76</f>
        <v>COMLURB</v>
      </c>
      <c r="F77" s="361"/>
      <c r="G77" s="359"/>
      <c r="H77" s="360" t="s">
        <v>268</v>
      </c>
      <c r="I77" s="361" t="s">
        <v>237</v>
      </c>
      <c r="J77" s="475">
        <v>1</v>
      </c>
      <c r="K77" s="363">
        <f>J77*K76</f>
        <v>26</v>
      </c>
      <c r="L77" s="364">
        <v>14.59</v>
      </c>
      <c r="M77" s="364">
        <f t="shared" ref="M77" si="54">J77*L77</f>
        <v>14.59</v>
      </c>
      <c r="N77" s="365">
        <f t="shared" ref="N77" si="55">K77*L77</f>
        <v>379.34</v>
      </c>
      <c r="O77" s="470"/>
      <c r="P77" s="470"/>
      <c r="Q77" s="471"/>
      <c r="R77" s="352"/>
      <c r="T77" s="354"/>
      <c r="U77" s="355"/>
    </row>
    <row r="78" spans="1:21" s="353" customFormat="1" ht="15">
      <c r="B78" s="366"/>
      <c r="C78" s="367"/>
      <c r="D78" s="356" t="str">
        <f t="shared" ref="D78:D80" si="56">D77</f>
        <v>2.5</v>
      </c>
      <c r="E78" s="357"/>
      <c r="F78" s="375"/>
      <c r="G78" s="357"/>
      <c r="H78" s="369"/>
      <c r="I78" s="370"/>
      <c r="J78" s="371"/>
      <c r="K78" s="372"/>
      <c r="L78" s="373" t="s">
        <v>254</v>
      </c>
      <c r="M78" s="372">
        <f>SUM(M77)</f>
        <v>14.59</v>
      </c>
      <c r="N78" s="40">
        <f>SUM(N77)</f>
        <v>379.34</v>
      </c>
      <c r="O78" s="381">
        <f>SUM(N77)</f>
        <v>379.34</v>
      </c>
      <c r="P78" s="381">
        <f>K76*M78</f>
        <v>379.34</v>
      </c>
      <c r="Q78" s="459">
        <f>O78-P78</f>
        <v>0</v>
      </c>
      <c r="R78" s="352"/>
      <c r="T78" s="354"/>
      <c r="U78" s="355"/>
    </row>
    <row r="79" spans="1:21" s="353" customFormat="1" ht="15">
      <c r="B79" s="366"/>
      <c r="C79" s="367"/>
      <c r="D79" s="356" t="str">
        <f t="shared" si="56"/>
        <v>2.5</v>
      </c>
      <c r="E79" s="357"/>
      <c r="F79" s="375"/>
      <c r="G79" s="357"/>
      <c r="H79" s="369"/>
      <c r="I79" s="370"/>
      <c r="J79" s="371"/>
      <c r="K79" s="373" t="s">
        <v>23</v>
      </c>
      <c r="L79" s="376">
        <f>BDI!$J$11</f>
        <v>0.19818131607686618</v>
      </c>
      <c r="M79" s="372">
        <f>M78*L79</f>
        <v>2.8914654015614776</v>
      </c>
      <c r="N79" s="377"/>
      <c r="O79" s="372"/>
      <c r="P79" s="461"/>
      <c r="Q79" s="460"/>
      <c r="R79" s="352"/>
      <c r="T79" s="354"/>
      <c r="U79" s="355"/>
    </row>
    <row r="80" spans="1:21" s="353" customFormat="1" ht="15">
      <c r="B80" s="366"/>
      <c r="C80" s="367"/>
      <c r="D80" s="658" t="str">
        <f t="shared" si="56"/>
        <v>2.5</v>
      </c>
      <c r="E80" s="659"/>
      <c r="F80" s="660"/>
      <c r="G80" s="659"/>
      <c r="H80" s="661"/>
      <c r="I80" s="662"/>
      <c r="J80" s="663"/>
      <c r="K80" s="664"/>
      <c r="L80" s="665" t="s">
        <v>255</v>
      </c>
      <c r="M80" s="664">
        <f>SUM(M78:M79)</f>
        <v>17.481465401561479</v>
      </c>
      <c r="N80" s="377"/>
      <c r="O80" s="372"/>
      <c r="P80" s="461"/>
      <c r="Q80" s="460"/>
      <c r="R80" s="352"/>
      <c r="T80" s="354"/>
      <c r="U80" s="355"/>
    </row>
    <row r="81" spans="2:21" s="353" customFormat="1" ht="15">
      <c r="B81" s="366"/>
      <c r="C81" s="367"/>
      <c r="D81" s="356"/>
      <c r="E81" s="357"/>
      <c r="F81" s="375"/>
      <c r="G81" s="357"/>
      <c r="H81" s="369"/>
      <c r="I81" s="370"/>
      <c r="J81" s="371"/>
      <c r="K81" s="372"/>
      <c r="L81" s="373"/>
      <c r="M81" s="372"/>
      <c r="N81" s="377"/>
      <c r="O81" s="372"/>
      <c r="P81" s="461"/>
      <c r="Q81" s="460"/>
      <c r="R81" s="352"/>
      <c r="T81" s="354"/>
      <c r="U81" s="355"/>
    </row>
    <row r="82" spans="2:21" s="353" customFormat="1" ht="15">
      <c r="B82" s="379"/>
      <c r="C82" s="489">
        <f>COUNTIF(C9:C80,"C")+COUNTIF(C9:C80,"I")+COUNTIF(C9:C80,"P")+COUNTIF(C9:C80,"M")+COUNTIF(C9:C80,"T")</f>
        <v>8</v>
      </c>
      <c r="D82" s="210" t="str">
        <f>"Total de serviços ="&amp;" "&amp;C82</f>
        <v>Total de serviços = 8</v>
      </c>
      <c r="E82" s="357"/>
      <c r="F82" s="368"/>
      <c r="G82" s="357"/>
      <c r="H82" s="369"/>
      <c r="I82" s="370"/>
      <c r="J82" s="371"/>
      <c r="K82" s="381"/>
      <c r="L82" s="374"/>
      <c r="M82" s="381"/>
      <c r="N82" s="374"/>
      <c r="O82" s="381"/>
      <c r="P82" s="381"/>
      <c r="Q82" s="462"/>
      <c r="R82" s="352"/>
      <c r="T82" s="354"/>
      <c r="U82" s="355"/>
    </row>
    <row r="83" spans="2:21" s="387" customFormat="1">
      <c r="C83" s="484">
        <f>COUNTIF(C9:C80,"P")</f>
        <v>3</v>
      </c>
      <c r="D83" s="210" t="str">
        <f>"Total de serviços parametrizados ="&amp;" "&amp;C83</f>
        <v>Total de serviços parametrizados = 3</v>
      </c>
      <c r="E83" s="388"/>
      <c r="F83" s="389"/>
      <c r="G83" s="382"/>
      <c r="H83" s="360"/>
      <c r="I83" s="361"/>
      <c r="J83" s="362"/>
      <c r="K83" s="383"/>
      <c r="L83" s="384"/>
      <c r="M83" s="385"/>
      <c r="N83" s="390" t="s">
        <v>256</v>
      </c>
      <c r="O83" s="464">
        <f>SUM(O9:O82)</f>
        <v>6642.4490643285062</v>
      </c>
      <c r="P83" s="464">
        <f>SUM(P9:P82)</f>
        <v>6642.4490643285062</v>
      </c>
      <c r="Q83" s="465">
        <f>SUM(Q9:Q82)</f>
        <v>0</v>
      </c>
      <c r="R83" s="390"/>
      <c r="T83" s="391"/>
      <c r="U83" s="392"/>
    </row>
    <row r="84" spans="2:21" s="387" customFormat="1">
      <c r="C84" s="484">
        <f>COUNTIF(C9:C80,"M")</f>
        <v>2</v>
      </c>
      <c r="D84" s="210" t="str">
        <f>"Total de serviços pesquisados no mercado ="&amp;" "&amp;C84</f>
        <v>Total de serviços pesquisados no mercado = 2</v>
      </c>
      <c r="E84" s="382"/>
      <c r="F84" s="358"/>
      <c r="G84" s="382"/>
      <c r="H84" s="360"/>
      <c r="I84" s="17"/>
      <c r="J84" s="393"/>
      <c r="K84" s="383"/>
      <c r="L84" s="380"/>
      <c r="M84" s="394"/>
      <c r="N84" s="384" t="s">
        <v>23</v>
      </c>
      <c r="O84" s="466">
        <f>BDI!$J$11</f>
        <v>0.19818131607686618</v>
      </c>
      <c r="P84" s="394"/>
      <c r="Q84" s="394"/>
      <c r="R84" s="386"/>
      <c r="T84" s="391"/>
      <c r="U84" s="392"/>
    </row>
    <row r="85" spans="2:21" s="387" customFormat="1">
      <c r="C85" s="484">
        <f>COUNTIF(C9:C80,"T")</f>
        <v>3</v>
      </c>
      <c r="D85" s="210" t="str">
        <f>"Total de taxas ="&amp;" "&amp;C85</f>
        <v>Total de taxas = 3</v>
      </c>
      <c r="E85" s="382"/>
      <c r="F85" s="358"/>
      <c r="G85" s="382"/>
      <c r="H85" s="360"/>
      <c r="I85" s="18"/>
      <c r="J85" s="393"/>
      <c r="K85" s="383"/>
      <c r="L85" s="384"/>
      <c r="M85" s="394"/>
      <c r="N85" s="390" t="s">
        <v>243</v>
      </c>
      <c r="O85" s="394">
        <f>O83*O84+O83</f>
        <v>7958.858361870678</v>
      </c>
      <c r="P85" s="394"/>
      <c r="Q85" s="463"/>
      <c r="R85" s="386"/>
      <c r="T85" s="391"/>
      <c r="U85" s="392"/>
    </row>
    <row r="86" spans="2:21" s="395" customFormat="1">
      <c r="C86" s="285"/>
      <c r="D86" s="358"/>
      <c r="E86" s="358"/>
      <c r="F86" s="358"/>
      <c r="G86" s="389"/>
      <c r="H86" s="358"/>
      <c r="I86" s="17"/>
      <c r="J86" s="396"/>
      <c r="K86" s="397"/>
      <c r="L86" s="244"/>
      <c r="M86" s="185"/>
      <c r="N86" s="400" t="s">
        <v>16</v>
      </c>
      <c r="O86" s="467">
        <f>GERAL!N25-O85</f>
        <v>-7958.858361870678</v>
      </c>
      <c r="P86" s="185"/>
      <c r="Q86" s="185"/>
      <c r="R86" s="244"/>
      <c r="S86" s="398"/>
      <c r="T86" s="399"/>
    </row>
    <row r="87" spans="2:21" s="395" customFormat="1">
      <c r="C87" s="285"/>
      <c r="E87" s="491" t="s">
        <v>329</v>
      </c>
      <c r="F87" s="358"/>
      <c r="G87" s="389"/>
      <c r="H87" s="358"/>
      <c r="I87" s="17"/>
      <c r="J87" s="396"/>
      <c r="K87" s="397"/>
      <c r="L87" s="401"/>
      <c r="M87" s="185"/>
      <c r="N87" s="185"/>
      <c r="O87" s="185"/>
      <c r="P87" s="208"/>
      <c r="Q87" s="287"/>
      <c r="R87" s="22"/>
      <c r="S87" s="398"/>
      <c r="T87" s="399"/>
    </row>
    <row r="88" spans="2:21" s="402" customFormat="1" ht="58.5" customHeight="1">
      <c r="C88" s="378"/>
      <c r="D88" s="491">
        <v>1</v>
      </c>
      <c r="E88" s="824" t="s">
        <v>350</v>
      </c>
      <c r="F88" s="824"/>
      <c r="G88" s="824"/>
      <c r="H88" s="824"/>
      <c r="I88" s="824"/>
      <c r="J88" s="824"/>
      <c r="K88" s="824"/>
      <c r="L88" s="824"/>
      <c r="M88" s="185"/>
      <c r="N88" s="405"/>
      <c r="O88" s="405"/>
      <c r="P88" s="185"/>
      <c r="Q88" s="417"/>
      <c r="R88" s="406"/>
      <c r="S88" s="407"/>
      <c r="T88" s="408"/>
    </row>
    <row r="89" spans="2:21" s="402" customFormat="1" ht="51" customHeight="1">
      <c r="C89" s="378"/>
      <c r="D89" s="491">
        <v>2</v>
      </c>
      <c r="E89" s="824" t="s">
        <v>349</v>
      </c>
      <c r="F89" s="824"/>
      <c r="G89" s="824"/>
      <c r="H89" s="824"/>
      <c r="I89" s="824"/>
      <c r="J89" s="824"/>
      <c r="K89" s="824"/>
      <c r="L89" s="824"/>
      <c r="M89" s="185"/>
      <c r="N89" s="244"/>
      <c r="O89" s="185"/>
      <c r="P89" s="405"/>
      <c r="Q89" s="405"/>
      <c r="R89" s="406"/>
      <c r="S89" s="407"/>
      <c r="T89" s="408"/>
    </row>
    <row r="90" spans="2:21" s="402" customFormat="1" ht="39.75" customHeight="1">
      <c r="C90" s="378"/>
      <c r="D90" s="647" t="s">
        <v>352</v>
      </c>
      <c r="E90" s="824" t="s">
        <v>351</v>
      </c>
      <c r="F90" s="824"/>
      <c r="G90" s="824"/>
      <c r="H90" s="824"/>
      <c r="I90" s="824"/>
      <c r="J90" s="824"/>
      <c r="K90" s="824"/>
      <c r="L90" s="824"/>
      <c r="M90" s="185"/>
      <c r="N90" s="185"/>
      <c r="O90" s="405"/>
      <c r="P90" s="287"/>
      <c r="Q90" s="417"/>
      <c r="R90" s="406"/>
      <c r="S90" s="407"/>
      <c r="T90" s="408"/>
    </row>
    <row r="91" spans="2:21" s="402" customFormat="1" ht="45.75" customHeight="1">
      <c r="C91" s="378"/>
      <c r="D91" s="647" t="s">
        <v>398</v>
      </c>
      <c r="E91" s="825" t="s">
        <v>399</v>
      </c>
      <c r="F91" s="825"/>
      <c r="G91" s="825"/>
      <c r="H91" s="825"/>
      <c r="I91" s="825"/>
      <c r="J91" s="825"/>
      <c r="K91" s="825"/>
      <c r="L91" s="825"/>
      <c r="M91" s="185"/>
      <c r="N91" s="244"/>
      <c r="O91" s="185"/>
      <c r="P91" s="287"/>
      <c r="Q91" s="405"/>
      <c r="R91" s="406"/>
      <c r="S91" s="407"/>
      <c r="T91" s="408"/>
    </row>
    <row r="92" spans="2:21" s="402" customFormat="1">
      <c r="C92" s="378"/>
      <c r="D92" s="358"/>
      <c r="E92" s="358"/>
      <c r="F92" s="358"/>
      <c r="G92" s="389"/>
      <c r="H92" s="358"/>
      <c r="I92" s="409"/>
      <c r="J92" s="404"/>
      <c r="K92" s="397"/>
      <c r="L92" s="185"/>
      <c r="M92" s="410"/>
      <c r="N92" s="244"/>
      <c r="O92" s="405"/>
      <c r="P92" s="405"/>
      <c r="Q92" s="405"/>
      <c r="R92" s="406"/>
      <c r="S92" s="407"/>
      <c r="T92" s="408"/>
    </row>
    <row r="93" spans="2:21" s="402" customFormat="1">
      <c r="C93" s="378"/>
      <c r="D93" s="358"/>
      <c r="E93" s="358"/>
      <c r="F93" s="358"/>
      <c r="G93" s="389"/>
      <c r="H93" s="358"/>
      <c r="I93" s="409"/>
      <c r="J93" s="404"/>
      <c r="K93" s="411"/>
      <c r="L93" s="15"/>
      <c r="M93" s="412"/>
      <c r="N93" s="244"/>
      <c r="O93" s="437"/>
      <c r="P93" s="185"/>
      <c r="Q93" s="417"/>
      <c r="R93" s="406"/>
      <c r="S93" s="407"/>
      <c r="T93" s="408"/>
    </row>
    <row r="94" spans="2:21" s="402" customFormat="1">
      <c r="C94" s="378"/>
      <c r="D94" s="358"/>
      <c r="E94" s="358"/>
      <c r="F94" s="358"/>
      <c r="G94" s="389"/>
      <c r="H94" s="358"/>
      <c r="I94" s="409"/>
      <c r="J94" s="404"/>
      <c r="K94" s="411"/>
      <c r="L94" s="15"/>
      <c r="M94" s="412"/>
      <c r="N94" s="244"/>
      <c r="O94" s="437"/>
      <c r="P94" s="287"/>
      <c r="Q94" s="417"/>
      <c r="R94" s="406"/>
      <c r="S94" s="407"/>
      <c r="T94" s="408"/>
    </row>
    <row r="95" spans="2:21" s="402" customFormat="1">
      <c r="C95" s="378"/>
      <c r="D95" s="358"/>
      <c r="E95" s="358"/>
      <c r="F95" s="358"/>
      <c r="G95" s="389"/>
      <c r="H95" s="358"/>
      <c r="I95" s="409"/>
      <c r="J95" s="404"/>
      <c r="K95" s="411"/>
      <c r="L95" s="15"/>
      <c r="M95" s="412"/>
      <c r="N95" s="244"/>
      <c r="O95" s="437"/>
      <c r="P95" s="287"/>
      <c r="Q95" s="417"/>
      <c r="R95" s="406"/>
      <c r="S95" s="407"/>
      <c r="T95" s="408"/>
    </row>
    <row r="96" spans="2:21" s="402" customFormat="1">
      <c r="C96" s="378"/>
      <c r="D96" s="358"/>
      <c r="E96" s="358"/>
      <c r="F96" s="358"/>
      <c r="G96" s="389"/>
      <c r="H96" s="358"/>
      <c r="I96" s="409"/>
      <c r="J96" s="404"/>
      <c r="K96" s="411"/>
      <c r="L96" s="15"/>
      <c r="M96" s="15"/>
      <c r="N96" s="244"/>
      <c r="O96" s="437"/>
      <c r="P96" s="287"/>
      <c r="Q96" s="417"/>
      <c r="R96" s="406"/>
      <c r="S96" s="407"/>
      <c r="T96" s="408"/>
    </row>
    <row r="97" spans="3:20" s="402" customFormat="1">
      <c r="C97" s="378"/>
      <c r="D97" s="358"/>
      <c r="E97" s="358"/>
      <c r="F97" s="358"/>
      <c r="G97" s="389"/>
      <c r="H97" s="358"/>
      <c r="I97" s="403"/>
      <c r="J97" s="404"/>
      <c r="K97" s="411"/>
      <c r="L97" s="15"/>
      <c r="M97" s="412"/>
      <c r="N97" s="244"/>
      <c r="O97" s="437"/>
      <c r="P97" s="185"/>
      <c r="Q97" s="405"/>
      <c r="R97" s="406"/>
      <c r="S97" s="407"/>
      <c r="T97" s="408"/>
    </row>
    <row r="98" spans="3:20" s="402" customFormat="1">
      <c r="C98" s="378"/>
      <c r="D98" s="358"/>
      <c r="E98" s="358"/>
      <c r="F98" s="358"/>
      <c r="G98" s="389"/>
      <c r="H98" s="358"/>
      <c r="I98" s="403"/>
      <c r="J98" s="404"/>
      <c r="K98" s="411"/>
      <c r="L98" s="15"/>
      <c r="M98" s="412"/>
      <c r="N98" s="244"/>
      <c r="O98" s="185"/>
      <c r="P98" s="287"/>
      <c r="Q98" s="417"/>
      <c r="R98" s="406"/>
      <c r="S98" s="407"/>
      <c r="T98" s="408"/>
    </row>
    <row r="99" spans="3:20" s="402" customFormat="1">
      <c r="C99" s="378"/>
      <c r="D99" s="358"/>
      <c r="E99" s="358"/>
      <c r="F99" s="358"/>
      <c r="G99" s="389"/>
      <c r="H99" s="358"/>
      <c r="I99" s="403"/>
      <c r="J99" s="404"/>
      <c r="K99" s="411"/>
      <c r="L99" s="15"/>
      <c r="M99" s="412"/>
      <c r="N99" s="244"/>
      <c r="O99" s="468"/>
      <c r="P99" s="287"/>
      <c r="Q99" s="417"/>
      <c r="R99" s="406"/>
      <c r="S99" s="407"/>
      <c r="T99" s="408"/>
    </row>
    <row r="100" spans="3:20" s="402" customFormat="1">
      <c r="C100" s="378"/>
      <c r="D100" s="358"/>
      <c r="E100" s="358"/>
      <c r="F100" s="358"/>
      <c r="G100" s="389"/>
      <c r="H100" s="358"/>
      <c r="I100" s="18"/>
      <c r="J100" s="404"/>
      <c r="K100" s="411"/>
      <c r="L100" s="15"/>
      <c r="M100" s="412"/>
      <c r="N100" s="244"/>
      <c r="O100" s="437"/>
      <c r="P100" s="185"/>
      <c r="Q100" s="405"/>
      <c r="R100" s="406"/>
      <c r="S100" s="407"/>
      <c r="T100" s="408"/>
    </row>
    <row r="101" spans="3:20" s="402" customFormat="1">
      <c r="C101" s="378"/>
      <c r="D101" s="358"/>
      <c r="E101" s="358"/>
      <c r="F101" s="358"/>
      <c r="G101" s="389"/>
      <c r="H101" s="358"/>
      <c r="I101" s="409"/>
      <c r="J101" s="404"/>
      <c r="K101" s="411"/>
      <c r="L101" s="15"/>
      <c r="M101" s="412"/>
      <c r="N101" s="244"/>
      <c r="O101" s="437"/>
      <c r="P101" s="185"/>
      <c r="Q101" s="417"/>
      <c r="R101" s="406"/>
      <c r="S101" s="407"/>
      <c r="T101" s="408"/>
    </row>
    <row r="102" spans="3:20" s="402" customFormat="1">
      <c r="C102" s="378"/>
      <c r="D102" s="358"/>
      <c r="E102" s="358"/>
      <c r="F102" s="358"/>
      <c r="G102" s="389"/>
      <c r="H102" s="358"/>
      <c r="I102" s="409"/>
      <c r="J102" s="404"/>
      <c r="K102" s="411"/>
      <c r="L102" s="185"/>
      <c r="M102" s="185"/>
      <c r="N102" s="244"/>
      <c r="O102" s="437"/>
      <c r="P102" s="287"/>
      <c r="Q102" s="417"/>
      <c r="R102" s="406"/>
      <c r="S102" s="407"/>
      <c r="T102" s="408"/>
    </row>
    <row r="103" spans="3:20" s="402" customFormat="1">
      <c r="C103" s="378"/>
      <c r="D103" s="358"/>
      <c r="E103" s="358"/>
      <c r="F103" s="358"/>
      <c r="G103" s="389"/>
      <c r="H103" s="358"/>
      <c r="I103" s="409"/>
      <c r="J103" s="404"/>
      <c r="K103" s="411"/>
      <c r="L103" s="401"/>
      <c r="M103" s="185"/>
      <c r="N103" s="244"/>
      <c r="O103" s="437"/>
      <c r="P103" s="287"/>
      <c r="Q103" s="417"/>
      <c r="R103" s="406"/>
      <c r="S103" s="407"/>
      <c r="T103" s="408"/>
    </row>
    <row r="104" spans="3:20" s="402" customFormat="1">
      <c r="C104" s="378"/>
      <c r="D104" s="395"/>
      <c r="E104" s="285"/>
      <c r="F104" s="358"/>
      <c r="G104" s="285"/>
      <c r="H104" s="413"/>
      <c r="I104" s="409"/>
      <c r="J104" s="404"/>
      <c r="K104" s="411"/>
      <c r="L104" s="185"/>
      <c r="M104" s="185"/>
      <c r="N104" s="244"/>
      <c r="O104" s="437"/>
      <c r="P104" s="287"/>
      <c r="Q104" s="417"/>
      <c r="R104" s="406"/>
      <c r="S104" s="407"/>
      <c r="T104" s="408"/>
    </row>
    <row r="105" spans="3:20" s="402" customFormat="1">
      <c r="C105" s="378"/>
      <c r="D105" s="11"/>
      <c r="E105" s="285"/>
      <c r="F105" s="358"/>
      <c r="G105" s="285"/>
      <c r="H105" s="16"/>
      <c r="I105" s="409"/>
      <c r="J105" s="404"/>
      <c r="K105" s="411"/>
      <c r="L105" s="185"/>
      <c r="M105" s="185"/>
      <c r="N105" s="244"/>
      <c r="O105" s="437"/>
      <c r="P105" s="287"/>
      <c r="Q105" s="417"/>
      <c r="R105" s="406"/>
      <c r="S105" s="407"/>
      <c r="T105" s="408"/>
    </row>
    <row r="106" spans="3:20" s="402" customFormat="1" ht="13.5">
      <c r="C106" s="378"/>
      <c r="D106" s="395"/>
      <c r="E106" s="285"/>
      <c r="F106" s="414"/>
      <c r="G106" s="285"/>
      <c r="H106" s="415"/>
      <c r="I106" s="403"/>
      <c r="J106" s="404"/>
      <c r="K106" s="411"/>
      <c r="L106" s="15"/>
      <c r="M106" s="412"/>
      <c r="N106" s="244"/>
      <c r="O106" s="185"/>
      <c r="P106" s="287"/>
      <c r="Q106" s="417"/>
      <c r="R106" s="406"/>
      <c r="S106" s="407"/>
      <c r="T106" s="408"/>
    </row>
    <row r="107" spans="3:20" s="402" customFormat="1" ht="13.5">
      <c r="C107" s="378"/>
      <c r="D107" s="395"/>
      <c r="E107" s="285"/>
      <c r="F107" s="414"/>
      <c r="G107" s="285"/>
      <c r="H107" s="415"/>
      <c r="I107" s="409"/>
      <c r="J107" s="404"/>
      <c r="K107" s="411"/>
      <c r="L107" s="15"/>
      <c r="M107" s="412"/>
      <c r="N107" s="244"/>
      <c r="O107" s="437"/>
      <c r="P107" s="287"/>
      <c r="Q107" s="417"/>
      <c r="R107" s="406"/>
      <c r="S107" s="407"/>
      <c r="T107" s="408"/>
    </row>
    <row r="108" spans="3:20" s="402" customFormat="1" ht="13.5">
      <c r="C108" s="378"/>
      <c r="D108" s="395"/>
      <c r="E108" s="285"/>
      <c r="F108" s="414"/>
      <c r="G108" s="285"/>
      <c r="H108" s="415"/>
      <c r="I108" s="409"/>
      <c r="J108" s="404"/>
      <c r="K108" s="411"/>
      <c r="L108" s="15"/>
      <c r="M108" s="412"/>
      <c r="N108" s="244"/>
      <c r="O108" s="437"/>
      <c r="P108" s="287"/>
      <c r="Q108" s="417"/>
      <c r="R108" s="406"/>
      <c r="S108" s="407"/>
      <c r="T108" s="408"/>
    </row>
    <row r="109" spans="3:20" s="402" customFormat="1" ht="13.5">
      <c r="C109" s="378"/>
      <c r="D109" s="395"/>
      <c r="E109" s="285"/>
      <c r="F109" s="414"/>
      <c r="G109" s="285"/>
      <c r="H109" s="415"/>
      <c r="I109" s="409"/>
      <c r="J109" s="404"/>
      <c r="K109" s="411"/>
      <c r="L109" s="15"/>
      <c r="M109" s="412"/>
      <c r="N109" s="244"/>
      <c r="O109" s="437"/>
      <c r="P109" s="287"/>
      <c r="Q109" s="417"/>
      <c r="R109" s="406"/>
      <c r="S109" s="407"/>
      <c r="T109" s="408"/>
    </row>
    <row r="110" spans="3:20" s="402" customFormat="1" ht="13.5">
      <c r="C110" s="378"/>
      <c r="D110" s="395"/>
      <c r="E110" s="285"/>
      <c r="F110" s="414"/>
      <c r="G110" s="285"/>
      <c r="H110" s="415"/>
      <c r="I110" s="409"/>
      <c r="J110" s="404"/>
      <c r="K110" s="411"/>
      <c r="L110" s="15"/>
      <c r="M110" s="412"/>
      <c r="N110" s="244"/>
      <c r="O110" s="437"/>
      <c r="P110" s="287"/>
      <c r="Q110" s="417"/>
      <c r="R110" s="406"/>
      <c r="S110" s="407"/>
      <c r="T110" s="408"/>
    </row>
    <row r="111" spans="3:20" s="402" customFormat="1">
      <c r="C111" s="378"/>
      <c r="D111" s="395"/>
      <c r="E111" s="285"/>
      <c r="F111" s="416"/>
      <c r="G111" s="285"/>
      <c r="H111" s="413"/>
      <c r="I111" s="409"/>
      <c r="J111" s="404"/>
      <c r="K111" s="411"/>
      <c r="L111" s="15"/>
      <c r="M111" s="15"/>
      <c r="N111" s="244"/>
      <c r="O111" s="437"/>
      <c r="P111" s="287"/>
      <c r="Q111" s="417"/>
      <c r="R111" s="406"/>
      <c r="S111" s="407"/>
      <c r="T111" s="408"/>
    </row>
    <row r="112" spans="3:20" s="402" customFormat="1">
      <c r="C112" s="378"/>
      <c r="D112" s="395"/>
      <c r="E112" s="285"/>
      <c r="F112" s="416"/>
      <c r="G112" s="417"/>
      <c r="H112" s="415"/>
      <c r="I112" s="409"/>
      <c r="J112" s="404"/>
      <c r="K112" s="411"/>
      <c r="L112" s="15"/>
      <c r="M112" s="412"/>
      <c r="N112" s="244"/>
      <c r="O112" s="437"/>
      <c r="P112" s="287"/>
      <c r="Q112" s="417"/>
      <c r="R112" s="406"/>
      <c r="S112" s="407"/>
      <c r="T112" s="408"/>
    </row>
    <row r="113" spans="3:20" s="402" customFormat="1">
      <c r="C113" s="378"/>
      <c r="D113" s="395"/>
      <c r="E113" s="285"/>
      <c r="F113" s="416"/>
      <c r="G113" s="285"/>
      <c r="H113" s="415"/>
      <c r="I113" s="403"/>
      <c r="J113" s="404"/>
      <c r="K113" s="411"/>
      <c r="L113" s="15"/>
      <c r="M113" s="412"/>
      <c r="N113" s="244"/>
      <c r="O113" s="437"/>
      <c r="P113" s="185"/>
      <c r="Q113" s="405"/>
      <c r="R113" s="406"/>
      <c r="S113" s="407"/>
      <c r="T113" s="408"/>
    </row>
    <row r="114" spans="3:20" s="402" customFormat="1">
      <c r="C114" s="378"/>
      <c r="D114" s="395"/>
      <c r="E114" s="285"/>
      <c r="F114" s="416"/>
      <c r="G114" s="285"/>
      <c r="H114" s="415"/>
      <c r="I114" s="403"/>
      <c r="J114" s="404"/>
      <c r="K114" s="411"/>
      <c r="L114" s="15"/>
      <c r="M114" s="412"/>
      <c r="N114" s="244"/>
      <c r="O114" s="185"/>
      <c r="P114" s="287"/>
      <c r="Q114" s="417"/>
      <c r="R114" s="406"/>
      <c r="S114" s="407"/>
      <c r="T114" s="408"/>
    </row>
    <row r="115" spans="3:20" s="402" customFormat="1">
      <c r="C115" s="378"/>
      <c r="D115" s="395"/>
      <c r="E115" s="285"/>
      <c r="F115" s="416"/>
      <c r="G115" s="285"/>
      <c r="H115" s="415"/>
      <c r="I115" s="403"/>
      <c r="J115" s="404"/>
      <c r="K115" s="411"/>
      <c r="L115" s="15"/>
      <c r="M115" s="412"/>
      <c r="N115" s="244"/>
      <c r="O115" s="185"/>
      <c r="P115" s="287"/>
      <c r="Q115" s="417"/>
      <c r="R115" s="406"/>
      <c r="S115" s="407"/>
      <c r="T115" s="408"/>
    </row>
    <row r="116" spans="3:20" s="402" customFormat="1">
      <c r="C116" s="378"/>
      <c r="D116" s="395"/>
      <c r="E116" s="285"/>
      <c r="F116" s="416"/>
      <c r="G116" s="285"/>
      <c r="H116" s="415"/>
      <c r="I116" s="18"/>
      <c r="J116" s="404"/>
      <c r="K116" s="411"/>
      <c r="L116" s="15"/>
      <c r="M116" s="412"/>
      <c r="N116" s="244"/>
      <c r="O116" s="437"/>
      <c r="P116" s="185"/>
      <c r="Q116" s="405"/>
      <c r="R116" s="406"/>
      <c r="S116" s="407"/>
      <c r="T116" s="408"/>
    </row>
    <row r="117" spans="3:20" s="402" customFormat="1">
      <c r="C117" s="378"/>
      <c r="D117" s="395"/>
      <c r="E117" s="285"/>
      <c r="F117" s="416"/>
      <c r="G117" s="285"/>
      <c r="H117" s="415"/>
      <c r="I117" s="409"/>
      <c r="J117" s="404"/>
      <c r="K117" s="411"/>
      <c r="L117" s="15"/>
      <c r="M117" s="412"/>
      <c r="N117" s="244"/>
      <c r="O117" s="437"/>
      <c r="P117" s="185"/>
      <c r="Q117" s="417"/>
      <c r="R117" s="406"/>
      <c r="S117" s="407"/>
      <c r="T117" s="408"/>
    </row>
    <row r="118" spans="3:20" s="402" customFormat="1" ht="15">
      <c r="C118" s="378"/>
      <c r="D118" s="395"/>
      <c r="E118" s="285"/>
      <c r="F118" s="418"/>
      <c r="G118" s="285"/>
      <c r="H118" s="413"/>
      <c r="I118" s="409"/>
      <c r="J118" s="404"/>
      <c r="K118" s="411"/>
      <c r="L118" s="185"/>
      <c r="M118" s="185"/>
      <c r="N118" s="244"/>
      <c r="O118" s="437"/>
      <c r="P118" s="287"/>
      <c r="Q118" s="417"/>
      <c r="R118" s="406"/>
      <c r="S118" s="407"/>
      <c r="T118" s="408"/>
    </row>
    <row r="119" spans="3:20" s="402" customFormat="1" ht="15">
      <c r="C119" s="378"/>
      <c r="D119" s="395"/>
      <c r="E119" s="285"/>
      <c r="F119" s="418"/>
      <c r="G119" s="285"/>
      <c r="H119" s="413"/>
      <c r="I119" s="409"/>
      <c r="J119" s="404"/>
      <c r="K119" s="411"/>
      <c r="L119" s="401"/>
      <c r="M119" s="185"/>
      <c r="N119" s="244"/>
      <c r="O119" s="437"/>
      <c r="P119" s="287"/>
      <c r="Q119" s="417"/>
      <c r="R119" s="406"/>
      <c r="S119" s="407"/>
      <c r="T119" s="408"/>
    </row>
    <row r="120" spans="3:20" s="402" customFormat="1" ht="15">
      <c r="C120" s="378"/>
      <c r="D120" s="395"/>
      <c r="E120" s="285"/>
      <c r="F120" s="418"/>
      <c r="G120" s="285"/>
      <c r="H120" s="413"/>
      <c r="I120" s="409"/>
      <c r="J120" s="404"/>
      <c r="K120" s="411"/>
      <c r="L120" s="185"/>
      <c r="M120" s="185"/>
      <c r="N120" s="244"/>
      <c r="O120" s="437"/>
      <c r="P120" s="287"/>
      <c r="Q120" s="417"/>
      <c r="R120" s="406"/>
      <c r="S120" s="407"/>
      <c r="T120" s="408"/>
    </row>
    <row r="121" spans="3:20" s="402" customFormat="1">
      <c r="C121" s="378"/>
      <c r="D121" s="11"/>
      <c r="E121" s="285"/>
      <c r="F121" s="419"/>
      <c r="G121" s="285"/>
      <c r="H121" s="16"/>
      <c r="I121" s="409"/>
      <c r="J121" s="404"/>
      <c r="K121" s="411"/>
      <c r="L121" s="185"/>
      <c r="M121" s="185"/>
      <c r="N121" s="244"/>
      <c r="O121" s="437"/>
      <c r="P121" s="287"/>
      <c r="Q121" s="417"/>
      <c r="R121" s="406"/>
      <c r="S121" s="407"/>
      <c r="T121" s="408"/>
    </row>
    <row r="122" spans="3:20" s="402" customFormat="1">
      <c r="C122" s="378"/>
      <c r="D122" s="395"/>
      <c r="E122" s="285"/>
      <c r="F122" s="416"/>
      <c r="G122" s="285"/>
      <c r="H122" s="415"/>
      <c r="I122" s="409"/>
      <c r="J122" s="404"/>
      <c r="K122" s="411"/>
      <c r="L122" s="15"/>
      <c r="M122" s="412"/>
      <c r="N122" s="244"/>
      <c r="O122" s="437"/>
      <c r="P122" s="287"/>
      <c r="Q122" s="417"/>
      <c r="R122" s="406"/>
      <c r="S122" s="407"/>
      <c r="T122" s="408"/>
    </row>
    <row r="123" spans="3:20" s="402" customFormat="1">
      <c r="C123" s="378"/>
      <c r="D123" s="395"/>
      <c r="E123" s="285"/>
      <c r="F123" s="416"/>
      <c r="G123" s="285"/>
      <c r="H123" s="415"/>
      <c r="I123" s="409"/>
      <c r="J123" s="404"/>
      <c r="K123" s="411"/>
      <c r="L123" s="15"/>
      <c r="M123" s="412"/>
      <c r="N123" s="244"/>
      <c r="O123" s="437"/>
      <c r="P123" s="287"/>
      <c r="Q123" s="417"/>
      <c r="R123" s="406"/>
      <c r="S123" s="407"/>
      <c r="T123" s="408"/>
    </row>
    <row r="124" spans="3:20" s="402" customFormat="1">
      <c r="C124" s="378"/>
      <c r="D124" s="395"/>
      <c r="E124" s="285"/>
      <c r="F124" s="416"/>
      <c r="G124" s="285"/>
      <c r="H124" s="415"/>
      <c r="I124" s="403"/>
      <c r="J124" s="404"/>
      <c r="K124" s="411"/>
      <c r="L124" s="15"/>
      <c r="M124" s="412"/>
      <c r="N124" s="244"/>
      <c r="O124" s="437"/>
      <c r="P124" s="185"/>
      <c r="Q124" s="405"/>
      <c r="R124" s="406"/>
      <c r="S124" s="407"/>
      <c r="T124" s="408"/>
    </row>
    <row r="125" spans="3:20" s="402" customFormat="1">
      <c r="C125" s="378"/>
      <c r="D125" s="395"/>
      <c r="E125" s="285"/>
      <c r="F125" s="416"/>
      <c r="G125" s="285"/>
      <c r="H125" s="415"/>
      <c r="I125" s="403"/>
      <c r="J125" s="404"/>
      <c r="K125" s="411"/>
      <c r="L125" s="15"/>
      <c r="M125" s="412"/>
      <c r="N125" s="244"/>
      <c r="O125" s="185"/>
      <c r="P125" s="287"/>
      <c r="Q125" s="417"/>
      <c r="R125" s="406"/>
      <c r="S125" s="407"/>
      <c r="T125" s="408"/>
    </row>
    <row r="126" spans="3:20" s="402" customFormat="1">
      <c r="C126" s="378"/>
      <c r="D126" s="395"/>
      <c r="E126" s="285"/>
      <c r="F126" s="416"/>
      <c r="G126" s="417"/>
      <c r="H126" s="415"/>
      <c r="I126" s="403"/>
      <c r="J126" s="404"/>
      <c r="K126" s="411"/>
      <c r="L126" s="15"/>
      <c r="M126" s="412"/>
      <c r="N126" s="244"/>
      <c r="O126" s="185"/>
      <c r="P126" s="287"/>
      <c r="Q126" s="417"/>
      <c r="R126" s="406"/>
      <c r="S126" s="407"/>
      <c r="T126" s="408"/>
    </row>
    <row r="127" spans="3:20" s="402" customFormat="1">
      <c r="C127" s="378"/>
      <c r="D127" s="395"/>
      <c r="E127" s="285"/>
      <c r="F127" s="416"/>
      <c r="G127" s="285"/>
      <c r="H127" s="415"/>
      <c r="I127" s="18"/>
      <c r="J127" s="404"/>
      <c r="K127" s="411"/>
      <c r="L127" s="15"/>
      <c r="M127" s="412"/>
      <c r="N127" s="244"/>
      <c r="O127" s="437"/>
      <c r="P127" s="185"/>
      <c r="Q127" s="405"/>
      <c r="R127" s="406"/>
      <c r="S127" s="407"/>
      <c r="T127" s="408"/>
    </row>
    <row r="128" spans="3:20" s="402" customFormat="1">
      <c r="C128" s="378"/>
      <c r="D128" s="395"/>
      <c r="E128" s="285"/>
      <c r="F128" s="416"/>
      <c r="G128" s="285"/>
      <c r="H128" s="415"/>
      <c r="I128" s="403"/>
      <c r="J128" s="404"/>
      <c r="K128" s="411"/>
      <c r="L128" s="15"/>
      <c r="M128" s="412"/>
      <c r="N128" s="244"/>
      <c r="O128" s="437"/>
      <c r="P128" s="185"/>
      <c r="Q128" s="417"/>
      <c r="R128" s="406"/>
      <c r="S128" s="407"/>
      <c r="T128" s="408"/>
    </row>
    <row r="129" spans="3:20" s="402" customFormat="1" ht="15">
      <c r="C129" s="378"/>
      <c r="D129" s="395"/>
      <c r="E129" s="285"/>
      <c r="F129" s="418"/>
      <c r="G129" s="285"/>
      <c r="H129" s="413"/>
      <c r="I129" s="403"/>
      <c r="J129" s="404"/>
      <c r="K129" s="411"/>
      <c r="L129" s="185"/>
      <c r="M129" s="185"/>
      <c r="N129" s="244"/>
      <c r="O129" s="437"/>
      <c r="P129" s="287"/>
      <c r="Q129" s="417"/>
      <c r="R129" s="406"/>
      <c r="S129" s="407"/>
      <c r="T129" s="408"/>
    </row>
    <row r="130" spans="3:20" s="402" customFormat="1" ht="15">
      <c r="C130" s="378"/>
      <c r="D130" s="395"/>
      <c r="E130" s="285"/>
      <c r="F130" s="418"/>
      <c r="G130" s="285"/>
      <c r="H130" s="413"/>
      <c r="I130" s="403"/>
      <c r="J130" s="404"/>
      <c r="K130" s="411"/>
      <c r="L130" s="401"/>
      <c r="M130" s="185"/>
      <c r="N130" s="244"/>
      <c r="O130" s="437"/>
      <c r="P130" s="287"/>
      <c r="Q130" s="417"/>
      <c r="R130" s="406"/>
      <c r="S130" s="407"/>
      <c r="T130" s="408"/>
    </row>
    <row r="131" spans="3:20" s="402" customFormat="1" ht="15">
      <c r="C131" s="378"/>
      <c r="D131" s="395"/>
      <c r="E131" s="285"/>
      <c r="F131" s="418"/>
      <c r="G131" s="285"/>
      <c r="H131" s="413"/>
      <c r="I131" s="403"/>
      <c r="J131" s="404"/>
      <c r="K131" s="411"/>
      <c r="L131" s="185"/>
      <c r="M131" s="185"/>
      <c r="N131" s="244"/>
      <c r="O131" s="437"/>
      <c r="P131" s="287"/>
      <c r="Q131" s="417"/>
      <c r="R131" s="406"/>
      <c r="S131" s="407"/>
      <c r="T131" s="408"/>
    </row>
    <row r="132" spans="3:20" s="402" customFormat="1">
      <c r="C132" s="378"/>
      <c r="D132" s="11"/>
      <c r="E132" s="285"/>
      <c r="F132" s="419"/>
      <c r="G132" s="285"/>
      <c r="H132" s="16"/>
      <c r="I132" s="403"/>
      <c r="J132" s="404"/>
      <c r="K132" s="411"/>
      <c r="L132" s="185"/>
      <c r="M132" s="185"/>
      <c r="N132" s="244"/>
      <c r="O132" s="437"/>
      <c r="P132" s="287"/>
      <c r="Q132" s="417"/>
      <c r="R132" s="406"/>
      <c r="S132" s="407"/>
      <c r="T132" s="408"/>
    </row>
    <row r="133" spans="3:20" s="402" customFormat="1">
      <c r="C133" s="378"/>
      <c r="D133" s="395"/>
      <c r="E133" s="285"/>
      <c r="F133" s="416"/>
      <c r="G133" s="285"/>
      <c r="H133" s="413"/>
      <c r="I133" s="403"/>
      <c r="J133" s="404"/>
      <c r="K133" s="411"/>
      <c r="L133" s="15"/>
      <c r="M133" s="412"/>
      <c r="N133" s="244"/>
      <c r="O133" s="185"/>
      <c r="P133" s="287"/>
      <c r="Q133" s="417"/>
      <c r="R133" s="406"/>
      <c r="S133" s="407"/>
      <c r="T133" s="408"/>
    </row>
    <row r="134" spans="3:20" s="402" customFormat="1">
      <c r="C134" s="378"/>
      <c r="D134" s="395"/>
      <c r="E134" s="285"/>
      <c r="F134" s="416"/>
      <c r="G134" s="285"/>
      <c r="H134" s="413"/>
      <c r="I134" s="403"/>
      <c r="J134" s="404"/>
      <c r="K134" s="411"/>
      <c r="L134" s="15"/>
      <c r="M134" s="412"/>
      <c r="N134" s="244"/>
      <c r="O134" s="437"/>
      <c r="P134" s="287"/>
      <c r="Q134" s="417"/>
      <c r="R134" s="406"/>
      <c r="S134" s="407"/>
      <c r="T134" s="408"/>
    </row>
    <row r="135" spans="3:20" s="402" customFormat="1">
      <c r="C135" s="378"/>
      <c r="D135" s="395"/>
      <c r="E135" s="285"/>
      <c r="F135" s="416"/>
      <c r="G135" s="285"/>
      <c r="H135" s="413"/>
      <c r="I135" s="403"/>
      <c r="J135" s="404"/>
      <c r="K135" s="411"/>
      <c r="L135" s="15"/>
      <c r="M135" s="412"/>
      <c r="N135" s="244"/>
      <c r="O135" s="437"/>
      <c r="P135" s="287"/>
      <c r="Q135" s="417"/>
      <c r="R135" s="406"/>
      <c r="S135" s="407"/>
      <c r="T135" s="408"/>
    </row>
    <row r="136" spans="3:20" s="402" customFormat="1">
      <c r="C136" s="378"/>
      <c r="D136" s="395"/>
      <c r="E136" s="285"/>
      <c r="F136" s="416"/>
      <c r="G136" s="285"/>
      <c r="H136" s="413"/>
      <c r="I136" s="403"/>
      <c r="J136" s="404"/>
      <c r="K136" s="411"/>
      <c r="L136" s="15"/>
      <c r="M136" s="412"/>
      <c r="N136" s="244"/>
      <c r="O136" s="437"/>
      <c r="P136" s="287"/>
      <c r="Q136" s="417"/>
      <c r="R136" s="406"/>
      <c r="S136" s="407"/>
      <c r="T136" s="408"/>
    </row>
    <row r="137" spans="3:20" s="402" customFormat="1">
      <c r="C137" s="378"/>
      <c r="D137" s="395"/>
      <c r="E137" s="285"/>
      <c r="F137" s="416"/>
      <c r="G137" s="285"/>
      <c r="H137" s="413"/>
      <c r="I137" s="403"/>
      <c r="J137" s="404"/>
      <c r="K137" s="411"/>
      <c r="L137" s="15"/>
      <c r="M137" s="412"/>
      <c r="N137" s="244"/>
      <c r="O137" s="437"/>
      <c r="P137" s="287"/>
      <c r="Q137" s="417"/>
      <c r="R137" s="406"/>
      <c r="S137" s="407"/>
      <c r="T137" s="408"/>
    </row>
    <row r="138" spans="3:20" s="402" customFormat="1">
      <c r="C138" s="378"/>
      <c r="D138" s="395"/>
      <c r="E138" s="285"/>
      <c r="F138" s="416"/>
      <c r="G138" s="285"/>
      <c r="H138" s="413"/>
      <c r="I138" s="403"/>
      <c r="J138" s="404"/>
      <c r="K138" s="411"/>
      <c r="L138" s="15"/>
      <c r="M138" s="15"/>
      <c r="N138" s="244"/>
      <c r="O138" s="437"/>
      <c r="P138" s="185"/>
      <c r="Q138" s="405"/>
      <c r="R138" s="406"/>
      <c r="S138" s="407"/>
      <c r="T138" s="408"/>
    </row>
    <row r="139" spans="3:20" s="402" customFormat="1">
      <c r="C139" s="378"/>
      <c r="D139" s="395"/>
      <c r="E139" s="285"/>
      <c r="F139" s="416"/>
      <c r="G139" s="417"/>
      <c r="H139" s="413"/>
      <c r="I139" s="403"/>
      <c r="J139" s="404"/>
      <c r="K139" s="411"/>
      <c r="L139" s="15"/>
      <c r="M139" s="412"/>
      <c r="N139" s="244"/>
      <c r="O139" s="185"/>
      <c r="P139" s="287"/>
      <c r="Q139" s="417"/>
      <c r="R139" s="406"/>
      <c r="S139" s="407"/>
      <c r="T139" s="408"/>
    </row>
    <row r="140" spans="3:20" s="402" customFormat="1">
      <c r="C140" s="378"/>
      <c r="D140" s="395"/>
      <c r="E140" s="285"/>
      <c r="F140" s="416"/>
      <c r="G140" s="285"/>
      <c r="H140" s="413"/>
      <c r="I140" s="403"/>
      <c r="J140" s="404"/>
      <c r="K140" s="411"/>
      <c r="L140" s="15"/>
      <c r="M140" s="412"/>
      <c r="N140" s="244"/>
      <c r="O140" s="185"/>
      <c r="P140" s="287"/>
      <c r="Q140" s="417"/>
      <c r="R140" s="406"/>
      <c r="S140" s="407"/>
      <c r="T140" s="408"/>
    </row>
    <row r="141" spans="3:20" s="402" customFormat="1">
      <c r="C141" s="378"/>
      <c r="D141" s="395"/>
      <c r="E141" s="285"/>
      <c r="F141" s="416"/>
      <c r="G141" s="285"/>
      <c r="H141" s="413"/>
      <c r="I141" s="18"/>
      <c r="J141" s="404"/>
      <c r="K141" s="411"/>
      <c r="L141" s="15"/>
      <c r="M141" s="412"/>
      <c r="N141" s="244"/>
      <c r="O141" s="437"/>
      <c r="P141" s="185"/>
      <c r="Q141" s="405"/>
      <c r="R141" s="406"/>
      <c r="S141" s="407"/>
      <c r="T141" s="408"/>
    </row>
    <row r="142" spans="3:20" s="402" customFormat="1">
      <c r="C142" s="378"/>
      <c r="D142" s="395"/>
      <c r="E142" s="285"/>
      <c r="F142" s="416"/>
      <c r="G142" s="285"/>
      <c r="H142" s="413"/>
      <c r="I142" s="409"/>
      <c r="J142" s="404"/>
      <c r="K142" s="411"/>
      <c r="L142" s="15"/>
      <c r="M142" s="412"/>
      <c r="N142" s="244"/>
      <c r="O142" s="437"/>
      <c r="P142" s="185"/>
      <c r="Q142" s="417"/>
      <c r="R142" s="406"/>
      <c r="S142" s="407"/>
      <c r="T142" s="408"/>
    </row>
    <row r="143" spans="3:20" s="402" customFormat="1" ht="15">
      <c r="C143" s="378"/>
      <c r="D143" s="395"/>
      <c r="E143" s="285"/>
      <c r="F143" s="418"/>
      <c r="G143" s="285"/>
      <c r="H143" s="413"/>
      <c r="I143" s="409"/>
      <c r="J143" s="404"/>
      <c r="K143" s="411"/>
      <c r="L143" s="185"/>
      <c r="M143" s="185"/>
      <c r="N143" s="244"/>
      <c r="O143" s="437"/>
      <c r="P143" s="287"/>
      <c r="Q143" s="417"/>
      <c r="R143" s="406"/>
      <c r="S143" s="407"/>
      <c r="T143" s="408"/>
    </row>
    <row r="144" spans="3:20" s="402" customFormat="1" ht="15">
      <c r="C144" s="378"/>
      <c r="D144" s="395"/>
      <c r="E144" s="285"/>
      <c r="F144" s="418"/>
      <c r="G144" s="285"/>
      <c r="H144" s="413"/>
      <c r="I144" s="409"/>
      <c r="J144" s="404"/>
      <c r="K144" s="411"/>
      <c r="L144" s="401"/>
      <c r="M144" s="185"/>
      <c r="N144" s="244"/>
      <c r="O144" s="437"/>
      <c r="P144" s="287"/>
      <c r="Q144" s="417"/>
      <c r="R144" s="406"/>
      <c r="S144" s="407"/>
      <c r="T144" s="408"/>
    </row>
    <row r="145" spans="3:20" s="402" customFormat="1" ht="15">
      <c r="C145" s="378"/>
      <c r="D145" s="395"/>
      <c r="E145" s="285"/>
      <c r="F145" s="418"/>
      <c r="G145" s="285"/>
      <c r="H145" s="413"/>
      <c r="I145" s="403"/>
      <c r="J145" s="404"/>
      <c r="K145" s="411"/>
      <c r="L145" s="185"/>
      <c r="M145" s="185"/>
      <c r="N145" s="244"/>
      <c r="O145" s="185"/>
      <c r="P145" s="287"/>
      <c r="Q145" s="417"/>
      <c r="R145" s="406"/>
      <c r="S145" s="407"/>
      <c r="T145" s="408"/>
    </row>
    <row r="146" spans="3:20" s="402" customFormat="1">
      <c r="C146" s="378"/>
      <c r="D146" s="11"/>
      <c r="E146" s="285"/>
      <c r="F146" s="419"/>
      <c r="G146" s="285"/>
      <c r="H146" s="16"/>
      <c r="I146" s="403"/>
      <c r="J146" s="404"/>
      <c r="K146" s="411"/>
      <c r="L146" s="185"/>
      <c r="M146" s="185"/>
      <c r="N146" s="244"/>
      <c r="O146" s="437"/>
      <c r="P146" s="185"/>
      <c r="Q146" s="405"/>
      <c r="R146" s="406"/>
      <c r="S146" s="407"/>
      <c r="T146" s="408"/>
    </row>
    <row r="147" spans="3:20" s="402" customFormat="1">
      <c r="C147" s="378"/>
      <c r="D147" s="395"/>
      <c r="E147" s="285"/>
      <c r="F147" s="416"/>
      <c r="G147" s="285"/>
      <c r="H147" s="415"/>
      <c r="I147" s="403"/>
      <c r="J147" s="404"/>
      <c r="K147" s="411"/>
      <c r="L147" s="15"/>
      <c r="M147" s="412"/>
      <c r="N147" s="244"/>
      <c r="O147" s="185"/>
      <c r="P147" s="287"/>
      <c r="Q147" s="417"/>
      <c r="R147" s="406"/>
      <c r="S147" s="407"/>
      <c r="T147" s="408"/>
    </row>
    <row r="148" spans="3:20" s="402" customFormat="1">
      <c r="C148" s="378"/>
      <c r="D148" s="395"/>
      <c r="E148" s="285"/>
      <c r="F148" s="416"/>
      <c r="G148" s="285"/>
      <c r="H148" s="413"/>
      <c r="I148" s="403"/>
      <c r="J148" s="404"/>
      <c r="K148" s="411"/>
      <c r="L148" s="15"/>
      <c r="M148" s="412"/>
      <c r="N148" s="244"/>
      <c r="O148" s="185"/>
      <c r="P148" s="287"/>
      <c r="Q148" s="417"/>
      <c r="R148" s="406"/>
      <c r="S148" s="407"/>
      <c r="T148" s="408"/>
    </row>
    <row r="149" spans="3:20" s="402" customFormat="1">
      <c r="C149" s="378"/>
      <c r="D149" s="395"/>
      <c r="E149" s="285"/>
      <c r="F149" s="416"/>
      <c r="G149" s="285"/>
      <c r="H149" s="415"/>
      <c r="I149" s="18"/>
      <c r="J149" s="404"/>
      <c r="K149" s="411"/>
      <c r="L149" s="15"/>
      <c r="M149" s="412"/>
      <c r="N149" s="244"/>
      <c r="O149" s="437"/>
      <c r="P149" s="185"/>
      <c r="Q149" s="405"/>
      <c r="R149" s="406"/>
      <c r="S149" s="407"/>
      <c r="T149" s="408"/>
    </row>
    <row r="150" spans="3:20" s="402" customFormat="1">
      <c r="C150" s="378"/>
      <c r="D150" s="395"/>
      <c r="E150" s="285"/>
      <c r="F150" s="416"/>
      <c r="G150" s="285"/>
      <c r="H150" s="413"/>
      <c r="I150" s="409"/>
      <c r="J150" s="404"/>
      <c r="K150" s="411"/>
      <c r="L150" s="15"/>
      <c r="M150" s="15"/>
      <c r="N150" s="244"/>
      <c r="O150" s="437"/>
      <c r="P150" s="185"/>
      <c r="Q150" s="417"/>
      <c r="R150" s="406"/>
      <c r="S150" s="407"/>
      <c r="T150" s="408"/>
    </row>
    <row r="151" spans="3:20" s="402" customFormat="1" ht="15">
      <c r="C151" s="378"/>
      <c r="D151" s="395"/>
      <c r="E151" s="285"/>
      <c r="F151" s="418"/>
      <c r="G151" s="285"/>
      <c r="H151" s="413"/>
      <c r="I151" s="409"/>
      <c r="J151" s="404"/>
      <c r="K151" s="411"/>
      <c r="L151" s="185"/>
      <c r="M151" s="185"/>
      <c r="N151" s="244"/>
      <c r="O151" s="437"/>
      <c r="P151" s="287"/>
      <c r="Q151" s="417"/>
      <c r="R151" s="406"/>
      <c r="S151" s="407"/>
      <c r="T151" s="408"/>
    </row>
    <row r="152" spans="3:20" s="402" customFormat="1" ht="15">
      <c r="C152" s="378"/>
      <c r="D152" s="395"/>
      <c r="E152" s="285"/>
      <c r="F152" s="418"/>
      <c r="G152" s="285"/>
      <c r="H152" s="413"/>
      <c r="I152" s="409"/>
      <c r="J152" s="404"/>
      <c r="K152" s="411"/>
      <c r="L152" s="401"/>
      <c r="M152" s="185"/>
      <c r="N152" s="244"/>
      <c r="O152" s="437"/>
      <c r="P152" s="287"/>
      <c r="Q152" s="417"/>
      <c r="R152" s="406"/>
      <c r="S152" s="407"/>
      <c r="T152" s="408"/>
    </row>
    <row r="153" spans="3:20" s="402" customFormat="1" ht="15">
      <c r="C153" s="378"/>
      <c r="D153" s="395"/>
      <c r="E153" s="285"/>
      <c r="F153" s="418"/>
      <c r="G153" s="285"/>
      <c r="H153" s="413"/>
      <c r="I153" s="403"/>
      <c r="J153" s="404"/>
      <c r="K153" s="411"/>
      <c r="L153" s="185"/>
      <c r="M153" s="185"/>
      <c r="N153" s="244"/>
      <c r="O153" s="185"/>
      <c r="P153" s="287"/>
      <c r="Q153" s="417"/>
      <c r="R153" s="406"/>
      <c r="S153" s="407"/>
      <c r="T153" s="408"/>
    </row>
    <row r="154" spans="3:20" s="402" customFormat="1">
      <c r="C154" s="378"/>
      <c r="D154" s="11"/>
      <c r="E154" s="285"/>
      <c r="F154" s="419"/>
      <c r="G154" s="285"/>
      <c r="H154" s="16"/>
      <c r="I154" s="403"/>
      <c r="J154" s="404"/>
      <c r="K154" s="411"/>
      <c r="L154" s="185"/>
      <c r="M154" s="185"/>
      <c r="N154" s="244"/>
      <c r="O154" s="437"/>
      <c r="P154" s="185"/>
      <c r="Q154" s="405"/>
      <c r="R154" s="406"/>
      <c r="S154" s="407"/>
      <c r="T154" s="408"/>
    </row>
    <row r="155" spans="3:20" s="402" customFormat="1">
      <c r="C155" s="378"/>
      <c r="D155" s="395"/>
      <c r="E155" s="285"/>
      <c r="F155" s="416"/>
      <c r="G155" s="285"/>
      <c r="H155" s="415"/>
      <c r="I155" s="403"/>
      <c r="J155" s="404"/>
      <c r="K155" s="411"/>
      <c r="L155" s="15"/>
      <c r="M155" s="412"/>
      <c r="N155" s="244"/>
      <c r="O155" s="185"/>
      <c r="P155" s="287"/>
      <c r="Q155" s="417"/>
      <c r="R155" s="406"/>
      <c r="S155" s="407"/>
      <c r="T155" s="408"/>
    </row>
    <row r="156" spans="3:20" s="402" customFormat="1">
      <c r="C156" s="378"/>
      <c r="D156" s="395"/>
      <c r="E156" s="285"/>
      <c r="F156" s="416"/>
      <c r="G156" s="285"/>
      <c r="H156" s="413"/>
      <c r="I156" s="403"/>
      <c r="J156" s="404"/>
      <c r="K156" s="411"/>
      <c r="L156" s="15"/>
      <c r="M156" s="412"/>
      <c r="N156" s="244"/>
      <c r="O156" s="185"/>
      <c r="P156" s="287"/>
      <c r="Q156" s="417"/>
      <c r="R156" s="406"/>
      <c r="S156" s="407"/>
      <c r="T156" s="408"/>
    </row>
    <row r="157" spans="3:20" s="402" customFormat="1">
      <c r="C157" s="378"/>
      <c r="D157" s="395"/>
      <c r="E157" s="285"/>
      <c r="F157" s="416"/>
      <c r="G157" s="285"/>
      <c r="H157" s="415"/>
      <c r="I157" s="18"/>
      <c r="J157" s="404"/>
      <c r="K157" s="411"/>
      <c r="L157" s="15"/>
      <c r="M157" s="412"/>
      <c r="N157" s="244"/>
      <c r="O157" s="437"/>
      <c r="P157" s="185"/>
      <c r="Q157" s="405"/>
      <c r="R157" s="406"/>
      <c r="S157" s="407"/>
      <c r="T157" s="408"/>
    </row>
    <row r="158" spans="3:20" s="402" customFormat="1">
      <c r="C158" s="378"/>
      <c r="D158" s="395"/>
      <c r="E158" s="285"/>
      <c r="F158" s="416"/>
      <c r="G158" s="285"/>
      <c r="H158" s="413"/>
      <c r="I158" s="403"/>
      <c r="J158" s="404"/>
      <c r="K158" s="411"/>
      <c r="L158" s="15"/>
      <c r="M158" s="15"/>
      <c r="N158" s="244"/>
      <c r="O158" s="437"/>
      <c r="P158" s="185"/>
      <c r="Q158" s="417"/>
      <c r="R158" s="406"/>
      <c r="S158" s="407"/>
      <c r="T158" s="408"/>
    </row>
    <row r="159" spans="3:20" s="402" customFormat="1" ht="15">
      <c r="C159" s="378"/>
      <c r="D159" s="395"/>
      <c r="E159" s="285"/>
      <c r="F159" s="418"/>
      <c r="G159" s="285"/>
      <c r="H159" s="413"/>
      <c r="I159" s="403"/>
      <c r="J159" s="404"/>
      <c r="K159" s="411"/>
      <c r="L159" s="185"/>
      <c r="M159" s="185"/>
      <c r="N159" s="244"/>
      <c r="O159" s="437"/>
      <c r="P159" s="287"/>
      <c r="Q159" s="417"/>
      <c r="R159" s="406"/>
      <c r="S159" s="407"/>
      <c r="T159" s="408"/>
    </row>
    <row r="160" spans="3:20" s="402" customFormat="1" ht="15">
      <c r="C160" s="378"/>
      <c r="D160" s="395"/>
      <c r="E160" s="285"/>
      <c r="F160" s="418"/>
      <c r="G160" s="285"/>
      <c r="H160" s="413"/>
      <c r="I160" s="403"/>
      <c r="J160" s="404"/>
      <c r="K160" s="411"/>
      <c r="L160" s="401"/>
      <c r="M160" s="185"/>
      <c r="N160" s="244"/>
      <c r="O160" s="437"/>
      <c r="P160" s="287"/>
      <c r="Q160" s="417"/>
      <c r="R160" s="406"/>
      <c r="S160" s="407"/>
      <c r="T160" s="408"/>
    </row>
    <row r="161" spans="3:20" s="402" customFormat="1" ht="15">
      <c r="C161" s="378"/>
      <c r="D161" s="395"/>
      <c r="E161" s="285"/>
      <c r="F161" s="418"/>
      <c r="G161" s="285"/>
      <c r="H161" s="413"/>
      <c r="I161" s="403"/>
      <c r="J161" s="404"/>
      <c r="K161" s="411"/>
      <c r="L161" s="185"/>
      <c r="M161" s="185"/>
      <c r="N161" s="244"/>
      <c r="O161" s="437"/>
      <c r="P161" s="287"/>
      <c r="Q161" s="417"/>
      <c r="R161" s="406"/>
      <c r="S161" s="407"/>
      <c r="T161" s="408"/>
    </row>
    <row r="162" spans="3:20" s="402" customFormat="1">
      <c r="C162" s="378"/>
      <c r="D162" s="11"/>
      <c r="E162" s="285"/>
      <c r="F162" s="419"/>
      <c r="G162" s="285"/>
      <c r="H162" s="16"/>
      <c r="I162" s="403"/>
      <c r="J162" s="404"/>
      <c r="K162" s="411"/>
      <c r="L162" s="185"/>
      <c r="M162" s="185"/>
      <c r="N162" s="244"/>
      <c r="O162" s="437"/>
      <c r="P162" s="287"/>
      <c r="Q162" s="417"/>
      <c r="R162" s="406"/>
      <c r="S162" s="407"/>
      <c r="T162" s="408"/>
    </row>
    <row r="163" spans="3:20" s="402" customFormat="1">
      <c r="C163" s="378"/>
      <c r="D163" s="395"/>
      <c r="E163" s="285"/>
      <c r="F163" s="416"/>
      <c r="G163" s="285"/>
      <c r="H163" s="413"/>
      <c r="I163" s="403"/>
      <c r="J163" s="404"/>
      <c r="K163" s="411"/>
      <c r="L163" s="15"/>
      <c r="M163" s="412"/>
      <c r="N163" s="244"/>
      <c r="O163" s="437"/>
      <c r="P163" s="287"/>
      <c r="Q163" s="417"/>
      <c r="R163" s="406"/>
      <c r="S163" s="407"/>
      <c r="T163" s="408"/>
    </row>
    <row r="164" spans="3:20" s="402" customFormat="1">
      <c r="C164" s="378"/>
      <c r="D164" s="395"/>
      <c r="E164" s="285"/>
      <c r="F164" s="416"/>
      <c r="G164" s="285"/>
      <c r="H164" s="413"/>
      <c r="I164" s="403"/>
      <c r="J164" s="404"/>
      <c r="K164" s="411"/>
      <c r="L164" s="15"/>
      <c r="M164" s="412"/>
      <c r="N164" s="244"/>
      <c r="O164" s="437"/>
      <c r="P164" s="287"/>
      <c r="Q164" s="417"/>
      <c r="R164" s="406"/>
      <c r="S164" s="407"/>
      <c r="T164" s="408"/>
    </row>
    <row r="165" spans="3:20" s="402" customFormat="1">
      <c r="C165" s="378"/>
      <c r="D165" s="395"/>
      <c r="E165" s="285"/>
      <c r="F165" s="416"/>
      <c r="G165" s="285"/>
      <c r="H165" s="413"/>
      <c r="I165" s="403"/>
      <c r="J165" s="404"/>
      <c r="K165" s="411"/>
      <c r="L165" s="15"/>
      <c r="M165" s="412"/>
      <c r="N165" s="244"/>
      <c r="O165" s="437"/>
      <c r="P165" s="287"/>
      <c r="Q165" s="417"/>
      <c r="R165" s="406"/>
      <c r="S165" s="407"/>
      <c r="T165" s="408"/>
    </row>
    <row r="166" spans="3:20" s="402" customFormat="1">
      <c r="C166" s="378"/>
      <c r="D166" s="395"/>
      <c r="E166" s="285"/>
      <c r="F166" s="416"/>
      <c r="G166" s="285"/>
      <c r="H166" s="413"/>
      <c r="I166" s="403"/>
      <c r="J166" s="404"/>
      <c r="K166" s="411"/>
      <c r="L166" s="15"/>
      <c r="M166" s="412"/>
      <c r="N166" s="244"/>
      <c r="O166" s="185"/>
      <c r="P166" s="287"/>
      <c r="Q166" s="417"/>
      <c r="R166" s="406"/>
      <c r="S166" s="407"/>
      <c r="T166" s="408"/>
    </row>
    <row r="167" spans="3:20" s="402" customFormat="1">
      <c r="C167" s="378"/>
      <c r="D167" s="395"/>
      <c r="E167" s="285"/>
      <c r="F167" s="416"/>
      <c r="G167" s="285"/>
      <c r="H167" s="413"/>
      <c r="I167" s="403"/>
      <c r="J167" s="404"/>
      <c r="K167" s="411"/>
      <c r="L167" s="15"/>
      <c r="M167" s="412"/>
      <c r="N167" s="244"/>
      <c r="O167" s="437"/>
      <c r="P167" s="287"/>
      <c r="Q167" s="417"/>
      <c r="R167" s="406"/>
      <c r="S167" s="407"/>
      <c r="T167" s="408"/>
    </row>
    <row r="168" spans="3:20" s="402" customFormat="1">
      <c r="C168" s="378"/>
      <c r="D168" s="395"/>
      <c r="E168" s="285"/>
      <c r="F168" s="416"/>
      <c r="G168" s="285"/>
      <c r="H168" s="413"/>
      <c r="I168" s="403"/>
      <c r="J168" s="404"/>
      <c r="K168" s="411"/>
      <c r="L168" s="15"/>
      <c r="M168" s="412"/>
      <c r="N168" s="244"/>
      <c r="O168" s="437"/>
      <c r="P168" s="287"/>
      <c r="Q168" s="417"/>
      <c r="R168" s="406"/>
      <c r="S168" s="407"/>
      <c r="T168" s="408"/>
    </row>
    <row r="169" spans="3:20" s="402" customFormat="1">
      <c r="C169" s="378"/>
      <c r="D169" s="395"/>
      <c r="E169" s="285"/>
      <c r="F169" s="416"/>
      <c r="G169" s="285"/>
      <c r="H169" s="413"/>
      <c r="I169" s="403"/>
      <c r="J169" s="404"/>
      <c r="K169" s="411"/>
      <c r="L169" s="15"/>
      <c r="M169" s="412"/>
      <c r="N169" s="244"/>
      <c r="O169" s="437"/>
      <c r="P169" s="185"/>
      <c r="Q169" s="405"/>
      <c r="R169" s="406"/>
      <c r="S169" s="407"/>
      <c r="T169" s="408"/>
    </row>
    <row r="170" spans="3:20" s="402" customFormat="1">
      <c r="C170" s="378"/>
      <c r="D170" s="395"/>
      <c r="E170" s="285"/>
      <c r="F170" s="416"/>
      <c r="G170" s="285"/>
      <c r="H170" s="413"/>
      <c r="I170" s="403"/>
      <c r="J170" s="404"/>
      <c r="K170" s="411"/>
      <c r="L170" s="15"/>
      <c r="M170" s="412"/>
      <c r="N170" s="244"/>
      <c r="O170" s="185"/>
      <c r="P170" s="287"/>
      <c r="Q170" s="417"/>
      <c r="R170" s="406"/>
      <c r="S170" s="407"/>
      <c r="T170" s="408"/>
    </row>
    <row r="171" spans="3:20" s="402" customFormat="1">
      <c r="C171" s="378"/>
      <c r="D171" s="395"/>
      <c r="E171" s="285"/>
      <c r="F171" s="416"/>
      <c r="G171" s="285"/>
      <c r="H171" s="413"/>
      <c r="I171" s="403"/>
      <c r="J171" s="404"/>
      <c r="K171" s="411"/>
      <c r="L171" s="15"/>
      <c r="M171" s="15"/>
      <c r="N171" s="244"/>
      <c r="O171" s="185"/>
      <c r="P171" s="287"/>
      <c r="Q171" s="417"/>
      <c r="R171" s="406"/>
      <c r="S171" s="407"/>
      <c r="T171" s="408"/>
    </row>
    <row r="172" spans="3:20" s="402" customFormat="1">
      <c r="C172" s="378"/>
      <c r="D172" s="395"/>
      <c r="E172" s="285"/>
      <c r="F172" s="416"/>
      <c r="G172" s="285"/>
      <c r="H172" s="413"/>
      <c r="I172" s="18"/>
      <c r="J172" s="404"/>
      <c r="K172" s="411"/>
      <c r="L172" s="15"/>
      <c r="M172" s="412"/>
      <c r="N172" s="244"/>
      <c r="O172" s="437"/>
      <c r="P172" s="185"/>
      <c r="Q172" s="405"/>
      <c r="R172" s="406"/>
      <c r="S172" s="407"/>
      <c r="T172" s="408"/>
    </row>
    <row r="173" spans="3:20" s="402" customFormat="1">
      <c r="C173" s="378"/>
      <c r="D173" s="395"/>
      <c r="E173" s="285"/>
      <c r="F173" s="416"/>
      <c r="G173" s="285"/>
      <c r="H173" s="413"/>
      <c r="I173" s="409"/>
      <c r="J173" s="404"/>
      <c r="K173" s="411"/>
      <c r="L173" s="15"/>
      <c r="M173" s="412"/>
      <c r="N173" s="244"/>
      <c r="O173" s="437"/>
      <c r="P173" s="185"/>
      <c r="Q173" s="417"/>
      <c r="R173" s="406"/>
      <c r="S173" s="407"/>
      <c r="T173" s="408"/>
    </row>
    <row r="174" spans="3:20" s="402" customFormat="1" ht="15">
      <c r="C174" s="378"/>
      <c r="D174" s="395"/>
      <c r="E174" s="285"/>
      <c r="F174" s="418"/>
      <c r="G174" s="285"/>
      <c r="H174" s="413"/>
      <c r="I174" s="409"/>
      <c r="J174" s="404"/>
      <c r="K174" s="411"/>
      <c r="L174" s="185"/>
      <c r="M174" s="185"/>
      <c r="N174" s="244"/>
      <c r="O174" s="437"/>
      <c r="P174" s="287"/>
      <c r="Q174" s="417"/>
      <c r="R174" s="406"/>
      <c r="S174" s="407"/>
      <c r="T174" s="408"/>
    </row>
    <row r="175" spans="3:20" s="402" customFormat="1" ht="15">
      <c r="C175" s="378"/>
      <c r="D175" s="395"/>
      <c r="E175" s="285"/>
      <c r="F175" s="418"/>
      <c r="G175" s="285"/>
      <c r="H175" s="413"/>
      <c r="I175" s="409"/>
      <c r="J175" s="404"/>
      <c r="K175" s="411"/>
      <c r="L175" s="401"/>
      <c r="M175" s="185"/>
      <c r="N175" s="244"/>
      <c r="O175" s="437"/>
      <c r="P175" s="287"/>
      <c r="Q175" s="417"/>
      <c r="R175" s="406"/>
      <c r="S175" s="407"/>
      <c r="T175" s="408"/>
    </row>
    <row r="176" spans="3:20" s="402" customFormat="1" ht="15">
      <c r="C176" s="378"/>
      <c r="D176" s="395"/>
      <c r="E176" s="285"/>
      <c r="F176" s="418"/>
      <c r="G176" s="285"/>
      <c r="H176" s="413"/>
      <c r="I176" s="409"/>
      <c r="J176" s="404"/>
      <c r="K176" s="411"/>
      <c r="L176" s="185"/>
      <c r="M176" s="185"/>
      <c r="N176" s="244"/>
      <c r="O176" s="437"/>
      <c r="P176" s="287"/>
      <c r="Q176" s="417"/>
      <c r="R176" s="406"/>
      <c r="S176" s="407"/>
      <c r="T176" s="408"/>
    </row>
    <row r="177" spans="3:20" s="402" customFormat="1">
      <c r="C177" s="378"/>
      <c r="D177" s="11"/>
      <c r="E177" s="285"/>
      <c r="F177" s="419"/>
      <c r="G177" s="285"/>
      <c r="H177" s="16"/>
      <c r="I177" s="409"/>
      <c r="J177" s="404"/>
      <c r="K177" s="411"/>
      <c r="L177" s="185"/>
      <c r="M177" s="185"/>
      <c r="N177" s="244"/>
      <c r="O177" s="437"/>
      <c r="P177" s="287"/>
      <c r="Q177" s="417"/>
      <c r="R177" s="406"/>
      <c r="S177" s="407"/>
      <c r="T177" s="408"/>
    </row>
    <row r="178" spans="3:20" s="402" customFormat="1">
      <c r="C178" s="378"/>
      <c r="D178" s="395"/>
      <c r="E178" s="285"/>
      <c r="F178" s="416"/>
      <c r="G178" s="285"/>
      <c r="H178" s="415"/>
      <c r="I178" s="403"/>
      <c r="J178" s="404"/>
      <c r="K178" s="411"/>
      <c r="L178" s="15"/>
      <c r="M178" s="412"/>
      <c r="N178" s="244"/>
      <c r="O178" s="185"/>
      <c r="P178" s="287"/>
      <c r="Q178" s="417"/>
      <c r="R178" s="406"/>
      <c r="S178" s="407"/>
      <c r="T178" s="408"/>
    </row>
    <row r="179" spans="3:20" s="402" customFormat="1">
      <c r="C179" s="378"/>
      <c r="D179" s="395"/>
      <c r="E179" s="285"/>
      <c r="F179" s="416"/>
      <c r="G179" s="285"/>
      <c r="H179" s="415"/>
      <c r="I179" s="403"/>
      <c r="J179" s="404"/>
      <c r="K179" s="411"/>
      <c r="L179" s="15"/>
      <c r="M179" s="412"/>
      <c r="N179" s="244"/>
      <c r="O179" s="437"/>
      <c r="P179" s="185"/>
      <c r="Q179" s="405"/>
      <c r="R179" s="406"/>
      <c r="S179" s="407"/>
      <c r="T179" s="408"/>
    </row>
    <row r="180" spans="3:20" s="402" customFormat="1">
      <c r="C180" s="378"/>
      <c r="D180" s="395"/>
      <c r="E180" s="285"/>
      <c r="F180" s="416"/>
      <c r="G180" s="285"/>
      <c r="H180" s="415"/>
      <c r="I180" s="403"/>
      <c r="J180" s="404"/>
      <c r="K180" s="411"/>
      <c r="L180" s="15"/>
      <c r="M180" s="412"/>
      <c r="N180" s="244"/>
      <c r="O180" s="185"/>
      <c r="P180" s="287"/>
      <c r="Q180" s="417"/>
      <c r="R180" s="406"/>
      <c r="S180" s="407"/>
      <c r="T180" s="408"/>
    </row>
    <row r="181" spans="3:20" s="402" customFormat="1">
      <c r="C181" s="378"/>
      <c r="D181" s="395"/>
      <c r="E181" s="285"/>
      <c r="F181" s="416"/>
      <c r="G181" s="285"/>
      <c r="H181" s="415"/>
      <c r="I181" s="403"/>
      <c r="J181" s="404"/>
      <c r="K181" s="411"/>
      <c r="L181" s="15"/>
      <c r="M181" s="412"/>
      <c r="N181" s="244"/>
      <c r="O181" s="185"/>
      <c r="P181" s="287"/>
      <c r="Q181" s="417"/>
      <c r="R181" s="406"/>
      <c r="S181" s="407"/>
      <c r="T181" s="408"/>
    </row>
    <row r="182" spans="3:20" s="402" customFormat="1">
      <c r="C182" s="378"/>
      <c r="D182" s="395"/>
      <c r="E182" s="285"/>
      <c r="F182" s="416"/>
      <c r="G182" s="285"/>
      <c r="H182" s="415"/>
      <c r="I182" s="18"/>
      <c r="J182" s="404"/>
      <c r="K182" s="411"/>
      <c r="L182" s="15"/>
      <c r="M182" s="412"/>
      <c r="N182" s="244"/>
      <c r="O182" s="437"/>
      <c r="P182" s="185"/>
      <c r="Q182" s="405"/>
      <c r="R182" s="406"/>
      <c r="S182" s="407"/>
      <c r="T182" s="408"/>
    </row>
    <row r="183" spans="3:20" s="402" customFormat="1">
      <c r="C183" s="378"/>
      <c r="D183" s="395"/>
      <c r="E183" s="285"/>
      <c r="F183" s="416"/>
      <c r="G183" s="285"/>
      <c r="H183" s="413"/>
      <c r="I183" s="409"/>
      <c r="J183" s="404"/>
      <c r="K183" s="411"/>
      <c r="L183" s="15"/>
      <c r="M183" s="15"/>
      <c r="N183" s="244"/>
      <c r="O183" s="437"/>
      <c r="P183" s="185"/>
      <c r="Q183" s="417"/>
      <c r="R183" s="406"/>
      <c r="S183" s="407"/>
      <c r="T183" s="408"/>
    </row>
    <row r="184" spans="3:20" s="402" customFormat="1" ht="15">
      <c r="C184" s="378"/>
      <c r="D184" s="395"/>
      <c r="E184" s="285"/>
      <c r="F184" s="418"/>
      <c r="G184" s="285"/>
      <c r="H184" s="413"/>
      <c r="I184" s="409"/>
      <c r="J184" s="404"/>
      <c r="K184" s="411"/>
      <c r="L184" s="185"/>
      <c r="M184" s="185"/>
      <c r="N184" s="244"/>
      <c r="O184" s="437"/>
      <c r="P184" s="287"/>
      <c r="Q184" s="417"/>
      <c r="R184" s="406"/>
      <c r="S184" s="407"/>
      <c r="T184" s="408"/>
    </row>
    <row r="185" spans="3:20" s="402" customFormat="1" ht="15">
      <c r="C185" s="378"/>
      <c r="D185" s="395"/>
      <c r="E185" s="285"/>
      <c r="F185" s="418"/>
      <c r="G185" s="285"/>
      <c r="H185" s="413"/>
      <c r="I185" s="409"/>
      <c r="J185" s="404"/>
      <c r="K185" s="411"/>
      <c r="L185" s="401"/>
      <c r="M185" s="185"/>
      <c r="N185" s="244"/>
      <c r="O185" s="437"/>
      <c r="P185" s="287"/>
      <c r="Q185" s="417"/>
      <c r="R185" s="406"/>
      <c r="S185" s="407"/>
      <c r="T185" s="408"/>
    </row>
    <row r="186" spans="3:20" s="402" customFormat="1" ht="15">
      <c r="C186" s="378"/>
      <c r="D186" s="395"/>
      <c r="E186" s="285"/>
      <c r="F186" s="418"/>
      <c r="G186" s="285"/>
      <c r="H186" s="413"/>
      <c r="I186" s="409"/>
      <c r="J186" s="404"/>
      <c r="K186" s="411"/>
      <c r="L186" s="185"/>
      <c r="M186" s="185"/>
      <c r="N186" s="244"/>
      <c r="O186" s="437"/>
      <c r="P186" s="287"/>
      <c r="Q186" s="417"/>
      <c r="R186" s="406"/>
      <c r="S186" s="407"/>
      <c r="T186" s="408"/>
    </row>
    <row r="187" spans="3:20" s="402" customFormat="1">
      <c r="C187" s="378"/>
      <c r="D187" s="11"/>
      <c r="E187" s="285"/>
      <c r="F187" s="419"/>
      <c r="G187" s="285"/>
      <c r="H187" s="16"/>
      <c r="I187" s="409"/>
      <c r="J187" s="404"/>
      <c r="K187" s="411"/>
      <c r="L187" s="185"/>
      <c r="M187" s="185"/>
      <c r="N187" s="244"/>
      <c r="O187" s="437"/>
      <c r="P187" s="287"/>
      <c r="Q187" s="417"/>
      <c r="R187" s="406"/>
      <c r="S187" s="407"/>
      <c r="T187" s="408"/>
    </row>
    <row r="188" spans="3:20">
      <c r="D188" s="420"/>
      <c r="E188" s="285"/>
      <c r="F188" s="421"/>
      <c r="G188" s="422"/>
      <c r="H188" s="423"/>
      <c r="I188" s="424"/>
      <c r="J188" s="404"/>
      <c r="K188" s="425"/>
      <c r="L188" s="15"/>
      <c r="M188" s="412"/>
      <c r="N188" s="426"/>
      <c r="O188" s="469"/>
    </row>
    <row r="189" spans="3:20" s="431" customFormat="1">
      <c r="C189" s="427"/>
      <c r="D189" s="420"/>
      <c r="E189" s="285"/>
      <c r="F189" s="421"/>
      <c r="G189" s="422"/>
      <c r="H189" s="423"/>
      <c r="I189" s="403"/>
      <c r="J189" s="404"/>
      <c r="K189" s="425"/>
      <c r="L189" s="15"/>
      <c r="M189" s="412"/>
      <c r="N189" s="426"/>
      <c r="O189" s="470"/>
      <c r="P189" s="440"/>
      <c r="Q189" s="446"/>
      <c r="R189" s="428"/>
      <c r="S189" s="429"/>
      <c r="T189" s="430"/>
    </row>
    <row r="190" spans="3:20">
      <c r="D190" s="420"/>
      <c r="E190" s="285"/>
      <c r="F190" s="421"/>
      <c r="G190" s="422"/>
      <c r="H190" s="423"/>
      <c r="I190" s="403"/>
      <c r="J190" s="404"/>
      <c r="K190" s="425"/>
      <c r="L190" s="15"/>
      <c r="M190" s="412"/>
      <c r="O190" s="469"/>
      <c r="P190" s="470"/>
      <c r="Q190" s="471"/>
    </row>
    <row r="191" spans="3:20">
      <c r="D191" s="420"/>
      <c r="E191" s="285"/>
      <c r="F191" s="421"/>
      <c r="G191" s="422"/>
      <c r="H191" s="423"/>
      <c r="I191" s="403"/>
      <c r="J191" s="404"/>
      <c r="K191" s="425"/>
      <c r="L191" s="15"/>
      <c r="M191" s="412"/>
    </row>
    <row r="192" spans="3:20">
      <c r="D192" s="420"/>
      <c r="E192" s="285"/>
      <c r="F192" s="421"/>
      <c r="G192" s="422"/>
      <c r="H192" s="423"/>
      <c r="I192" s="403"/>
      <c r="J192" s="404"/>
      <c r="K192" s="425"/>
      <c r="L192" s="15"/>
      <c r="M192" s="412"/>
    </row>
    <row r="193" spans="3:20">
      <c r="D193" s="420"/>
      <c r="E193" s="285"/>
      <c r="F193" s="421"/>
      <c r="G193" s="422"/>
      <c r="H193" s="423"/>
      <c r="I193" s="18"/>
      <c r="J193" s="404"/>
      <c r="K193" s="425"/>
      <c r="L193" s="15"/>
      <c r="M193" s="412"/>
      <c r="N193" s="432"/>
      <c r="O193" s="472"/>
      <c r="P193" s="457"/>
      <c r="Q193" s="458"/>
    </row>
    <row r="194" spans="3:20">
      <c r="D194" s="420"/>
      <c r="E194" s="285"/>
      <c r="F194" s="421"/>
      <c r="G194" s="422"/>
      <c r="H194" s="413"/>
      <c r="I194" s="424"/>
      <c r="J194" s="404"/>
      <c r="K194" s="425"/>
      <c r="L194" s="433"/>
      <c r="M194" s="15"/>
      <c r="N194" s="426"/>
      <c r="O194" s="469"/>
      <c r="P194" s="450"/>
    </row>
    <row r="195" spans="3:20" ht="15">
      <c r="D195" s="420"/>
      <c r="E195" s="285"/>
      <c r="F195" s="434"/>
      <c r="G195" s="422"/>
      <c r="H195" s="413"/>
      <c r="I195" s="424"/>
      <c r="J195" s="404"/>
      <c r="K195" s="411"/>
      <c r="L195" s="185"/>
      <c r="M195" s="185"/>
      <c r="N195" s="426"/>
      <c r="O195" s="469"/>
    </row>
    <row r="196" spans="3:20" ht="15">
      <c r="D196" s="420"/>
      <c r="E196" s="285"/>
      <c r="F196" s="434"/>
      <c r="G196" s="422"/>
      <c r="H196" s="413"/>
      <c r="I196" s="424"/>
      <c r="J196" s="404"/>
      <c r="K196" s="411"/>
      <c r="L196" s="401"/>
      <c r="M196" s="185"/>
      <c r="N196" s="426"/>
      <c r="O196" s="469"/>
    </row>
    <row r="197" spans="3:20" ht="15">
      <c r="D197" s="420"/>
      <c r="E197" s="285"/>
      <c r="F197" s="434"/>
      <c r="G197" s="422"/>
      <c r="H197" s="413"/>
      <c r="I197" s="424"/>
      <c r="J197" s="404"/>
      <c r="K197" s="411"/>
      <c r="L197" s="185"/>
      <c r="M197" s="185"/>
      <c r="N197" s="426"/>
      <c r="O197" s="469"/>
    </row>
    <row r="198" spans="3:20" s="431" customFormat="1">
      <c r="C198" s="427"/>
      <c r="D198" s="11"/>
      <c r="E198" s="285"/>
      <c r="F198" s="435"/>
      <c r="G198" s="422"/>
      <c r="H198" s="16"/>
      <c r="I198" s="403"/>
      <c r="J198" s="404"/>
      <c r="K198" s="425"/>
      <c r="L198" s="185"/>
      <c r="M198" s="185"/>
      <c r="N198" s="426"/>
      <c r="O198" s="470"/>
      <c r="P198" s="440"/>
      <c r="Q198" s="446"/>
      <c r="R198" s="428"/>
      <c r="S198" s="429"/>
      <c r="T198" s="430"/>
    </row>
    <row r="199" spans="3:20">
      <c r="D199" s="420"/>
      <c r="E199" s="285"/>
      <c r="F199" s="421"/>
      <c r="G199" s="422"/>
      <c r="H199" s="423"/>
      <c r="I199" s="403"/>
      <c r="J199" s="404"/>
      <c r="K199" s="425"/>
      <c r="L199" s="15"/>
      <c r="M199" s="412"/>
      <c r="O199" s="469"/>
      <c r="P199" s="470"/>
      <c r="Q199" s="471"/>
    </row>
    <row r="200" spans="3:20">
      <c r="D200" s="420"/>
      <c r="E200" s="285"/>
      <c r="F200" s="421"/>
      <c r="G200" s="422"/>
      <c r="H200" s="423"/>
      <c r="I200" s="403"/>
      <c r="J200" s="404"/>
      <c r="K200" s="425"/>
      <c r="L200" s="15"/>
      <c r="M200" s="412"/>
    </row>
    <row r="201" spans="3:20">
      <c r="D201" s="420"/>
      <c r="E201" s="285"/>
      <c r="F201" s="421"/>
      <c r="G201" s="422"/>
      <c r="H201" s="423"/>
      <c r="I201" s="403"/>
      <c r="J201" s="404"/>
      <c r="K201" s="425"/>
      <c r="L201" s="15"/>
      <c r="M201" s="412"/>
    </row>
    <row r="202" spans="3:20">
      <c r="D202" s="420"/>
      <c r="E202" s="285"/>
      <c r="F202" s="421"/>
      <c r="G202" s="422"/>
      <c r="H202" s="423"/>
      <c r="I202" s="18"/>
      <c r="J202" s="404"/>
      <c r="K202" s="425"/>
      <c r="L202" s="15"/>
      <c r="M202" s="412"/>
      <c r="N202" s="432"/>
      <c r="O202" s="472"/>
      <c r="P202" s="457"/>
      <c r="Q202" s="458"/>
    </row>
    <row r="203" spans="3:20">
      <c r="D203" s="420"/>
      <c r="E203" s="285"/>
      <c r="F203" s="421"/>
      <c r="G203" s="422"/>
      <c r="H203" s="413"/>
      <c r="I203" s="424"/>
      <c r="J203" s="404"/>
      <c r="K203" s="425"/>
      <c r="L203" s="433"/>
      <c r="M203" s="15"/>
      <c r="N203" s="426"/>
      <c r="O203" s="469"/>
      <c r="P203" s="450"/>
    </row>
    <row r="204" spans="3:20" ht="15">
      <c r="D204" s="420"/>
      <c r="E204" s="285"/>
      <c r="F204" s="434"/>
      <c r="G204" s="422"/>
      <c r="H204" s="413"/>
      <c r="I204" s="424"/>
      <c r="J204" s="404"/>
      <c r="K204" s="411"/>
      <c r="L204" s="185"/>
      <c r="M204" s="185"/>
      <c r="N204" s="426"/>
      <c r="O204" s="469"/>
    </row>
    <row r="205" spans="3:20" ht="15">
      <c r="D205" s="420"/>
      <c r="E205" s="285"/>
      <c r="F205" s="434"/>
      <c r="G205" s="422"/>
      <c r="H205" s="413"/>
      <c r="I205" s="424"/>
      <c r="J205" s="404"/>
      <c r="K205" s="411"/>
      <c r="L205" s="401"/>
      <c r="M205" s="185"/>
      <c r="N205" s="426"/>
      <c r="O205" s="469"/>
    </row>
    <row r="206" spans="3:20" ht="15">
      <c r="D206" s="420"/>
      <c r="E206" s="285"/>
      <c r="F206" s="434"/>
      <c r="G206" s="422"/>
      <c r="H206" s="413"/>
      <c r="I206" s="424"/>
      <c r="J206" s="404"/>
      <c r="K206" s="411"/>
      <c r="L206" s="185"/>
      <c r="M206" s="185"/>
      <c r="N206" s="426"/>
      <c r="O206" s="469"/>
    </row>
    <row r="207" spans="3:20">
      <c r="D207" s="11"/>
      <c r="E207" s="285"/>
      <c r="F207" s="435"/>
      <c r="G207" s="422"/>
      <c r="H207" s="16"/>
      <c r="I207" s="424"/>
      <c r="J207" s="404"/>
      <c r="K207" s="425"/>
      <c r="L207" s="185"/>
      <c r="M207" s="185"/>
      <c r="N207" s="426"/>
      <c r="O207" s="469"/>
    </row>
    <row r="208" spans="3:20" s="431" customFormat="1">
      <c r="C208" s="427"/>
      <c r="D208" s="420"/>
      <c r="E208" s="285"/>
      <c r="F208" s="421"/>
      <c r="G208" s="422"/>
      <c r="H208" s="423"/>
      <c r="I208" s="403"/>
      <c r="J208" s="404"/>
      <c r="K208" s="425"/>
      <c r="L208" s="15"/>
      <c r="M208" s="412"/>
      <c r="N208" s="426"/>
      <c r="O208" s="470"/>
      <c r="P208" s="440"/>
      <c r="Q208" s="446"/>
      <c r="R208" s="428"/>
      <c r="S208" s="429"/>
      <c r="T208" s="430"/>
    </row>
    <row r="209" spans="3:20">
      <c r="D209" s="420"/>
      <c r="E209" s="285"/>
      <c r="F209" s="421"/>
      <c r="G209" s="422"/>
      <c r="H209" s="423"/>
      <c r="I209" s="403"/>
      <c r="J209" s="404"/>
      <c r="K209" s="425"/>
      <c r="L209" s="15"/>
      <c r="M209" s="412"/>
      <c r="O209" s="469"/>
      <c r="P209" s="470"/>
      <c r="Q209" s="471"/>
    </row>
    <row r="210" spans="3:20">
      <c r="D210" s="420"/>
      <c r="E210" s="285"/>
      <c r="F210" s="421"/>
      <c r="G210" s="422"/>
      <c r="H210" s="423"/>
      <c r="I210" s="403"/>
      <c r="J210" s="404"/>
      <c r="K210" s="425"/>
      <c r="L210" s="15"/>
      <c r="M210" s="412"/>
    </row>
    <row r="211" spans="3:20">
      <c r="D211" s="420"/>
      <c r="E211" s="285"/>
      <c r="F211" s="421"/>
      <c r="G211" s="422"/>
      <c r="H211" s="423"/>
      <c r="I211" s="403"/>
      <c r="J211" s="404"/>
      <c r="K211" s="425"/>
      <c r="L211" s="15"/>
      <c r="M211" s="412"/>
    </row>
    <row r="212" spans="3:20">
      <c r="D212" s="420"/>
      <c r="E212" s="285"/>
      <c r="F212" s="421"/>
      <c r="G212" s="422"/>
      <c r="H212" s="423"/>
      <c r="I212" s="18"/>
      <c r="J212" s="404"/>
      <c r="K212" s="425"/>
      <c r="L212" s="15"/>
      <c r="M212" s="412"/>
      <c r="N212" s="432"/>
      <c r="O212" s="472"/>
      <c r="P212" s="457"/>
      <c r="Q212" s="458"/>
    </row>
    <row r="213" spans="3:20">
      <c r="D213" s="420"/>
      <c r="E213" s="285"/>
      <c r="F213" s="421"/>
      <c r="G213" s="422"/>
      <c r="H213" s="413"/>
      <c r="I213" s="424"/>
      <c r="J213" s="404"/>
      <c r="K213" s="425"/>
      <c r="L213" s="433"/>
      <c r="M213" s="15"/>
      <c r="N213" s="426"/>
      <c r="O213" s="469"/>
      <c r="P213" s="450"/>
    </row>
    <row r="214" spans="3:20" ht="15">
      <c r="D214" s="420"/>
      <c r="E214" s="285"/>
      <c r="F214" s="434"/>
      <c r="G214" s="422"/>
      <c r="H214" s="413"/>
      <c r="I214" s="424"/>
      <c r="J214" s="404"/>
      <c r="K214" s="411"/>
      <c r="L214" s="185"/>
      <c r="M214" s="185"/>
      <c r="N214" s="426"/>
      <c r="O214" s="469"/>
    </row>
    <row r="215" spans="3:20" ht="15">
      <c r="D215" s="420"/>
      <c r="E215" s="285"/>
      <c r="F215" s="434"/>
      <c r="G215" s="422"/>
      <c r="H215" s="413"/>
      <c r="I215" s="424"/>
      <c r="J215" s="404"/>
      <c r="K215" s="411"/>
      <c r="L215" s="401"/>
      <c r="M215" s="185"/>
      <c r="N215" s="426"/>
      <c r="O215" s="469"/>
    </row>
    <row r="216" spans="3:20" ht="15">
      <c r="D216" s="420"/>
      <c r="E216" s="285"/>
      <c r="F216" s="434"/>
      <c r="G216" s="422"/>
      <c r="H216" s="413"/>
      <c r="I216" s="424"/>
      <c r="J216" s="404"/>
      <c r="K216" s="411"/>
      <c r="L216" s="185"/>
      <c r="M216" s="185"/>
      <c r="N216" s="426"/>
      <c r="O216" s="469"/>
    </row>
    <row r="217" spans="3:20">
      <c r="D217" s="11"/>
      <c r="E217" s="285"/>
      <c r="F217" s="435"/>
      <c r="G217" s="422"/>
      <c r="H217" s="16"/>
      <c r="I217" s="424"/>
      <c r="J217" s="404"/>
      <c r="K217" s="425"/>
      <c r="L217" s="185"/>
      <c r="M217" s="185"/>
      <c r="N217" s="426"/>
      <c r="O217" s="469"/>
    </row>
    <row r="218" spans="3:20">
      <c r="D218" s="420"/>
      <c r="E218" s="285"/>
      <c r="F218" s="421"/>
      <c r="G218" s="422"/>
      <c r="H218" s="423"/>
      <c r="I218" s="424"/>
      <c r="J218" s="404"/>
      <c r="K218" s="425"/>
      <c r="L218" s="15"/>
      <c r="M218" s="412"/>
      <c r="N218" s="426"/>
      <c r="O218" s="469"/>
    </row>
    <row r="219" spans="3:20" s="431" customFormat="1">
      <c r="C219" s="427"/>
      <c r="D219" s="420"/>
      <c r="E219" s="285"/>
      <c r="F219" s="421"/>
      <c r="G219" s="422"/>
      <c r="H219" s="423"/>
      <c r="I219" s="403"/>
      <c r="J219" s="404"/>
      <c r="K219" s="425"/>
      <c r="L219" s="15"/>
      <c r="M219" s="412"/>
      <c r="N219" s="426"/>
      <c r="O219" s="470"/>
      <c r="P219" s="440"/>
      <c r="Q219" s="446"/>
      <c r="R219" s="428"/>
      <c r="S219" s="429"/>
      <c r="T219" s="430"/>
    </row>
    <row r="220" spans="3:20">
      <c r="D220" s="420"/>
      <c r="E220" s="285"/>
      <c r="F220" s="421"/>
      <c r="G220" s="422"/>
      <c r="H220" s="423"/>
      <c r="I220" s="403"/>
      <c r="J220" s="404"/>
      <c r="K220" s="425"/>
      <c r="L220" s="15"/>
      <c r="M220" s="412"/>
      <c r="O220" s="469"/>
      <c r="P220" s="470"/>
      <c r="Q220" s="471"/>
    </row>
    <row r="221" spans="3:20">
      <c r="D221" s="420"/>
      <c r="E221" s="285"/>
      <c r="F221" s="421"/>
      <c r="G221" s="422"/>
      <c r="H221" s="423"/>
      <c r="I221" s="403"/>
      <c r="J221" s="404"/>
      <c r="K221" s="425"/>
      <c r="L221" s="15"/>
      <c r="M221" s="412"/>
    </row>
    <row r="222" spans="3:20">
      <c r="D222" s="420"/>
      <c r="E222" s="285"/>
      <c r="F222" s="421"/>
      <c r="G222" s="422"/>
      <c r="H222" s="423"/>
      <c r="I222" s="403"/>
      <c r="J222" s="404"/>
      <c r="K222" s="425"/>
      <c r="L222" s="15"/>
      <c r="M222" s="412"/>
    </row>
    <row r="223" spans="3:20">
      <c r="D223" s="420"/>
      <c r="E223" s="285"/>
      <c r="F223" s="421"/>
      <c r="G223" s="422"/>
      <c r="H223" s="423"/>
      <c r="I223" s="18"/>
      <c r="J223" s="404"/>
      <c r="K223" s="425"/>
      <c r="L223" s="15"/>
      <c r="M223" s="412"/>
      <c r="N223" s="432"/>
      <c r="O223" s="472"/>
      <c r="P223" s="457"/>
      <c r="Q223" s="458"/>
    </row>
    <row r="224" spans="3:20">
      <c r="D224" s="420"/>
      <c r="E224" s="285"/>
      <c r="F224" s="421"/>
      <c r="G224" s="422"/>
      <c r="H224" s="413"/>
      <c r="I224" s="424"/>
      <c r="J224" s="404"/>
      <c r="K224" s="425"/>
      <c r="L224" s="433"/>
      <c r="M224" s="15"/>
      <c r="N224" s="426"/>
      <c r="O224" s="469"/>
      <c r="P224" s="450"/>
    </row>
    <row r="225" spans="3:20" ht="15">
      <c r="D225" s="420"/>
      <c r="E225" s="285"/>
      <c r="F225" s="434"/>
      <c r="G225" s="422"/>
      <c r="H225" s="413"/>
      <c r="I225" s="424"/>
      <c r="J225" s="404"/>
      <c r="K225" s="411"/>
      <c r="L225" s="185"/>
      <c r="M225" s="185"/>
      <c r="N225" s="426"/>
      <c r="O225" s="469"/>
    </row>
    <row r="226" spans="3:20" ht="15">
      <c r="D226" s="420"/>
      <c r="E226" s="285"/>
      <c r="F226" s="434"/>
      <c r="G226" s="422"/>
      <c r="H226" s="413"/>
      <c r="I226" s="424"/>
      <c r="J226" s="404"/>
      <c r="K226" s="411"/>
      <c r="L226" s="401"/>
      <c r="M226" s="185"/>
      <c r="N226" s="426"/>
      <c r="O226" s="469"/>
    </row>
    <row r="227" spans="3:20" s="431" customFormat="1" ht="15">
      <c r="C227" s="427"/>
      <c r="D227" s="420"/>
      <c r="E227" s="285"/>
      <c r="F227" s="434"/>
      <c r="G227" s="422"/>
      <c r="H227" s="413"/>
      <c r="I227" s="403"/>
      <c r="J227" s="404"/>
      <c r="K227" s="411"/>
      <c r="L227" s="185"/>
      <c r="M227" s="185"/>
      <c r="N227" s="426"/>
      <c r="O227" s="470"/>
      <c r="P227" s="440"/>
      <c r="Q227" s="446"/>
      <c r="R227" s="428"/>
      <c r="S227" s="429"/>
      <c r="T227" s="430"/>
    </row>
    <row r="228" spans="3:20">
      <c r="D228" s="11"/>
      <c r="E228" s="285"/>
      <c r="F228" s="435"/>
      <c r="G228" s="422"/>
      <c r="H228" s="16"/>
      <c r="I228" s="403"/>
      <c r="J228" s="404"/>
      <c r="K228" s="425"/>
      <c r="L228" s="185"/>
      <c r="M228" s="185"/>
      <c r="O228" s="469"/>
      <c r="P228" s="470"/>
      <c r="Q228" s="471"/>
    </row>
    <row r="229" spans="3:20">
      <c r="D229" s="420"/>
      <c r="E229" s="285"/>
      <c r="F229" s="421"/>
      <c r="G229" s="422"/>
      <c r="H229" s="423"/>
      <c r="I229" s="403"/>
      <c r="J229" s="404"/>
      <c r="K229" s="425"/>
      <c r="L229" s="15"/>
      <c r="M229" s="412"/>
    </row>
    <row r="230" spans="3:20">
      <c r="D230" s="420"/>
      <c r="E230" s="285"/>
      <c r="F230" s="421"/>
      <c r="G230" s="422"/>
      <c r="H230" s="423"/>
      <c r="I230" s="403"/>
      <c r="J230" s="404"/>
      <c r="K230" s="425"/>
      <c r="L230" s="15"/>
      <c r="M230" s="412"/>
    </row>
    <row r="231" spans="3:20">
      <c r="D231" s="420"/>
      <c r="E231" s="285"/>
      <c r="F231" s="421"/>
      <c r="G231" s="422"/>
      <c r="H231" s="423"/>
      <c r="I231" s="18"/>
      <c r="J231" s="404"/>
      <c r="K231" s="425"/>
      <c r="L231" s="15"/>
      <c r="M231" s="412"/>
      <c r="N231" s="432"/>
      <c r="O231" s="472"/>
      <c r="P231" s="457"/>
      <c r="Q231" s="458"/>
    </row>
    <row r="232" spans="3:20">
      <c r="D232" s="420"/>
      <c r="E232" s="285"/>
      <c r="F232" s="421"/>
      <c r="G232" s="422"/>
      <c r="H232" s="413"/>
      <c r="I232" s="424"/>
      <c r="J232" s="404"/>
      <c r="K232" s="425"/>
      <c r="L232" s="433"/>
      <c r="M232" s="15"/>
      <c r="N232" s="426"/>
      <c r="O232" s="469"/>
      <c r="P232" s="450"/>
    </row>
    <row r="233" spans="3:20" ht="15">
      <c r="D233" s="420"/>
      <c r="E233" s="285"/>
      <c r="F233" s="434"/>
      <c r="G233" s="422"/>
      <c r="H233" s="413"/>
      <c r="I233" s="424"/>
      <c r="J233" s="404"/>
      <c r="K233" s="411"/>
      <c r="L233" s="185"/>
      <c r="M233" s="185"/>
      <c r="N233" s="426"/>
      <c r="O233" s="469"/>
    </row>
    <row r="234" spans="3:20" ht="15">
      <c r="D234" s="420"/>
      <c r="E234" s="285"/>
      <c r="F234" s="434"/>
      <c r="G234" s="422"/>
      <c r="H234" s="413"/>
      <c r="I234" s="424"/>
      <c r="J234" s="404"/>
      <c r="K234" s="411"/>
      <c r="L234" s="401"/>
      <c r="M234" s="185"/>
      <c r="N234" s="426"/>
      <c r="O234" s="469"/>
    </row>
    <row r="235" spans="3:20" s="431" customFormat="1" ht="15">
      <c r="C235" s="427"/>
      <c r="D235" s="420"/>
      <c r="E235" s="285"/>
      <c r="F235" s="434"/>
      <c r="G235" s="422"/>
      <c r="H235" s="413"/>
      <c r="I235" s="403"/>
      <c r="J235" s="404"/>
      <c r="K235" s="411"/>
      <c r="L235" s="185"/>
      <c r="M235" s="185"/>
      <c r="N235" s="426"/>
      <c r="O235" s="470"/>
      <c r="P235" s="440"/>
      <c r="Q235" s="446"/>
      <c r="R235" s="428"/>
      <c r="S235" s="429"/>
      <c r="T235" s="430"/>
    </row>
    <row r="236" spans="3:20">
      <c r="D236" s="11"/>
      <c r="E236" s="285"/>
      <c r="F236" s="435"/>
      <c r="G236" s="422"/>
      <c r="H236" s="16"/>
      <c r="I236" s="403"/>
      <c r="J236" s="404"/>
      <c r="K236" s="425"/>
      <c r="L236" s="185"/>
      <c r="M236" s="185"/>
      <c r="O236" s="469"/>
      <c r="P236" s="470"/>
      <c r="Q236" s="471"/>
    </row>
    <row r="237" spans="3:20">
      <c r="D237" s="420"/>
      <c r="E237" s="285"/>
      <c r="F237" s="421"/>
      <c r="G237" s="422"/>
      <c r="H237" s="423"/>
      <c r="I237" s="403"/>
      <c r="J237" s="404"/>
      <c r="K237" s="425"/>
      <c r="L237" s="15"/>
      <c r="M237" s="412"/>
    </row>
    <row r="238" spans="3:20">
      <c r="D238" s="420"/>
      <c r="E238" s="285"/>
      <c r="F238" s="421"/>
      <c r="G238" s="422"/>
      <c r="H238" s="423"/>
      <c r="I238" s="403"/>
      <c r="J238" s="404"/>
      <c r="K238" s="425"/>
      <c r="L238" s="15"/>
      <c r="M238" s="412"/>
    </row>
    <row r="239" spans="3:20">
      <c r="D239" s="420"/>
      <c r="E239" s="285"/>
      <c r="F239" s="421"/>
      <c r="G239" s="422"/>
      <c r="H239" s="423"/>
      <c r="I239" s="18"/>
      <c r="J239" s="404"/>
      <c r="K239" s="425"/>
      <c r="L239" s="15"/>
      <c r="M239" s="412"/>
      <c r="N239" s="432"/>
      <c r="O239" s="472"/>
      <c r="P239" s="457"/>
      <c r="Q239" s="458"/>
    </row>
    <row r="240" spans="3:20">
      <c r="D240" s="420"/>
      <c r="E240" s="285"/>
      <c r="F240" s="421"/>
      <c r="G240" s="422"/>
      <c r="H240" s="413"/>
      <c r="I240" s="424"/>
      <c r="J240" s="404"/>
      <c r="K240" s="425"/>
      <c r="L240" s="433"/>
      <c r="M240" s="15"/>
      <c r="N240" s="426"/>
      <c r="O240" s="469"/>
      <c r="P240" s="450"/>
    </row>
    <row r="241" spans="3:20" ht="15">
      <c r="D241" s="420"/>
      <c r="E241" s="285"/>
      <c r="F241" s="434"/>
      <c r="G241" s="422"/>
      <c r="H241" s="413"/>
      <c r="I241" s="424"/>
      <c r="J241" s="404"/>
      <c r="K241" s="411"/>
      <c r="L241" s="185"/>
      <c r="M241" s="185"/>
      <c r="N241" s="426"/>
      <c r="O241" s="469"/>
    </row>
    <row r="242" spans="3:20" ht="15">
      <c r="D242" s="420"/>
      <c r="E242" s="285"/>
      <c r="F242" s="434"/>
      <c r="G242" s="422"/>
      <c r="H242" s="413"/>
      <c r="I242" s="424"/>
      <c r="J242" s="404"/>
      <c r="K242" s="411"/>
      <c r="L242" s="401"/>
      <c r="M242" s="185"/>
      <c r="N242" s="426"/>
      <c r="O242" s="469"/>
    </row>
    <row r="243" spans="3:20" s="431" customFormat="1" ht="15">
      <c r="C243" s="427"/>
      <c r="D243" s="420"/>
      <c r="E243" s="285"/>
      <c r="F243" s="434"/>
      <c r="G243" s="422"/>
      <c r="H243" s="413"/>
      <c r="I243" s="403"/>
      <c r="J243" s="404"/>
      <c r="K243" s="411"/>
      <c r="L243" s="185"/>
      <c r="M243" s="185"/>
      <c r="N243" s="426"/>
      <c r="O243" s="470"/>
      <c r="P243" s="440"/>
      <c r="Q243" s="446"/>
      <c r="R243" s="428"/>
      <c r="S243" s="429"/>
      <c r="T243" s="430"/>
    </row>
    <row r="244" spans="3:20">
      <c r="D244" s="11"/>
      <c r="E244" s="285"/>
      <c r="F244" s="435"/>
      <c r="G244" s="422"/>
      <c r="H244" s="16"/>
      <c r="I244" s="403"/>
      <c r="J244" s="404"/>
      <c r="K244" s="425"/>
      <c r="L244" s="185"/>
      <c r="M244" s="185"/>
      <c r="O244" s="469"/>
      <c r="P244" s="470"/>
      <c r="Q244" s="471"/>
    </row>
    <row r="245" spans="3:20">
      <c r="D245" s="420"/>
      <c r="E245" s="285"/>
      <c r="F245" s="421"/>
      <c r="G245" s="422"/>
      <c r="H245" s="423"/>
      <c r="I245" s="403"/>
      <c r="J245" s="404"/>
      <c r="K245" s="425"/>
      <c r="L245" s="15"/>
      <c r="M245" s="412"/>
    </row>
    <row r="246" spans="3:20">
      <c r="D246" s="420"/>
      <c r="E246" s="285"/>
      <c r="F246" s="421"/>
      <c r="G246" s="422"/>
      <c r="H246" s="423"/>
      <c r="I246" s="403"/>
      <c r="J246" s="404"/>
      <c r="K246" s="425"/>
      <c r="L246" s="15"/>
      <c r="M246" s="412"/>
    </row>
    <row r="247" spans="3:20">
      <c r="D247" s="420"/>
      <c r="E247" s="285"/>
      <c r="F247" s="421"/>
      <c r="G247" s="422"/>
      <c r="H247" s="423"/>
      <c r="I247" s="18"/>
      <c r="J247" s="404"/>
      <c r="K247" s="425"/>
      <c r="L247" s="15"/>
      <c r="M247" s="412"/>
      <c r="N247" s="432"/>
      <c r="O247" s="472"/>
      <c r="P247" s="457"/>
      <c r="Q247" s="458"/>
    </row>
    <row r="248" spans="3:20">
      <c r="D248" s="420"/>
      <c r="E248" s="285"/>
      <c r="F248" s="421"/>
      <c r="G248" s="422"/>
      <c r="H248" s="413"/>
      <c r="I248" s="424"/>
      <c r="J248" s="404"/>
      <c r="K248" s="425"/>
      <c r="L248" s="433"/>
      <c r="M248" s="15"/>
      <c r="N248" s="426"/>
      <c r="O248" s="469"/>
      <c r="P248" s="450"/>
    </row>
    <row r="249" spans="3:20" ht="15">
      <c r="D249" s="420"/>
      <c r="E249" s="285"/>
      <c r="F249" s="434"/>
      <c r="G249" s="422"/>
      <c r="H249" s="413"/>
      <c r="I249" s="424"/>
      <c r="J249" s="404"/>
      <c r="K249" s="411"/>
      <c r="L249" s="185"/>
      <c r="M249" s="185"/>
      <c r="N249" s="426"/>
      <c r="O249" s="469"/>
    </row>
    <row r="250" spans="3:20" ht="15">
      <c r="D250" s="420"/>
      <c r="E250" s="285"/>
      <c r="F250" s="434"/>
      <c r="G250" s="422"/>
      <c r="H250" s="413"/>
      <c r="I250" s="424"/>
      <c r="J250" s="404"/>
      <c r="K250" s="411"/>
      <c r="L250" s="401"/>
      <c r="M250" s="185"/>
      <c r="N250" s="426"/>
      <c r="O250" s="469"/>
    </row>
    <row r="251" spans="3:20" ht="15">
      <c r="D251" s="420"/>
      <c r="E251" s="285"/>
      <c r="F251" s="434"/>
      <c r="G251" s="422"/>
      <c r="H251" s="413"/>
      <c r="I251" s="424"/>
      <c r="J251" s="404"/>
      <c r="K251" s="411"/>
      <c r="L251" s="185"/>
      <c r="M251" s="185"/>
      <c r="N251" s="426"/>
      <c r="O251" s="469"/>
    </row>
    <row r="252" spans="3:20">
      <c r="D252" s="11"/>
      <c r="E252" s="285"/>
      <c r="F252" s="435"/>
      <c r="G252" s="422"/>
      <c r="H252" s="16"/>
      <c r="I252" s="424"/>
      <c r="J252" s="404"/>
      <c r="K252" s="425"/>
      <c r="L252" s="185"/>
      <c r="M252" s="185"/>
      <c r="N252" s="426"/>
      <c r="O252" s="469"/>
    </row>
    <row r="253" spans="3:20" s="431" customFormat="1">
      <c r="C253" s="427"/>
      <c r="D253" s="420"/>
      <c r="E253" s="285"/>
      <c r="F253" s="421"/>
      <c r="G253" s="422"/>
      <c r="H253" s="423"/>
      <c r="I253" s="403"/>
      <c r="J253" s="404"/>
      <c r="K253" s="425"/>
      <c r="L253" s="15"/>
      <c r="M253" s="412"/>
      <c r="N253" s="426"/>
      <c r="O253" s="470"/>
      <c r="P253" s="440"/>
      <c r="Q253" s="446"/>
      <c r="R253" s="428"/>
      <c r="S253" s="429"/>
      <c r="T253" s="430"/>
    </row>
    <row r="254" spans="3:20">
      <c r="D254" s="420"/>
      <c r="E254" s="285"/>
      <c r="F254" s="421"/>
      <c r="G254" s="422"/>
      <c r="H254" s="423"/>
      <c r="I254" s="403"/>
      <c r="J254" s="404"/>
      <c r="K254" s="425"/>
      <c r="L254" s="15"/>
      <c r="M254" s="412"/>
      <c r="O254" s="469"/>
      <c r="P254" s="470"/>
      <c r="Q254" s="471"/>
    </row>
    <row r="255" spans="3:20">
      <c r="D255" s="420"/>
      <c r="E255" s="285"/>
      <c r="F255" s="421"/>
      <c r="G255" s="422"/>
      <c r="H255" s="423"/>
      <c r="I255" s="403"/>
      <c r="J255" s="404"/>
      <c r="K255" s="425"/>
      <c r="L255" s="15"/>
      <c r="M255" s="412"/>
    </row>
    <row r="256" spans="3:20">
      <c r="D256" s="420"/>
      <c r="E256" s="285"/>
      <c r="F256" s="421"/>
      <c r="G256" s="422"/>
      <c r="H256" s="423"/>
      <c r="I256" s="403"/>
      <c r="J256" s="404"/>
      <c r="K256" s="425"/>
      <c r="L256" s="15"/>
      <c r="M256" s="412"/>
    </row>
    <row r="257" spans="3:20">
      <c r="D257" s="420"/>
      <c r="E257" s="285"/>
      <c r="F257" s="421"/>
      <c r="G257" s="422"/>
      <c r="H257" s="423"/>
      <c r="I257" s="18"/>
      <c r="J257" s="404"/>
      <c r="K257" s="425"/>
      <c r="L257" s="15"/>
      <c r="M257" s="412"/>
      <c r="N257" s="432"/>
      <c r="O257" s="472"/>
      <c r="P257" s="457"/>
      <c r="Q257" s="458"/>
    </row>
    <row r="258" spans="3:20">
      <c r="D258" s="420"/>
      <c r="E258" s="285"/>
      <c r="F258" s="421"/>
      <c r="G258" s="422"/>
      <c r="H258" s="413"/>
      <c r="I258" s="424"/>
      <c r="J258" s="404"/>
      <c r="K258" s="425"/>
      <c r="L258" s="433"/>
      <c r="M258" s="15"/>
      <c r="N258" s="426"/>
      <c r="O258" s="469"/>
      <c r="P258" s="450"/>
    </row>
    <row r="259" spans="3:20" ht="15">
      <c r="D259" s="420"/>
      <c r="E259" s="285"/>
      <c r="F259" s="434"/>
      <c r="G259" s="422"/>
      <c r="H259" s="413"/>
      <c r="I259" s="424"/>
      <c r="J259" s="404"/>
      <c r="K259" s="411"/>
      <c r="L259" s="185"/>
      <c r="M259" s="185"/>
      <c r="N259" s="426"/>
      <c r="O259" s="469"/>
    </row>
    <row r="260" spans="3:20" ht="15">
      <c r="D260" s="420"/>
      <c r="E260" s="285"/>
      <c r="F260" s="434"/>
      <c r="G260" s="422"/>
      <c r="H260" s="413"/>
      <c r="I260" s="424"/>
      <c r="J260" s="404"/>
      <c r="K260" s="411"/>
      <c r="L260" s="401"/>
      <c r="M260" s="185"/>
      <c r="N260" s="426"/>
      <c r="O260" s="469"/>
    </row>
    <row r="261" spans="3:20" ht="15">
      <c r="D261" s="420"/>
      <c r="E261" s="285"/>
      <c r="F261" s="434"/>
      <c r="G261" s="422"/>
      <c r="H261" s="413"/>
      <c r="I261" s="424"/>
      <c r="J261" s="404"/>
      <c r="K261" s="411"/>
      <c r="L261" s="185"/>
      <c r="M261" s="185"/>
      <c r="N261" s="426"/>
      <c r="O261" s="469"/>
    </row>
    <row r="262" spans="3:20" s="431" customFormat="1">
      <c r="C262" s="427"/>
      <c r="D262" s="11"/>
      <c r="E262" s="285"/>
      <c r="F262" s="435"/>
      <c r="G262" s="422"/>
      <c r="H262" s="16"/>
      <c r="I262" s="403"/>
      <c r="J262" s="404"/>
      <c r="K262" s="425"/>
      <c r="L262" s="185"/>
      <c r="M262" s="185"/>
      <c r="N262" s="426"/>
      <c r="O262" s="470"/>
      <c r="P262" s="440"/>
      <c r="Q262" s="446"/>
      <c r="R262" s="428"/>
      <c r="S262" s="429"/>
      <c r="T262" s="430"/>
    </row>
    <row r="263" spans="3:20">
      <c r="D263" s="420"/>
      <c r="E263" s="285"/>
      <c r="F263" s="421"/>
      <c r="G263" s="422"/>
      <c r="H263" s="423"/>
      <c r="I263" s="403"/>
      <c r="J263" s="404"/>
      <c r="K263" s="425"/>
      <c r="L263" s="15"/>
      <c r="M263" s="412"/>
      <c r="O263" s="469"/>
      <c r="P263" s="470"/>
      <c r="Q263" s="471"/>
    </row>
    <row r="264" spans="3:20">
      <c r="D264" s="420"/>
      <c r="E264" s="285"/>
      <c r="F264" s="421"/>
      <c r="G264" s="422"/>
      <c r="H264" s="423"/>
      <c r="I264" s="403"/>
      <c r="J264" s="404"/>
      <c r="K264" s="425"/>
      <c r="L264" s="15"/>
      <c r="M264" s="412"/>
    </row>
    <row r="265" spans="3:20">
      <c r="D265" s="420"/>
      <c r="E265" s="285"/>
      <c r="F265" s="421"/>
      <c r="G265" s="422"/>
      <c r="H265" s="423"/>
      <c r="I265" s="403"/>
      <c r="J265" s="404"/>
      <c r="K265" s="425"/>
      <c r="L265" s="15"/>
      <c r="M265" s="412"/>
    </row>
    <row r="266" spans="3:20">
      <c r="D266" s="420"/>
      <c r="E266" s="285"/>
      <c r="F266" s="421"/>
      <c r="G266" s="422"/>
      <c r="H266" s="423"/>
      <c r="I266" s="18"/>
      <c r="J266" s="404"/>
      <c r="K266" s="425"/>
      <c r="L266" s="15"/>
      <c r="M266" s="412"/>
      <c r="N266" s="432"/>
      <c r="O266" s="472"/>
      <c r="P266" s="457"/>
      <c r="Q266" s="458"/>
    </row>
    <row r="267" spans="3:20">
      <c r="D267" s="420"/>
      <c r="E267" s="285"/>
      <c r="F267" s="421"/>
      <c r="G267" s="422"/>
      <c r="H267" s="413"/>
      <c r="I267" s="424"/>
      <c r="J267" s="404"/>
      <c r="K267" s="425"/>
      <c r="L267" s="433"/>
      <c r="M267" s="15"/>
      <c r="N267" s="426"/>
      <c r="O267" s="469"/>
      <c r="P267" s="450"/>
    </row>
    <row r="268" spans="3:20" ht="15">
      <c r="D268" s="420"/>
      <c r="E268" s="285"/>
      <c r="F268" s="434"/>
      <c r="G268" s="422"/>
      <c r="H268" s="413"/>
      <c r="I268" s="424"/>
      <c r="J268" s="404"/>
      <c r="K268" s="411"/>
      <c r="L268" s="185"/>
      <c r="M268" s="185"/>
      <c r="N268" s="426"/>
      <c r="O268" s="469"/>
    </row>
    <row r="269" spans="3:20" ht="15">
      <c r="D269" s="420"/>
      <c r="E269" s="285"/>
      <c r="F269" s="434"/>
      <c r="G269" s="422"/>
      <c r="H269" s="413"/>
      <c r="I269" s="424"/>
      <c r="J269" s="404"/>
      <c r="K269" s="411"/>
      <c r="L269" s="401"/>
      <c r="M269" s="185"/>
      <c r="N269" s="426"/>
      <c r="O269" s="469"/>
    </row>
    <row r="270" spans="3:20" ht="15">
      <c r="D270" s="420"/>
      <c r="E270" s="285"/>
      <c r="F270" s="434"/>
      <c r="G270" s="422"/>
      <c r="H270" s="413"/>
      <c r="I270" s="424"/>
      <c r="J270" s="404"/>
      <c r="K270" s="411"/>
      <c r="L270" s="185"/>
      <c r="M270" s="185"/>
      <c r="N270" s="426"/>
      <c r="O270" s="469"/>
    </row>
    <row r="271" spans="3:20">
      <c r="D271" s="11"/>
      <c r="E271" s="285"/>
      <c r="F271" s="435"/>
      <c r="G271" s="422"/>
      <c r="H271" s="16"/>
      <c r="I271" s="424"/>
      <c r="J271" s="404"/>
      <c r="K271" s="425"/>
      <c r="L271" s="185"/>
      <c r="M271" s="185"/>
      <c r="N271" s="426"/>
      <c r="O271" s="469"/>
    </row>
    <row r="272" spans="3:20" s="431" customFormat="1">
      <c r="C272" s="427"/>
      <c r="D272" s="420"/>
      <c r="E272" s="285"/>
      <c r="F272" s="421"/>
      <c r="G272" s="422"/>
      <c r="H272" s="423"/>
      <c r="I272" s="403"/>
      <c r="J272" s="404"/>
      <c r="K272" s="425"/>
      <c r="L272" s="15"/>
      <c r="M272" s="412"/>
      <c r="N272" s="426"/>
      <c r="O272" s="470"/>
      <c r="P272" s="440"/>
      <c r="Q272" s="446"/>
      <c r="R272" s="428"/>
      <c r="S272" s="429"/>
      <c r="T272" s="430"/>
    </row>
    <row r="273" spans="3:20">
      <c r="D273" s="420"/>
      <c r="E273" s="285"/>
      <c r="F273" s="421"/>
      <c r="G273" s="422"/>
      <c r="H273" s="423"/>
      <c r="I273" s="403"/>
      <c r="J273" s="404"/>
      <c r="K273" s="425"/>
      <c r="L273" s="15"/>
      <c r="M273" s="412"/>
      <c r="O273" s="469"/>
      <c r="P273" s="470"/>
      <c r="Q273" s="471"/>
    </row>
    <row r="274" spans="3:20">
      <c r="D274" s="420"/>
      <c r="E274" s="285"/>
      <c r="F274" s="421"/>
      <c r="G274" s="422"/>
      <c r="H274" s="423"/>
      <c r="I274" s="403"/>
      <c r="J274" s="404"/>
      <c r="K274" s="425"/>
      <c r="L274" s="15"/>
      <c r="M274" s="412"/>
    </row>
    <row r="275" spans="3:20">
      <c r="D275" s="420"/>
      <c r="E275" s="285"/>
      <c r="F275" s="421"/>
      <c r="G275" s="422"/>
      <c r="H275" s="423"/>
      <c r="I275" s="403"/>
      <c r="J275" s="404"/>
      <c r="K275" s="425"/>
      <c r="L275" s="15"/>
      <c r="M275" s="412"/>
    </row>
    <row r="276" spans="3:20">
      <c r="D276" s="420"/>
      <c r="E276" s="285"/>
      <c r="F276" s="421"/>
      <c r="G276" s="422"/>
      <c r="H276" s="423"/>
      <c r="I276" s="18"/>
      <c r="J276" s="404"/>
      <c r="K276" s="425"/>
      <c r="L276" s="15"/>
      <c r="M276" s="412"/>
      <c r="N276" s="432"/>
      <c r="O276" s="472"/>
      <c r="P276" s="457"/>
      <c r="Q276" s="458"/>
    </row>
    <row r="277" spans="3:20">
      <c r="D277" s="420"/>
      <c r="E277" s="285"/>
      <c r="F277" s="421"/>
      <c r="G277" s="422"/>
      <c r="H277" s="413"/>
      <c r="I277" s="424"/>
      <c r="J277" s="404"/>
      <c r="K277" s="425"/>
      <c r="L277" s="433"/>
      <c r="M277" s="15"/>
      <c r="N277" s="426"/>
      <c r="O277" s="469"/>
      <c r="P277" s="450"/>
    </row>
    <row r="278" spans="3:20" ht="15">
      <c r="D278" s="420"/>
      <c r="E278" s="285"/>
      <c r="F278" s="434"/>
      <c r="G278" s="422"/>
      <c r="H278" s="413"/>
      <c r="I278" s="424"/>
      <c r="J278" s="404"/>
      <c r="K278" s="411"/>
      <c r="L278" s="185"/>
      <c r="M278" s="185"/>
      <c r="N278" s="426"/>
      <c r="O278" s="469"/>
    </row>
    <row r="279" spans="3:20" ht="15">
      <c r="D279" s="420"/>
      <c r="E279" s="285"/>
      <c r="F279" s="434"/>
      <c r="G279" s="422"/>
      <c r="H279" s="413"/>
      <c r="I279" s="424"/>
      <c r="J279" s="404"/>
      <c r="K279" s="411"/>
      <c r="L279" s="401"/>
      <c r="M279" s="185"/>
      <c r="N279" s="426"/>
      <c r="O279" s="469"/>
    </row>
    <row r="280" spans="3:20" ht="15">
      <c r="D280" s="420"/>
      <c r="E280" s="285"/>
      <c r="F280" s="434"/>
      <c r="G280" s="422"/>
      <c r="H280" s="413"/>
      <c r="I280" s="424"/>
      <c r="J280" s="404"/>
      <c r="K280" s="411"/>
      <c r="L280" s="185"/>
      <c r="M280" s="185"/>
      <c r="N280" s="426"/>
      <c r="O280" s="469"/>
    </row>
    <row r="281" spans="3:20">
      <c r="D281" s="11"/>
      <c r="E281" s="285"/>
      <c r="F281" s="435"/>
      <c r="G281" s="422"/>
      <c r="H281" s="16"/>
      <c r="I281" s="424"/>
      <c r="J281" s="404"/>
      <c r="K281" s="425"/>
      <c r="L281" s="185"/>
      <c r="M281" s="185"/>
      <c r="N281" s="426"/>
      <c r="O281" s="469"/>
    </row>
    <row r="282" spans="3:20">
      <c r="D282" s="420"/>
      <c r="E282" s="285"/>
      <c r="F282" s="421"/>
      <c r="G282" s="422"/>
      <c r="H282" s="423"/>
      <c r="I282" s="424"/>
      <c r="J282" s="404"/>
      <c r="K282" s="425"/>
      <c r="L282" s="15"/>
      <c r="M282" s="412"/>
      <c r="N282" s="426"/>
      <c r="O282" s="469"/>
    </row>
    <row r="283" spans="3:20" s="431" customFormat="1">
      <c r="C283" s="427"/>
      <c r="D283" s="420"/>
      <c r="E283" s="285"/>
      <c r="F283" s="421"/>
      <c r="G283" s="422"/>
      <c r="H283" s="423"/>
      <c r="I283" s="403"/>
      <c r="J283" s="404"/>
      <c r="K283" s="425"/>
      <c r="L283" s="15"/>
      <c r="M283" s="412"/>
      <c r="N283" s="426"/>
      <c r="O283" s="470"/>
      <c r="P283" s="440"/>
      <c r="Q283" s="446"/>
      <c r="R283" s="428"/>
      <c r="S283" s="429"/>
      <c r="T283" s="430"/>
    </row>
    <row r="284" spans="3:20">
      <c r="D284" s="420"/>
      <c r="E284" s="285"/>
      <c r="F284" s="421"/>
      <c r="G284" s="422"/>
      <c r="H284" s="423"/>
      <c r="I284" s="403"/>
      <c r="J284" s="404"/>
      <c r="K284" s="425"/>
      <c r="L284" s="15"/>
      <c r="M284" s="412"/>
      <c r="O284" s="469"/>
      <c r="P284" s="470"/>
      <c r="Q284" s="471"/>
    </row>
    <row r="285" spans="3:20">
      <c r="D285" s="420"/>
      <c r="E285" s="285"/>
      <c r="F285" s="421"/>
      <c r="G285" s="422"/>
      <c r="H285" s="423"/>
      <c r="I285" s="403"/>
      <c r="J285" s="404"/>
      <c r="K285" s="425"/>
      <c r="L285" s="15"/>
      <c r="M285" s="412"/>
    </row>
    <row r="286" spans="3:20">
      <c r="D286" s="420"/>
      <c r="E286" s="285"/>
      <c r="F286" s="421"/>
      <c r="G286" s="422"/>
      <c r="H286" s="423"/>
      <c r="I286" s="403"/>
      <c r="J286" s="404"/>
      <c r="K286" s="425"/>
      <c r="L286" s="15"/>
      <c r="M286" s="412"/>
    </row>
    <row r="287" spans="3:20">
      <c r="D287" s="420"/>
      <c r="E287" s="285"/>
      <c r="F287" s="421"/>
      <c r="G287" s="422"/>
      <c r="H287" s="423"/>
      <c r="I287" s="18"/>
      <c r="J287" s="404"/>
      <c r="K287" s="425"/>
      <c r="L287" s="15"/>
      <c r="M287" s="412"/>
      <c r="N287" s="432"/>
      <c r="O287" s="472"/>
      <c r="P287" s="457"/>
      <c r="Q287" s="458"/>
    </row>
    <row r="288" spans="3:20">
      <c r="D288" s="420"/>
      <c r="E288" s="285"/>
      <c r="F288" s="421"/>
      <c r="G288" s="422"/>
      <c r="H288" s="413"/>
      <c r="I288" s="424"/>
      <c r="J288" s="404"/>
      <c r="K288" s="425"/>
      <c r="L288" s="433"/>
      <c r="M288" s="15"/>
      <c r="N288" s="426"/>
      <c r="O288" s="469"/>
      <c r="P288" s="450"/>
    </row>
    <row r="289" spans="3:20" ht="15">
      <c r="D289" s="420"/>
      <c r="E289" s="285"/>
      <c r="F289" s="434"/>
      <c r="G289" s="422"/>
      <c r="H289" s="413"/>
      <c r="I289" s="424"/>
      <c r="J289" s="404"/>
      <c r="K289" s="411"/>
      <c r="L289" s="185"/>
      <c r="M289" s="185"/>
      <c r="N289" s="426"/>
      <c r="O289" s="469"/>
    </row>
    <row r="290" spans="3:20" ht="15">
      <c r="D290" s="420"/>
      <c r="E290" s="285"/>
      <c r="F290" s="434"/>
      <c r="G290" s="422"/>
      <c r="H290" s="413"/>
      <c r="I290" s="424"/>
      <c r="J290" s="404"/>
      <c r="K290" s="411"/>
      <c r="L290" s="401"/>
      <c r="M290" s="185"/>
      <c r="N290" s="426"/>
      <c r="O290" s="469"/>
    </row>
    <row r="291" spans="3:20" ht="15">
      <c r="D291" s="420"/>
      <c r="E291" s="285"/>
      <c r="F291" s="434"/>
      <c r="G291" s="422"/>
      <c r="H291" s="413"/>
      <c r="I291" s="424"/>
      <c r="J291" s="404"/>
      <c r="K291" s="411"/>
      <c r="L291" s="185"/>
      <c r="M291" s="185"/>
      <c r="N291" s="426"/>
      <c r="O291" s="469"/>
    </row>
    <row r="292" spans="3:20">
      <c r="D292" s="11"/>
      <c r="E292" s="285"/>
      <c r="F292" s="435"/>
      <c r="G292" s="422"/>
      <c r="H292" s="16"/>
      <c r="I292" s="424"/>
      <c r="J292" s="404"/>
      <c r="K292" s="425"/>
      <c r="L292" s="185"/>
      <c r="M292" s="185"/>
      <c r="N292" s="426"/>
      <c r="O292" s="469"/>
    </row>
    <row r="293" spans="3:20" s="431" customFormat="1">
      <c r="C293" s="427"/>
      <c r="D293" s="420"/>
      <c r="E293" s="285"/>
      <c r="F293" s="421"/>
      <c r="G293" s="422"/>
      <c r="H293" s="423"/>
      <c r="I293" s="403"/>
      <c r="J293" s="404"/>
      <c r="K293" s="425"/>
      <c r="L293" s="15"/>
      <c r="M293" s="412"/>
      <c r="N293" s="426"/>
      <c r="O293" s="470"/>
      <c r="P293" s="440"/>
      <c r="Q293" s="446"/>
      <c r="R293" s="428"/>
      <c r="S293" s="429"/>
      <c r="T293" s="430"/>
    </row>
    <row r="294" spans="3:20">
      <c r="D294" s="420"/>
      <c r="E294" s="285"/>
      <c r="F294" s="421"/>
      <c r="G294" s="422"/>
      <c r="H294" s="423"/>
      <c r="I294" s="403"/>
      <c r="J294" s="404"/>
      <c r="K294" s="425"/>
      <c r="L294" s="15"/>
      <c r="M294" s="412"/>
      <c r="O294" s="469"/>
      <c r="P294" s="470"/>
      <c r="Q294" s="471"/>
    </row>
    <row r="295" spans="3:20">
      <c r="D295" s="420"/>
      <c r="E295" s="285"/>
      <c r="F295" s="421"/>
      <c r="G295" s="422"/>
      <c r="H295" s="423"/>
      <c r="I295" s="403"/>
      <c r="J295" s="404"/>
      <c r="K295" s="425"/>
      <c r="L295" s="15"/>
      <c r="M295" s="412"/>
    </row>
    <row r="296" spans="3:20">
      <c r="D296" s="420"/>
      <c r="E296" s="285"/>
      <c r="F296" s="421"/>
      <c r="G296" s="422"/>
      <c r="H296" s="423"/>
      <c r="I296" s="403"/>
      <c r="J296" s="404"/>
      <c r="K296" s="425"/>
      <c r="L296" s="15"/>
      <c r="M296" s="412"/>
    </row>
    <row r="297" spans="3:20">
      <c r="D297" s="420"/>
      <c r="E297" s="285"/>
      <c r="F297" s="421"/>
      <c r="G297" s="422"/>
      <c r="H297" s="423"/>
      <c r="I297" s="18"/>
      <c r="J297" s="404"/>
      <c r="K297" s="425"/>
      <c r="L297" s="15"/>
      <c r="M297" s="412"/>
      <c r="N297" s="432"/>
      <c r="O297" s="472"/>
      <c r="P297" s="457"/>
      <c r="Q297" s="458"/>
    </row>
    <row r="298" spans="3:20">
      <c r="D298" s="420"/>
      <c r="E298" s="285"/>
      <c r="F298" s="421"/>
      <c r="G298" s="422"/>
      <c r="H298" s="413"/>
      <c r="I298" s="424"/>
      <c r="J298" s="404"/>
      <c r="K298" s="425"/>
      <c r="L298" s="433"/>
      <c r="M298" s="15"/>
      <c r="N298" s="426"/>
      <c r="O298" s="469"/>
      <c r="P298" s="450"/>
    </row>
    <row r="299" spans="3:20" ht="15">
      <c r="D299" s="420"/>
      <c r="E299" s="285"/>
      <c r="F299" s="434"/>
      <c r="G299" s="422"/>
      <c r="H299" s="413"/>
      <c r="I299" s="424"/>
      <c r="J299" s="404"/>
      <c r="K299" s="411"/>
      <c r="L299" s="185"/>
      <c r="M299" s="185"/>
      <c r="N299" s="426"/>
      <c r="O299" s="469"/>
    </row>
    <row r="300" spans="3:20" ht="15">
      <c r="D300" s="420"/>
      <c r="E300" s="285"/>
      <c r="F300" s="434"/>
      <c r="G300" s="422"/>
      <c r="H300" s="413"/>
      <c r="I300" s="424"/>
      <c r="J300" s="404"/>
      <c r="K300" s="411"/>
      <c r="L300" s="401"/>
      <c r="M300" s="185"/>
      <c r="N300" s="426"/>
      <c r="O300" s="469"/>
    </row>
    <row r="301" spans="3:20" ht="15">
      <c r="D301" s="420"/>
      <c r="E301" s="285"/>
      <c r="F301" s="434"/>
      <c r="G301" s="422"/>
      <c r="H301" s="413"/>
      <c r="I301" s="424"/>
      <c r="J301" s="404"/>
      <c r="K301" s="411"/>
      <c r="L301" s="185"/>
      <c r="M301" s="185"/>
      <c r="N301" s="426"/>
      <c r="O301" s="469"/>
    </row>
    <row r="302" spans="3:20">
      <c r="D302" s="11"/>
      <c r="E302" s="285"/>
      <c r="F302" s="435"/>
      <c r="G302" s="422"/>
      <c r="H302" s="16"/>
      <c r="I302" s="424"/>
      <c r="J302" s="404"/>
      <c r="K302" s="425"/>
      <c r="L302" s="185"/>
      <c r="M302" s="185"/>
      <c r="N302" s="426"/>
      <c r="O302" s="469"/>
    </row>
    <row r="303" spans="3:20" s="431" customFormat="1">
      <c r="C303" s="427"/>
      <c r="D303" s="420"/>
      <c r="E303" s="285"/>
      <c r="F303" s="421"/>
      <c r="G303" s="422"/>
      <c r="H303" s="423"/>
      <c r="I303" s="403"/>
      <c r="J303" s="404"/>
      <c r="K303" s="425"/>
      <c r="L303" s="15"/>
      <c r="M303" s="412"/>
      <c r="N303" s="426"/>
      <c r="O303" s="470"/>
      <c r="P303" s="440"/>
      <c r="Q303" s="446"/>
      <c r="R303" s="428"/>
      <c r="S303" s="429"/>
      <c r="T303" s="430"/>
    </row>
    <row r="304" spans="3:20">
      <c r="D304" s="420"/>
      <c r="E304" s="285"/>
      <c r="F304" s="421"/>
      <c r="G304" s="422"/>
      <c r="H304" s="423"/>
      <c r="I304" s="403"/>
      <c r="J304" s="404"/>
      <c r="K304" s="425"/>
      <c r="L304" s="15"/>
      <c r="M304" s="412"/>
      <c r="O304" s="469"/>
      <c r="P304" s="470"/>
      <c r="Q304" s="471"/>
    </row>
    <row r="305" spans="3:20">
      <c r="D305" s="420"/>
      <c r="E305" s="285"/>
      <c r="F305" s="421"/>
      <c r="G305" s="422"/>
      <c r="H305" s="423"/>
      <c r="I305" s="403"/>
      <c r="J305" s="404"/>
      <c r="K305" s="425"/>
      <c r="L305" s="15"/>
      <c r="M305" s="412"/>
    </row>
    <row r="306" spans="3:20">
      <c r="D306" s="420"/>
      <c r="E306" s="285"/>
      <c r="F306" s="421"/>
      <c r="G306" s="422"/>
      <c r="H306" s="423"/>
      <c r="I306" s="403"/>
      <c r="J306" s="404"/>
      <c r="K306" s="425"/>
      <c r="L306" s="15"/>
      <c r="M306" s="412"/>
    </row>
    <row r="307" spans="3:20">
      <c r="D307" s="420"/>
      <c r="E307" s="285"/>
      <c r="F307" s="421"/>
      <c r="G307" s="422"/>
      <c r="H307" s="423"/>
      <c r="I307" s="18"/>
      <c r="J307" s="404"/>
      <c r="K307" s="425"/>
      <c r="L307" s="15"/>
      <c r="M307" s="412"/>
      <c r="N307" s="432"/>
      <c r="O307" s="472"/>
      <c r="P307" s="457"/>
      <c r="Q307" s="458"/>
    </row>
    <row r="308" spans="3:20">
      <c r="D308" s="420"/>
      <c r="E308" s="285"/>
      <c r="F308" s="421"/>
      <c r="G308" s="422"/>
      <c r="H308" s="413"/>
      <c r="I308" s="424"/>
      <c r="J308" s="404"/>
      <c r="K308" s="425"/>
      <c r="L308" s="433"/>
      <c r="M308" s="15"/>
      <c r="N308" s="426"/>
      <c r="O308" s="469"/>
      <c r="P308" s="450"/>
    </row>
    <row r="309" spans="3:20" ht="15">
      <c r="D309" s="420"/>
      <c r="E309" s="285"/>
      <c r="F309" s="434"/>
      <c r="G309" s="422"/>
      <c r="H309" s="413"/>
      <c r="I309" s="424"/>
      <c r="J309" s="404"/>
      <c r="K309" s="411"/>
      <c r="L309" s="185"/>
      <c r="M309" s="185"/>
      <c r="N309" s="426"/>
      <c r="O309" s="469"/>
    </row>
    <row r="310" spans="3:20" ht="15">
      <c r="D310" s="420"/>
      <c r="E310" s="285"/>
      <c r="F310" s="434"/>
      <c r="G310" s="422"/>
      <c r="H310" s="413"/>
      <c r="I310" s="424"/>
      <c r="J310" s="404"/>
      <c r="K310" s="411"/>
      <c r="L310" s="401"/>
      <c r="M310" s="185"/>
      <c r="N310" s="426"/>
      <c r="O310" s="469"/>
    </row>
    <row r="311" spans="3:20" ht="15">
      <c r="D311" s="420"/>
      <c r="E311" s="285"/>
      <c r="F311" s="434"/>
      <c r="G311" s="422"/>
      <c r="H311" s="413"/>
      <c r="I311" s="424"/>
      <c r="J311" s="404"/>
      <c r="K311" s="411"/>
      <c r="L311" s="185"/>
      <c r="M311" s="185"/>
      <c r="N311" s="426"/>
      <c r="O311" s="469"/>
    </row>
    <row r="312" spans="3:20">
      <c r="D312" s="11"/>
      <c r="E312" s="285"/>
      <c r="F312" s="435"/>
      <c r="G312" s="422"/>
      <c r="H312" s="16"/>
      <c r="I312" s="424"/>
      <c r="J312" s="404"/>
      <c r="K312" s="425"/>
      <c r="L312" s="185"/>
      <c r="M312" s="185"/>
      <c r="N312" s="426"/>
      <c r="O312" s="469"/>
    </row>
    <row r="313" spans="3:20" s="431" customFormat="1">
      <c r="C313" s="427"/>
      <c r="D313" s="420"/>
      <c r="E313" s="285"/>
      <c r="F313" s="421"/>
      <c r="G313" s="422"/>
      <c r="H313" s="423"/>
      <c r="I313" s="403"/>
      <c r="J313" s="404"/>
      <c r="K313" s="425"/>
      <c r="L313" s="15"/>
      <c r="M313" s="412"/>
      <c r="N313" s="426"/>
      <c r="O313" s="470"/>
      <c r="P313" s="440"/>
      <c r="Q313" s="446"/>
      <c r="R313" s="428"/>
      <c r="S313" s="429"/>
      <c r="T313" s="430"/>
    </row>
    <row r="314" spans="3:20">
      <c r="D314" s="420"/>
      <c r="E314" s="285"/>
      <c r="F314" s="421"/>
      <c r="G314" s="422"/>
      <c r="H314" s="423"/>
      <c r="I314" s="403"/>
      <c r="J314" s="404"/>
      <c r="K314" s="425"/>
      <c r="L314" s="15"/>
      <c r="M314" s="412"/>
      <c r="O314" s="469"/>
      <c r="P314" s="470"/>
      <c r="Q314" s="471"/>
    </row>
    <row r="315" spans="3:20">
      <c r="D315" s="420"/>
      <c r="E315" s="285"/>
      <c r="F315" s="421"/>
      <c r="G315" s="422"/>
      <c r="H315" s="423"/>
      <c r="I315" s="403"/>
      <c r="J315" s="404"/>
      <c r="K315" s="425"/>
      <c r="L315" s="15"/>
      <c r="M315" s="412"/>
    </row>
    <row r="316" spans="3:20">
      <c r="D316" s="420"/>
      <c r="E316" s="285"/>
      <c r="F316" s="421"/>
      <c r="G316" s="422"/>
      <c r="H316" s="423"/>
      <c r="I316" s="403"/>
      <c r="J316" s="404"/>
      <c r="K316" s="425"/>
      <c r="L316" s="15"/>
      <c r="M316" s="412"/>
    </row>
    <row r="317" spans="3:20">
      <c r="D317" s="420"/>
      <c r="E317" s="285"/>
      <c r="F317" s="421"/>
      <c r="G317" s="422"/>
      <c r="H317" s="423"/>
      <c r="I317" s="18"/>
      <c r="J317" s="404"/>
      <c r="K317" s="425"/>
      <c r="L317" s="15"/>
      <c r="M317" s="412"/>
      <c r="N317" s="432"/>
      <c r="O317" s="472"/>
      <c r="P317" s="457"/>
      <c r="Q317" s="458"/>
    </row>
    <row r="318" spans="3:20">
      <c r="D318" s="420"/>
      <c r="E318" s="285"/>
      <c r="F318" s="421"/>
      <c r="G318" s="422"/>
      <c r="H318" s="413"/>
      <c r="I318" s="424"/>
      <c r="J318" s="404"/>
      <c r="K318" s="425"/>
      <c r="L318" s="433"/>
      <c r="M318" s="15"/>
      <c r="N318" s="426"/>
      <c r="O318" s="469"/>
      <c r="P318" s="450"/>
    </row>
    <row r="319" spans="3:20" ht="15">
      <c r="D319" s="420"/>
      <c r="E319" s="285"/>
      <c r="F319" s="434"/>
      <c r="G319" s="422"/>
      <c r="H319" s="413"/>
      <c r="I319" s="424"/>
      <c r="J319" s="404"/>
      <c r="K319" s="411"/>
      <c r="L319" s="185"/>
      <c r="M319" s="185"/>
      <c r="N319" s="426"/>
      <c r="O319" s="469"/>
    </row>
    <row r="320" spans="3:20" ht="15">
      <c r="D320" s="420"/>
      <c r="E320" s="285"/>
      <c r="F320" s="434"/>
      <c r="G320" s="422"/>
      <c r="H320" s="413"/>
      <c r="I320" s="424"/>
      <c r="J320" s="404"/>
      <c r="K320" s="411"/>
      <c r="L320" s="401"/>
      <c r="M320" s="185"/>
      <c r="N320" s="426"/>
      <c r="O320" s="469"/>
    </row>
    <row r="321" spans="3:20" s="431" customFormat="1" ht="15">
      <c r="C321" s="427"/>
      <c r="D321" s="420"/>
      <c r="E321" s="285"/>
      <c r="F321" s="434"/>
      <c r="G321" s="422"/>
      <c r="H321" s="413"/>
      <c r="I321" s="403"/>
      <c r="J321" s="404"/>
      <c r="K321" s="411"/>
      <c r="L321" s="185"/>
      <c r="M321" s="185"/>
      <c r="N321" s="426"/>
      <c r="O321" s="470"/>
      <c r="P321" s="440"/>
      <c r="Q321" s="446"/>
      <c r="R321" s="428"/>
      <c r="S321" s="429"/>
      <c r="T321" s="430"/>
    </row>
    <row r="322" spans="3:20">
      <c r="D322" s="11"/>
      <c r="E322" s="285"/>
      <c r="F322" s="435"/>
      <c r="G322" s="422"/>
      <c r="H322" s="16"/>
      <c r="I322" s="403"/>
      <c r="J322" s="404"/>
      <c r="K322" s="425"/>
      <c r="L322" s="185"/>
      <c r="M322" s="185"/>
      <c r="O322" s="469"/>
      <c r="P322" s="470"/>
      <c r="Q322" s="471"/>
    </row>
    <row r="323" spans="3:20">
      <c r="D323" s="420"/>
      <c r="E323" s="285"/>
      <c r="F323" s="421"/>
      <c r="G323" s="422"/>
      <c r="H323" s="423"/>
      <c r="I323" s="403"/>
      <c r="J323" s="404"/>
      <c r="K323" s="425"/>
      <c r="L323" s="15"/>
      <c r="M323" s="412"/>
    </row>
    <row r="324" spans="3:20">
      <c r="D324" s="420"/>
      <c r="E324" s="285"/>
      <c r="F324" s="421"/>
      <c r="G324" s="422"/>
      <c r="H324" s="423"/>
      <c r="I324" s="403"/>
      <c r="J324" s="404"/>
      <c r="K324" s="425"/>
      <c r="L324" s="15"/>
      <c r="M324" s="412"/>
    </row>
    <row r="325" spans="3:20">
      <c r="D325" s="420"/>
      <c r="E325" s="285"/>
      <c r="F325" s="421"/>
      <c r="G325" s="422"/>
      <c r="H325" s="423"/>
      <c r="I325" s="18"/>
      <c r="J325" s="404"/>
      <c r="K325" s="425"/>
      <c r="L325" s="15"/>
      <c r="M325" s="412"/>
      <c r="N325" s="432"/>
      <c r="O325" s="472"/>
      <c r="P325" s="457"/>
      <c r="Q325" s="458"/>
    </row>
    <row r="326" spans="3:20">
      <c r="D326" s="420"/>
      <c r="E326" s="285"/>
      <c r="F326" s="421"/>
      <c r="G326" s="422"/>
      <c r="H326" s="413"/>
      <c r="I326" s="285"/>
      <c r="J326" s="404"/>
      <c r="K326" s="425"/>
      <c r="L326" s="433"/>
      <c r="M326" s="15"/>
      <c r="N326" s="426"/>
      <c r="O326" s="469"/>
      <c r="P326" s="450"/>
    </row>
    <row r="327" spans="3:20" ht="15">
      <c r="D327" s="420"/>
      <c r="E327" s="285"/>
      <c r="F327" s="434"/>
      <c r="G327" s="422"/>
      <c r="H327" s="413"/>
      <c r="I327" s="285"/>
      <c r="J327" s="404"/>
      <c r="K327" s="411"/>
      <c r="L327" s="185"/>
      <c r="M327" s="185"/>
      <c r="N327" s="426"/>
      <c r="O327" s="469"/>
    </row>
    <row r="328" spans="3:20" ht="15">
      <c r="D328" s="420"/>
      <c r="E328" s="285"/>
      <c r="F328" s="434"/>
      <c r="G328" s="422"/>
      <c r="H328" s="413"/>
      <c r="I328" s="285"/>
      <c r="J328" s="404"/>
      <c r="K328" s="411"/>
      <c r="L328" s="401"/>
      <c r="M328" s="185"/>
      <c r="N328" s="426"/>
      <c r="O328" s="469"/>
    </row>
    <row r="329" spans="3:20" ht="15">
      <c r="D329" s="420"/>
      <c r="E329" s="285"/>
      <c r="F329" s="434"/>
      <c r="G329" s="422"/>
      <c r="H329" s="413"/>
      <c r="I329" s="285"/>
      <c r="J329" s="404"/>
      <c r="K329" s="411"/>
      <c r="L329" s="185"/>
      <c r="M329" s="185"/>
      <c r="N329" s="426"/>
      <c r="O329" s="469"/>
    </row>
    <row r="330" spans="3:20">
      <c r="D330" s="11"/>
      <c r="E330" s="285"/>
      <c r="F330" s="435"/>
      <c r="G330" s="422"/>
      <c r="H330" s="16"/>
      <c r="I330" s="403"/>
      <c r="J330" s="404"/>
      <c r="K330" s="425"/>
      <c r="L330" s="185"/>
      <c r="M330" s="185"/>
      <c r="O330" s="469"/>
      <c r="P330" s="470"/>
      <c r="Q330" s="471"/>
    </row>
    <row r="331" spans="3:20">
      <c r="D331" s="420"/>
      <c r="E331" s="285"/>
      <c r="F331" s="436"/>
      <c r="G331" s="422"/>
      <c r="H331" s="16"/>
      <c r="I331" s="403"/>
      <c r="J331" s="404"/>
      <c r="K331" s="425"/>
      <c r="L331" s="15"/>
      <c r="M331" s="437"/>
    </row>
    <row r="332" spans="3:20">
      <c r="D332" s="420"/>
      <c r="E332" s="285"/>
      <c r="F332" s="436"/>
      <c r="G332" s="422"/>
      <c r="H332" s="16"/>
      <c r="I332" s="403"/>
      <c r="J332" s="404"/>
      <c r="K332" s="425"/>
      <c r="L332" s="15"/>
      <c r="M332" s="437"/>
    </row>
    <row r="333" spans="3:20">
      <c r="D333" s="420"/>
      <c r="E333" s="285"/>
      <c r="F333" s="436"/>
      <c r="G333" s="422"/>
      <c r="H333" s="16"/>
      <c r="I333" s="18"/>
      <c r="J333" s="404"/>
      <c r="K333" s="425"/>
      <c r="L333" s="15"/>
      <c r="M333" s="437"/>
      <c r="N333" s="432"/>
      <c r="O333" s="472"/>
      <c r="P333" s="457"/>
      <c r="Q333" s="458"/>
    </row>
    <row r="334" spans="3:20">
      <c r="D334" s="420"/>
      <c r="E334" s="285"/>
      <c r="F334" s="436"/>
      <c r="G334" s="422"/>
      <c r="H334" s="16"/>
      <c r="I334" s="378"/>
      <c r="J334" s="404"/>
      <c r="K334" s="425"/>
      <c r="L334" s="15"/>
      <c r="M334" s="437"/>
      <c r="N334" s="426"/>
      <c r="O334" s="469"/>
      <c r="P334" s="450"/>
    </row>
    <row r="335" spans="3:20" ht="15">
      <c r="D335" s="420"/>
      <c r="E335" s="285"/>
      <c r="F335" s="434"/>
      <c r="G335" s="422"/>
      <c r="H335" s="413"/>
      <c r="I335" s="378"/>
      <c r="J335" s="404"/>
      <c r="K335" s="411"/>
      <c r="L335" s="185"/>
      <c r="M335" s="185"/>
      <c r="N335" s="426"/>
      <c r="O335" s="469"/>
    </row>
    <row r="336" spans="3:20" ht="15">
      <c r="D336" s="420"/>
      <c r="E336" s="285"/>
      <c r="F336" s="434"/>
      <c r="G336" s="422"/>
      <c r="H336" s="413"/>
      <c r="I336" s="378"/>
      <c r="J336" s="404"/>
      <c r="K336" s="411"/>
      <c r="L336" s="401"/>
      <c r="M336" s="185"/>
      <c r="N336" s="426"/>
      <c r="O336" s="469"/>
    </row>
    <row r="337" spans="3:20" ht="15">
      <c r="D337" s="420"/>
      <c r="E337" s="285"/>
      <c r="F337" s="434"/>
      <c r="G337" s="422"/>
      <c r="H337" s="413"/>
      <c r="I337" s="378"/>
      <c r="J337" s="404"/>
      <c r="K337" s="411"/>
      <c r="L337" s="185"/>
      <c r="M337" s="185"/>
      <c r="N337" s="426"/>
      <c r="O337" s="469"/>
    </row>
    <row r="338" spans="3:20">
      <c r="D338" s="11"/>
      <c r="E338" s="285"/>
      <c r="F338" s="435"/>
      <c r="G338" s="422"/>
      <c r="H338" s="16"/>
      <c r="I338" s="403"/>
      <c r="J338" s="404"/>
      <c r="K338" s="425"/>
      <c r="L338" s="185"/>
      <c r="M338" s="185"/>
      <c r="O338" s="469"/>
      <c r="P338" s="470"/>
      <c r="Q338" s="471"/>
    </row>
    <row r="339" spans="3:20">
      <c r="D339" s="420"/>
      <c r="E339" s="285"/>
      <c r="F339" s="438"/>
      <c r="G339" s="422"/>
      <c r="H339" s="415"/>
      <c r="I339" s="403"/>
      <c r="J339" s="404"/>
      <c r="K339" s="425"/>
      <c r="L339" s="15"/>
      <c r="M339" s="437"/>
    </row>
    <row r="340" spans="3:20">
      <c r="D340" s="420"/>
      <c r="E340" s="285"/>
      <c r="F340" s="438"/>
      <c r="G340" s="422"/>
      <c r="H340" s="415"/>
      <c r="I340" s="403"/>
      <c r="J340" s="404"/>
      <c r="K340" s="425"/>
      <c r="L340" s="15"/>
      <c r="M340" s="437"/>
    </row>
    <row r="341" spans="3:20">
      <c r="D341" s="420"/>
      <c r="E341" s="285"/>
      <c r="F341" s="438"/>
      <c r="G341" s="422"/>
      <c r="H341" s="415"/>
      <c r="I341" s="18"/>
      <c r="J341" s="404"/>
      <c r="K341" s="425"/>
      <c r="L341" s="15"/>
      <c r="M341" s="437"/>
      <c r="N341" s="432"/>
      <c r="O341" s="472"/>
      <c r="P341" s="457"/>
      <c r="Q341" s="458"/>
    </row>
    <row r="342" spans="3:20">
      <c r="D342" s="420"/>
      <c r="E342" s="285"/>
      <c r="F342" s="438"/>
      <c r="G342" s="422"/>
      <c r="H342" s="415"/>
      <c r="I342" s="424"/>
      <c r="J342" s="404"/>
      <c r="K342" s="425"/>
      <c r="L342" s="15"/>
      <c r="M342" s="437"/>
      <c r="N342" s="426"/>
      <c r="O342" s="469"/>
      <c r="P342" s="450"/>
    </row>
    <row r="343" spans="3:20" ht="15">
      <c r="D343" s="420"/>
      <c r="E343" s="285"/>
      <c r="F343" s="434"/>
      <c r="G343" s="422"/>
      <c r="H343" s="413"/>
      <c r="I343" s="424"/>
      <c r="J343" s="404"/>
      <c r="K343" s="411"/>
      <c r="L343" s="185"/>
      <c r="M343" s="185"/>
      <c r="N343" s="426"/>
      <c r="O343" s="469"/>
    </row>
    <row r="344" spans="3:20" s="431" customFormat="1" ht="15">
      <c r="C344" s="427"/>
      <c r="D344" s="420"/>
      <c r="E344" s="285"/>
      <c r="F344" s="434"/>
      <c r="G344" s="422"/>
      <c r="H344" s="413"/>
      <c r="I344" s="403"/>
      <c r="J344" s="404"/>
      <c r="K344" s="411"/>
      <c r="L344" s="401"/>
      <c r="M344" s="185"/>
      <c r="N344" s="426"/>
      <c r="O344" s="470"/>
      <c r="P344" s="440"/>
      <c r="Q344" s="446"/>
      <c r="R344" s="428"/>
      <c r="S344" s="429"/>
      <c r="T344" s="430"/>
    </row>
    <row r="345" spans="3:20" ht="15">
      <c r="D345" s="420"/>
      <c r="E345" s="285"/>
      <c r="F345" s="434"/>
      <c r="G345" s="422"/>
      <c r="H345" s="413"/>
      <c r="I345" s="403"/>
      <c r="J345" s="404"/>
      <c r="K345" s="411"/>
      <c r="L345" s="185"/>
      <c r="M345" s="185"/>
      <c r="O345" s="469"/>
      <c r="P345" s="470"/>
      <c r="Q345" s="471"/>
    </row>
    <row r="346" spans="3:20">
      <c r="D346" s="11"/>
      <c r="E346" s="285"/>
      <c r="F346" s="435"/>
      <c r="G346" s="422"/>
      <c r="H346" s="16"/>
      <c r="I346" s="403"/>
      <c r="J346" s="404"/>
      <c r="K346" s="425"/>
      <c r="L346" s="185"/>
      <c r="M346" s="185"/>
    </row>
    <row r="347" spans="3:20">
      <c r="D347" s="420"/>
      <c r="E347" s="285"/>
      <c r="F347" s="421"/>
      <c r="G347" s="422"/>
      <c r="H347" s="413"/>
      <c r="I347" s="403"/>
      <c r="J347" s="404"/>
      <c r="K347" s="425"/>
      <c r="L347" s="15"/>
      <c r="M347" s="412"/>
    </row>
    <row r="348" spans="3:20">
      <c r="D348" s="420"/>
      <c r="E348" s="285"/>
      <c r="F348" s="421"/>
      <c r="G348" s="422"/>
      <c r="H348" s="423"/>
      <c r="I348" s="18"/>
      <c r="J348" s="404"/>
      <c r="K348" s="425"/>
      <c r="L348" s="15"/>
      <c r="M348" s="412"/>
      <c r="N348" s="432"/>
      <c r="O348" s="472"/>
      <c r="P348" s="457"/>
      <c r="Q348" s="458"/>
    </row>
    <row r="349" spans="3:20">
      <c r="D349" s="420"/>
      <c r="E349" s="285"/>
      <c r="F349" s="421"/>
      <c r="G349" s="422"/>
      <c r="H349" s="413"/>
      <c r="I349" s="424"/>
      <c r="J349" s="404"/>
      <c r="K349" s="425"/>
      <c r="L349" s="433"/>
      <c r="M349" s="15"/>
      <c r="N349" s="426"/>
      <c r="O349" s="469"/>
      <c r="P349" s="450"/>
    </row>
    <row r="350" spans="3:20" ht="15">
      <c r="D350" s="420"/>
      <c r="E350" s="285"/>
      <c r="F350" s="434"/>
      <c r="G350" s="422"/>
      <c r="H350" s="413"/>
      <c r="I350" s="424"/>
      <c r="J350" s="404"/>
      <c r="K350" s="411"/>
      <c r="L350" s="185"/>
      <c r="M350" s="185"/>
      <c r="N350" s="426"/>
      <c r="O350" s="469"/>
    </row>
    <row r="351" spans="3:20" s="431" customFormat="1" ht="15">
      <c r="C351" s="427"/>
      <c r="D351" s="420"/>
      <c r="E351" s="285"/>
      <c r="F351" s="434"/>
      <c r="G351" s="422"/>
      <c r="H351" s="413"/>
      <c r="I351" s="403"/>
      <c r="J351" s="404"/>
      <c r="K351" s="411"/>
      <c r="L351" s="401"/>
      <c r="M351" s="185"/>
      <c r="N351" s="426"/>
      <c r="O351" s="470"/>
      <c r="P351" s="440"/>
      <c r="Q351" s="446"/>
      <c r="R351" s="428"/>
      <c r="S351" s="429"/>
      <c r="T351" s="430"/>
    </row>
    <row r="352" spans="3:20" ht="15">
      <c r="D352" s="420"/>
      <c r="E352" s="285"/>
      <c r="F352" s="434"/>
      <c r="G352" s="422"/>
      <c r="H352" s="413"/>
      <c r="I352" s="403"/>
      <c r="J352" s="404"/>
      <c r="K352" s="411"/>
      <c r="L352" s="185"/>
      <c r="M352" s="185"/>
      <c r="O352" s="469"/>
      <c r="P352" s="470"/>
      <c r="Q352" s="471"/>
    </row>
    <row r="353" spans="3:20">
      <c r="D353" s="11"/>
      <c r="E353" s="285"/>
      <c r="F353" s="435"/>
      <c r="G353" s="422"/>
      <c r="H353" s="16"/>
      <c r="I353" s="403"/>
      <c r="J353" s="404"/>
      <c r="K353" s="425"/>
      <c r="L353" s="185"/>
      <c r="M353" s="185"/>
    </row>
    <row r="354" spans="3:20">
      <c r="D354" s="420"/>
      <c r="E354" s="285"/>
      <c r="F354" s="421"/>
      <c r="G354" s="422"/>
      <c r="H354" s="413"/>
      <c r="I354" s="403"/>
      <c r="J354" s="404"/>
      <c r="K354" s="425"/>
      <c r="L354" s="15"/>
      <c r="M354" s="412"/>
    </row>
    <row r="355" spans="3:20">
      <c r="D355" s="420"/>
      <c r="E355" s="285"/>
      <c r="F355" s="421"/>
      <c r="G355" s="422"/>
      <c r="H355" s="423"/>
      <c r="I355" s="18"/>
      <c r="J355" s="404"/>
      <c r="K355" s="425"/>
      <c r="L355" s="15"/>
      <c r="M355" s="412"/>
      <c r="N355" s="432"/>
      <c r="O355" s="472"/>
      <c r="P355" s="457"/>
      <c r="Q355" s="458"/>
    </row>
    <row r="356" spans="3:20">
      <c r="D356" s="420"/>
      <c r="E356" s="285"/>
      <c r="F356" s="421"/>
      <c r="G356" s="422"/>
      <c r="H356" s="413"/>
      <c r="I356" s="424"/>
      <c r="J356" s="404"/>
      <c r="K356" s="425"/>
      <c r="L356" s="433"/>
      <c r="M356" s="15"/>
      <c r="N356" s="426"/>
      <c r="O356" s="469"/>
      <c r="P356" s="450"/>
    </row>
    <row r="357" spans="3:20" ht="15">
      <c r="D357" s="420"/>
      <c r="E357" s="285"/>
      <c r="F357" s="434"/>
      <c r="G357" s="422"/>
      <c r="H357" s="413"/>
      <c r="I357" s="424"/>
      <c r="J357" s="404"/>
      <c r="K357" s="411"/>
      <c r="L357" s="185"/>
      <c r="M357" s="185"/>
      <c r="N357" s="426"/>
      <c r="O357" s="469"/>
    </row>
    <row r="358" spans="3:20" s="431" customFormat="1" ht="15">
      <c r="C358" s="427"/>
      <c r="D358" s="420"/>
      <c r="E358" s="285"/>
      <c r="F358" s="434"/>
      <c r="G358" s="422"/>
      <c r="H358" s="413"/>
      <c r="I358" s="403"/>
      <c r="J358" s="404"/>
      <c r="K358" s="411"/>
      <c r="L358" s="401"/>
      <c r="M358" s="185"/>
      <c r="N358" s="426"/>
      <c r="O358" s="470"/>
      <c r="P358" s="440"/>
      <c r="Q358" s="446"/>
      <c r="R358" s="428"/>
      <c r="S358" s="429"/>
      <c r="T358" s="430"/>
    </row>
    <row r="359" spans="3:20" ht="15">
      <c r="D359" s="420"/>
      <c r="E359" s="285"/>
      <c r="F359" s="434"/>
      <c r="G359" s="422"/>
      <c r="H359" s="413"/>
      <c r="I359" s="403"/>
      <c r="J359" s="404"/>
      <c r="K359" s="411"/>
      <c r="L359" s="185"/>
      <c r="M359" s="185"/>
      <c r="O359" s="469"/>
      <c r="P359" s="470"/>
      <c r="Q359" s="471"/>
    </row>
    <row r="360" spans="3:20">
      <c r="D360" s="11"/>
      <c r="E360" s="285"/>
      <c r="F360" s="435"/>
      <c r="G360" s="422"/>
      <c r="H360" s="16"/>
      <c r="I360" s="403"/>
      <c r="J360" s="404"/>
      <c r="K360" s="425"/>
      <c r="L360" s="185"/>
      <c r="M360" s="185"/>
    </row>
    <row r="361" spans="3:20">
      <c r="D361" s="420"/>
      <c r="E361" s="285"/>
      <c r="F361" s="421"/>
      <c r="G361" s="422"/>
      <c r="H361" s="413"/>
      <c r="I361" s="403"/>
      <c r="J361" s="404"/>
      <c r="K361" s="425"/>
      <c r="L361" s="15"/>
      <c r="M361" s="412"/>
    </row>
    <row r="362" spans="3:20">
      <c r="D362" s="420"/>
      <c r="E362" s="285"/>
      <c r="F362" s="421"/>
      <c r="G362" s="422"/>
      <c r="H362" s="423"/>
      <c r="I362" s="18"/>
      <c r="J362" s="404"/>
      <c r="K362" s="425"/>
      <c r="L362" s="15"/>
      <c r="M362" s="412"/>
      <c r="N362" s="432"/>
      <c r="O362" s="472"/>
      <c r="P362" s="457"/>
      <c r="Q362" s="458"/>
    </row>
    <row r="363" spans="3:20">
      <c r="D363" s="420"/>
      <c r="E363" s="285"/>
      <c r="F363" s="421"/>
      <c r="G363" s="422"/>
      <c r="H363" s="413"/>
      <c r="I363" s="424"/>
      <c r="J363" s="404"/>
      <c r="K363" s="425"/>
      <c r="L363" s="433"/>
      <c r="M363" s="15"/>
      <c r="N363" s="426"/>
      <c r="O363" s="469"/>
      <c r="P363" s="450"/>
    </row>
    <row r="364" spans="3:20" ht="15">
      <c r="D364" s="420"/>
      <c r="E364" s="285"/>
      <c r="F364" s="434"/>
      <c r="G364" s="422"/>
      <c r="H364" s="413"/>
      <c r="I364" s="424"/>
      <c r="J364" s="404"/>
      <c r="K364" s="411"/>
      <c r="L364" s="185"/>
      <c r="M364" s="185"/>
      <c r="N364" s="426"/>
      <c r="O364" s="469"/>
    </row>
    <row r="365" spans="3:20" ht="15">
      <c r="D365" s="420"/>
      <c r="E365" s="285"/>
      <c r="F365" s="434"/>
      <c r="G365" s="422"/>
      <c r="H365" s="413"/>
      <c r="I365" s="424"/>
      <c r="J365" s="404"/>
      <c r="K365" s="411"/>
      <c r="L365" s="401"/>
      <c r="M365" s="185"/>
      <c r="N365" s="426"/>
      <c r="O365" s="469"/>
    </row>
    <row r="366" spans="3:20" ht="15">
      <c r="D366" s="420"/>
      <c r="E366" s="285"/>
      <c r="F366" s="434"/>
      <c r="G366" s="422"/>
      <c r="H366" s="413"/>
      <c r="I366" s="424"/>
      <c r="J366" s="404"/>
      <c r="K366" s="411"/>
      <c r="L366" s="185"/>
      <c r="M366" s="185"/>
      <c r="N366" s="426"/>
      <c r="O366" s="469"/>
    </row>
    <row r="367" spans="3:20" s="431" customFormat="1">
      <c r="C367" s="427"/>
      <c r="D367" s="11"/>
      <c r="E367" s="285"/>
      <c r="F367" s="435"/>
      <c r="G367" s="422"/>
      <c r="H367" s="16"/>
      <c r="I367" s="403"/>
      <c r="J367" s="404"/>
      <c r="K367" s="425"/>
      <c r="L367" s="185"/>
      <c r="M367" s="185"/>
      <c r="N367" s="426"/>
      <c r="O367" s="470"/>
      <c r="P367" s="440"/>
      <c r="Q367" s="446"/>
      <c r="R367" s="428"/>
      <c r="S367" s="429"/>
      <c r="T367" s="430"/>
    </row>
    <row r="368" spans="3:20">
      <c r="D368" s="420"/>
      <c r="E368" s="285"/>
      <c r="F368" s="421"/>
      <c r="G368" s="422"/>
      <c r="H368" s="423"/>
      <c r="I368" s="403"/>
      <c r="J368" s="404"/>
      <c r="K368" s="425"/>
      <c r="L368" s="15"/>
      <c r="M368" s="412"/>
      <c r="O368" s="469"/>
      <c r="P368" s="470"/>
      <c r="Q368" s="471"/>
    </row>
    <row r="369" spans="3:20">
      <c r="D369" s="420"/>
      <c r="E369" s="285"/>
      <c r="F369" s="421"/>
      <c r="G369" s="422"/>
      <c r="H369" s="423"/>
      <c r="I369" s="403"/>
      <c r="J369" s="404"/>
      <c r="K369" s="425"/>
      <c r="L369" s="15"/>
      <c r="M369" s="412"/>
    </row>
    <row r="370" spans="3:20">
      <c r="D370" s="420"/>
      <c r="E370" s="285"/>
      <c r="F370" s="421"/>
      <c r="G370" s="422"/>
      <c r="H370" s="423"/>
      <c r="I370" s="403"/>
      <c r="J370" s="404"/>
      <c r="K370" s="425"/>
      <c r="L370" s="15"/>
      <c r="M370" s="412"/>
    </row>
    <row r="371" spans="3:20">
      <c r="D371" s="420"/>
      <c r="E371" s="285"/>
      <c r="F371" s="421"/>
      <c r="G371" s="422"/>
      <c r="H371" s="423"/>
      <c r="I371" s="18"/>
      <c r="J371" s="404"/>
      <c r="K371" s="425"/>
      <c r="L371" s="15"/>
      <c r="M371" s="412"/>
      <c r="N371" s="432"/>
      <c r="O371" s="472"/>
      <c r="P371" s="457"/>
      <c r="Q371" s="458"/>
    </row>
    <row r="372" spans="3:20">
      <c r="D372" s="420"/>
      <c r="E372" s="285"/>
      <c r="F372" s="421"/>
      <c r="G372" s="422"/>
      <c r="H372" s="413"/>
      <c r="I372" s="424"/>
      <c r="J372" s="404"/>
      <c r="K372" s="425"/>
      <c r="L372" s="433"/>
      <c r="M372" s="15"/>
      <c r="N372" s="426"/>
      <c r="O372" s="469"/>
      <c r="P372" s="450"/>
    </row>
    <row r="373" spans="3:20" ht="15">
      <c r="D373" s="420"/>
      <c r="E373" s="285"/>
      <c r="F373" s="434"/>
      <c r="G373" s="422"/>
      <c r="H373" s="413"/>
      <c r="I373" s="424"/>
      <c r="J373" s="404"/>
      <c r="K373" s="411"/>
      <c r="L373" s="185"/>
      <c r="M373" s="185"/>
      <c r="N373" s="426"/>
      <c r="O373" s="469"/>
    </row>
    <row r="374" spans="3:20" ht="15">
      <c r="D374" s="420"/>
      <c r="E374" s="285"/>
      <c r="F374" s="434"/>
      <c r="G374" s="422"/>
      <c r="H374" s="413"/>
      <c r="I374" s="424"/>
      <c r="J374" s="404"/>
      <c r="K374" s="411"/>
      <c r="L374" s="401"/>
      <c r="M374" s="185"/>
      <c r="N374" s="426"/>
      <c r="O374" s="469"/>
    </row>
    <row r="375" spans="3:20" ht="15">
      <c r="D375" s="420"/>
      <c r="E375" s="285"/>
      <c r="F375" s="434"/>
      <c r="G375" s="422"/>
      <c r="H375" s="413"/>
      <c r="I375" s="424"/>
      <c r="J375" s="404"/>
      <c r="K375" s="411"/>
      <c r="L375" s="185"/>
      <c r="M375" s="185"/>
      <c r="N375" s="426"/>
      <c r="O375" s="469"/>
    </row>
    <row r="376" spans="3:20" s="431" customFormat="1">
      <c r="C376" s="427"/>
      <c r="D376" s="11"/>
      <c r="E376" s="285"/>
      <c r="F376" s="435"/>
      <c r="G376" s="422"/>
      <c r="H376" s="16"/>
      <c r="I376" s="403"/>
      <c r="J376" s="404"/>
      <c r="K376" s="425"/>
      <c r="L376" s="185"/>
      <c r="M376" s="185"/>
      <c r="N376" s="426"/>
      <c r="O376" s="470"/>
      <c r="P376" s="440"/>
      <c r="Q376" s="446"/>
      <c r="R376" s="428"/>
      <c r="S376" s="429"/>
      <c r="T376" s="430"/>
    </row>
    <row r="377" spans="3:20">
      <c r="D377" s="420"/>
      <c r="E377" s="285"/>
      <c r="F377" s="421"/>
      <c r="G377" s="422"/>
      <c r="H377" s="423"/>
      <c r="I377" s="403"/>
      <c r="J377" s="404"/>
      <c r="K377" s="425"/>
      <c r="L377" s="15"/>
      <c r="M377" s="412"/>
      <c r="O377" s="469"/>
      <c r="P377" s="470"/>
      <c r="Q377" s="471"/>
    </row>
    <row r="378" spans="3:20">
      <c r="D378" s="420"/>
      <c r="E378" s="285"/>
      <c r="F378" s="421"/>
      <c r="G378" s="422"/>
      <c r="H378" s="423"/>
      <c r="I378" s="403"/>
      <c r="J378" s="404"/>
      <c r="K378" s="425"/>
      <c r="L378" s="15"/>
      <c r="M378" s="412"/>
    </row>
    <row r="379" spans="3:20">
      <c r="D379" s="420"/>
      <c r="E379" s="285"/>
      <c r="F379" s="421"/>
      <c r="G379" s="422"/>
      <c r="H379" s="413"/>
      <c r="I379" s="403"/>
      <c r="J379" s="404"/>
      <c r="K379" s="425"/>
      <c r="L379" s="15"/>
      <c r="M379" s="412"/>
    </row>
    <row r="380" spans="3:20">
      <c r="D380" s="420"/>
      <c r="E380" s="285"/>
      <c r="F380" s="421"/>
      <c r="G380" s="422"/>
      <c r="H380" s="423"/>
      <c r="I380" s="18"/>
      <c r="J380" s="404"/>
      <c r="K380" s="425"/>
      <c r="L380" s="15"/>
      <c r="M380" s="412"/>
      <c r="N380" s="432"/>
      <c r="O380" s="472"/>
      <c r="P380" s="457"/>
      <c r="Q380" s="458"/>
    </row>
    <row r="381" spans="3:20">
      <c r="D381" s="420"/>
      <c r="E381" s="285"/>
      <c r="F381" s="421"/>
      <c r="G381" s="422"/>
      <c r="H381" s="413"/>
      <c r="I381" s="424"/>
      <c r="J381" s="404"/>
      <c r="K381" s="425"/>
      <c r="L381" s="433"/>
      <c r="M381" s="15"/>
      <c r="N381" s="426"/>
      <c r="O381" s="469"/>
      <c r="P381" s="450"/>
    </row>
    <row r="382" spans="3:20" ht="15">
      <c r="D382" s="420"/>
      <c r="E382" s="285"/>
      <c r="F382" s="434"/>
      <c r="G382" s="422"/>
      <c r="H382" s="413"/>
      <c r="I382" s="424"/>
      <c r="J382" s="404"/>
      <c r="K382" s="411"/>
      <c r="L382" s="185"/>
      <c r="M382" s="185"/>
      <c r="N382" s="426"/>
      <c r="O382" s="469"/>
    </row>
    <row r="383" spans="3:20" ht="15">
      <c r="D383" s="420"/>
      <c r="E383" s="285"/>
      <c r="F383" s="434"/>
      <c r="G383" s="422"/>
      <c r="H383" s="413"/>
      <c r="I383" s="424"/>
      <c r="J383" s="404"/>
      <c r="K383" s="411"/>
      <c r="L383" s="401"/>
      <c r="M383" s="185"/>
      <c r="N383" s="426"/>
      <c r="O383" s="469"/>
    </row>
    <row r="384" spans="3:20" ht="15">
      <c r="D384" s="420"/>
      <c r="E384" s="285"/>
      <c r="F384" s="434"/>
      <c r="G384" s="422"/>
      <c r="H384" s="413"/>
      <c r="I384" s="424"/>
      <c r="J384" s="404"/>
      <c r="K384" s="411"/>
      <c r="L384" s="185"/>
      <c r="M384" s="185"/>
      <c r="N384" s="426"/>
      <c r="O384" s="469"/>
    </row>
    <row r="385" spans="3:20" s="431" customFormat="1">
      <c r="C385" s="427"/>
      <c r="D385" s="11"/>
      <c r="E385" s="285"/>
      <c r="F385" s="435"/>
      <c r="G385" s="422"/>
      <c r="H385" s="16"/>
      <c r="I385" s="403"/>
      <c r="J385" s="404"/>
      <c r="K385" s="425"/>
      <c r="L385" s="185"/>
      <c r="M385" s="185"/>
      <c r="N385" s="426"/>
      <c r="O385" s="470"/>
      <c r="P385" s="440"/>
      <c r="Q385" s="446"/>
      <c r="R385" s="428"/>
      <c r="S385" s="429"/>
      <c r="T385" s="430"/>
    </row>
    <row r="386" spans="3:20">
      <c r="D386" s="420"/>
      <c r="E386" s="285"/>
      <c r="F386" s="421"/>
      <c r="G386" s="422"/>
      <c r="H386" s="423"/>
      <c r="I386" s="403"/>
      <c r="J386" s="404"/>
      <c r="K386" s="425"/>
      <c r="L386" s="15"/>
      <c r="M386" s="412"/>
      <c r="O386" s="469"/>
      <c r="P386" s="470"/>
      <c r="Q386" s="471"/>
    </row>
    <row r="387" spans="3:20">
      <c r="D387" s="420"/>
      <c r="E387" s="285"/>
      <c r="F387" s="421"/>
      <c r="G387" s="422"/>
      <c r="H387" s="423"/>
      <c r="I387" s="403"/>
      <c r="J387" s="404"/>
      <c r="K387" s="425"/>
      <c r="L387" s="15"/>
      <c r="M387" s="412"/>
    </row>
    <row r="388" spans="3:20">
      <c r="D388" s="420"/>
      <c r="E388" s="285"/>
      <c r="F388" s="421"/>
      <c r="G388" s="422"/>
      <c r="H388" s="413"/>
      <c r="I388" s="403"/>
      <c r="J388" s="404"/>
      <c r="K388" s="425"/>
      <c r="L388" s="15"/>
      <c r="M388" s="412"/>
    </row>
    <row r="389" spans="3:20">
      <c r="D389" s="420"/>
      <c r="E389" s="285"/>
      <c r="F389" s="421"/>
      <c r="G389" s="422"/>
      <c r="H389" s="423"/>
      <c r="I389" s="18"/>
      <c r="J389" s="404"/>
      <c r="K389" s="425"/>
      <c r="L389" s="15"/>
      <c r="M389" s="412"/>
      <c r="N389" s="432"/>
      <c r="O389" s="472"/>
      <c r="P389" s="457"/>
      <c r="Q389" s="458"/>
    </row>
    <row r="390" spans="3:20">
      <c r="D390" s="420"/>
      <c r="E390" s="285"/>
      <c r="F390" s="421"/>
      <c r="G390" s="422"/>
      <c r="H390" s="413"/>
      <c r="I390" s="424"/>
      <c r="J390" s="404"/>
      <c r="K390" s="425"/>
      <c r="L390" s="433"/>
      <c r="M390" s="15"/>
      <c r="N390" s="426"/>
      <c r="O390" s="469"/>
      <c r="P390" s="450"/>
    </row>
    <row r="391" spans="3:20" ht="15">
      <c r="D391" s="420"/>
      <c r="E391" s="285"/>
      <c r="F391" s="434"/>
      <c r="G391" s="422"/>
      <c r="H391" s="413"/>
      <c r="I391" s="424"/>
      <c r="J391" s="404"/>
      <c r="K391" s="411"/>
      <c r="L391" s="185"/>
      <c r="M391" s="185"/>
      <c r="N391" s="426"/>
      <c r="O391" s="469"/>
    </row>
    <row r="392" spans="3:20" ht="15">
      <c r="D392" s="420"/>
      <c r="E392" s="285"/>
      <c r="F392" s="434"/>
      <c r="G392" s="422"/>
      <c r="H392" s="413"/>
      <c r="I392" s="424"/>
      <c r="J392" s="404"/>
      <c r="K392" s="411"/>
      <c r="L392" s="401"/>
      <c r="M392" s="185"/>
      <c r="N392" s="426"/>
      <c r="O392" s="469"/>
    </row>
    <row r="393" spans="3:20" ht="15">
      <c r="D393" s="420"/>
      <c r="E393" s="285"/>
      <c r="F393" s="434"/>
      <c r="G393" s="422"/>
      <c r="H393" s="413"/>
      <c r="I393" s="424"/>
      <c r="J393" s="404"/>
      <c r="K393" s="411"/>
      <c r="L393" s="185"/>
      <c r="M393" s="185"/>
      <c r="N393" s="426"/>
      <c r="O393" s="469"/>
    </row>
    <row r="394" spans="3:20" s="431" customFormat="1">
      <c r="C394" s="427"/>
      <c r="D394" s="11"/>
      <c r="E394" s="285"/>
      <c r="F394" s="435"/>
      <c r="G394" s="422"/>
      <c r="H394" s="16"/>
      <c r="I394" s="403"/>
      <c r="J394" s="404"/>
      <c r="K394" s="425"/>
      <c r="L394" s="185"/>
      <c r="M394" s="185"/>
      <c r="N394" s="426"/>
      <c r="O394" s="470"/>
      <c r="P394" s="440"/>
      <c r="Q394" s="446"/>
      <c r="R394" s="428"/>
      <c r="S394" s="429"/>
      <c r="T394" s="430"/>
    </row>
    <row r="395" spans="3:20">
      <c r="D395" s="420"/>
      <c r="E395" s="285"/>
      <c r="F395" s="421"/>
      <c r="G395" s="422"/>
      <c r="H395" s="423"/>
      <c r="I395" s="403"/>
      <c r="J395" s="404"/>
      <c r="K395" s="425"/>
      <c r="L395" s="15"/>
      <c r="M395" s="412"/>
      <c r="O395" s="469"/>
      <c r="P395" s="470"/>
      <c r="Q395" s="471"/>
    </row>
    <row r="396" spans="3:20">
      <c r="D396" s="420"/>
      <c r="E396" s="285"/>
      <c r="F396" s="421"/>
      <c r="G396" s="422"/>
      <c r="H396" s="423"/>
      <c r="I396" s="403"/>
      <c r="J396" s="404"/>
      <c r="K396" s="425"/>
      <c r="L396" s="15"/>
      <c r="M396" s="412"/>
    </row>
    <row r="397" spans="3:20">
      <c r="D397" s="420"/>
      <c r="E397" s="285"/>
      <c r="F397" s="421"/>
      <c r="G397" s="422"/>
      <c r="H397" s="423"/>
      <c r="I397" s="403"/>
      <c r="J397" s="404"/>
      <c r="K397" s="425"/>
      <c r="L397" s="15"/>
      <c r="M397" s="412"/>
    </row>
    <row r="398" spans="3:20">
      <c r="D398" s="420"/>
      <c r="E398" s="285"/>
      <c r="F398" s="421"/>
      <c r="G398" s="422"/>
      <c r="H398" s="423"/>
      <c r="I398" s="18"/>
      <c r="J398" s="404"/>
      <c r="K398" s="425"/>
      <c r="L398" s="15"/>
      <c r="M398" s="412"/>
      <c r="N398" s="432"/>
      <c r="O398" s="472"/>
      <c r="P398" s="457"/>
      <c r="Q398" s="458"/>
    </row>
    <row r="399" spans="3:20">
      <c r="D399" s="420"/>
      <c r="E399" s="285"/>
      <c r="F399" s="421"/>
      <c r="G399" s="422"/>
      <c r="H399" s="413"/>
      <c r="I399" s="424"/>
      <c r="J399" s="404"/>
      <c r="K399" s="425"/>
      <c r="L399" s="433"/>
      <c r="M399" s="15"/>
      <c r="N399" s="426"/>
      <c r="O399" s="469"/>
      <c r="P399" s="450"/>
    </row>
    <row r="400" spans="3:20" ht="15">
      <c r="D400" s="420"/>
      <c r="E400" s="285"/>
      <c r="F400" s="434"/>
      <c r="G400" s="422"/>
      <c r="H400" s="413"/>
      <c r="I400" s="424"/>
      <c r="J400" s="404"/>
      <c r="K400" s="411"/>
      <c r="L400" s="185"/>
      <c r="M400" s="185"/>
      <c r="N400" s="426"/>
      <c r="O400" s="469"/>
    </row>
    <row r="401" spans="3:20" ht="15">
      <c r="D401" s="420"/>
      <c r="E401" s="285"/>
      <c r="F401" s="434"/>
      <c r="G401" s="422"/>
      <c r="H401" s="413"/>
      <c r="I401" s="424"/>
      <c r="J401" s="404"/>
      <c r="K401" s="411"/>
      <c r="L401" s="401"/>
      <c r="M401" s="185"/>
      <c r="N401" s="426"/>
      <c r="O401" s="469"/>
    </row>
    <row r="402" spans="3:20" ht="15">
      <c r="D402" s="420"/>
      <c r="E402" s="285"/>
      <c r="F402" s="434"/>
      <c r="G402" s="422"/>
      <c r="H402" s="413"/>
      <c r="I402" s="424"/>
      <c r="J402" s="404"/>
      <c r="K402" s="411"/>
      <c r="L402" s="185"/>
      <c r="M402" s="185"/>
      <c r="N402" s="426"/>
      <c r="O402" s="469"/>
    </row>
    <row r="403" spans="3:20" s="431" customFormat="1">
      <c r="C403" s="427"/>
      <c r="D403" s="11"/>
      <c r="E403" s="285"/>
      <c r="F403" s="435"/>
      <c r="G403" s="422"/>
      <c r="H403" s="16"/>
      <c r="I403" s="403"/>
      <c r="J403" s="404"/>
      <c r="K403" s="425"/>
      <c r="L403" s="185"/>
      <c r="M403" s="185"/>
      <c r="N403" s="426"/>
      <c r="O403" s="470"/>
      <c r="P403" s="440"/>
      <c r="Q403" s="446"/>
      <c r="R403" s="428"/>
      <c r="S403" s="429"/>
      <c r="T403" s="430"/>
    </row>
    <row r="404" spans="3:20">
      <c r="D404" s="420"/>
      <c r="E404" s="285"/>
      <c r="F404" s="421"/>
      <c r="G404" s="422"/>
      <c r="H404" s="423"/>
      <c r="I404" s="403"/>
      <c r="J404" s="404"/>
      <c r="K404" s="425"/>
      <c r="L404" s="15"/>
      <c r="M404" s="412"/>
      <c r="O404" s="469"/>
      <c r="P404" s="470"/>
      <c r="Q404" s="471"/>
    </row>
    <row r="405" spans="3:20">
      <c r="D405" s="420"/>
      <c r="E405" s="285"/>
      <c r="F405" s="421"/>
      <c r="G405" s="422"/>
      <c r="H405" s="423"/>
      <c r="I405" s="403"/>
      <c r="J405" s="404"/>
      <c r="K405" s="425"/>
      <c r="L405" s="15"/>
      <c r="M405" s="412"/>
    </row>
    <row r="406" spans="3:20">
      <c r="D406" s="420"/>
      <c r="E406" s="285"/>
      <c r="F406" s="421"/>
      <c r="G406" s="422"/>
      <c r="H406" s="423"/>
      <c r="I406" s="403"/>
      <c r="J406" s="404"/>
      <c r="K406" s="425"/>
      <c r="L406" s="15"/>
      <c r="M406" s="412"/>
    </row>
    <row r="407" spans="3:20">
      <c r="D407" s="420"/>
      <c r="E407" s="285"/>
      <c r="F407" s="421"/>
      <c r="G407" s="422"/>
      <c r="H407" s="423"/>
      <c r="I407" s="18"/>
      <c r="J407" s="404"/>
      <c r="K407" s="425"/>
      <c r="L407" s="15"/>
      <c r="M407" s="412"/>
      <c r="N407" s="432"/>
      <c r="O407" s="472"/>
      <c r="P407" s="457"/>
      <c r="Q407" s="458"/>
    </row>
    <row r="408" spans="3:20">
      <c r="D408" s="420"/>
      <c r="E408" s="285"/>
      <c r="F408" s="421"/>
      <c r="G408" s="422"/>
      <c r="H408" s="413"/>
      <c r="I408" s="424"/>
      <c r="J408" s="404"/>
      <c r="K408" s="425"/>
      <c r="L408" s="433"/>
      <c r="M408" s="15"/>
      <c r="N408" s="426"/>
      <c r="O408" s="469"/>
      <c r="P408" s="450"/>
    </row>
    <row r="409" spans="3:20" ht="15">
      <c r="D409" s="420"/>
      <c r="E409" s="285"/>
      <c r="F409" s="434"/>
      <c r="G409" s="422"/>
      <c r="H409" s="413"/>
      <c r="I409" s="424"/>
      <c r="J409" s="404"/>
      <c r="K409" s="411"/>
      <c r="L409" s="185"/>
      <c r="M409" s="185"/>
      <c r="N409" s="426"/>
      <c r="O409" s="469"/>
    </row>
    <row r="410" spans="3:20" ht="15">
      <c r="D410" s="420"/>
      <c r="E410" s="285"/>
      <c r="F410" s="434"/>
      <c r="G410" s="422"/>
      <c r="H410" s="413"/>
      <c r="I410" s="424"/>
      <c r="J410" s="404"/>
      <c r="K410" s="411"/>
      <c r="L410" s="401"/>
      <c r="M410" s="185"/>
      <c r="N410" s="426"/>
      <c r="O410" s="469"/>
    </row>
    <row r="411" spans="3:20" ht="15">
      <c r="D411" s="420"/>
      <c r="E411" s="285"/>
      <c r="F411" s="434"/>
      <c r="G411" s="422"/>
      <c r="H411" s="413"/>
      <c r="I411" s="424"/>
      <c r="J411" s="404"/>
      <c r="K411" s="411"/>
      <c r="L411" s="185"/>
      <c r="M411" s="185"/>
      <c r="N411" s="426"/>
      <c r="O411" s="469"/>
    </row>
    <row r="412" spans="3:20" s="431" customFormat="1">
      <c r="C412" s="427"/>
      <c r="D412" s="11"/>
      <c r="E412" s="285"/>
      <c r="F412" s="435"/>
      <c r="G412" s="422"/>
      <c r="H412" s="16"/>
      <c r="I412" s="403"/>
      <c r="J412" s="404"/>
      <c r="K412" s="425"/>
      <c r="L412" s="185"/>
      <c r="M412" s="185"/>
      <c r="N412" s="426"/>
      <c r="O412" s="470"/>
      <c r="P412" s="440"/>
      <c r="Q412" s="446"/>
      <c r="R412" s="428"/>
      <c r="S412" s="429"/>
      <c r="T412" s="430"/>
    </row>
    <row r="413" spans="3:20">
      <c r="D413" s="420"/>
      <c r="E413" s="285"/>
      <c r="F413" s="421"/>
      <c r="G413" s="422"/>
      <c r="H413" s="423"/>
      <c r="I413" s="403"/>
      <c r="J413" s="404"/>
      <c r="K413" s="425"/>
      <c r="L413" s="15"/>
      <c r="M413" s="412"/>
      <c r="O413" s="469"/>
      <c r="P413" s="470"/>
      <c r="Q413" s="471"/>
    </row>
    <row r="414" spans="3:20">
      <c r="D414" s="420"/>
      <c r="E414" s="285"/>
      <c r="F414" s="421"/>
      <c r="G414" s="439"/>
      <c r="H414" s="423"/>
      <c r="I414" s="403"/>
      <c r="J414" s="404"/>
      <c r="K414" s="425"/>
      <c r="L414" s="15"/>
      <c r="M414" s="412"/>
    </row>
    <row r="415" spans="3:20">
      <c r="D415" s="420"/>
      <c r="E415" s="285"/>
      <c r="F415" s="421"/>
      <c r="G415" s="422"/>
      <c r="H415" s="413"/>
      <c r="I415" s="403"/>
      <c r="J415" s="404"/>
      <c r="K415" s="425"/>
      <c r="L415" s="15"/>
      <c r="M415" s="412"/>
    </row>
    <row r="416" spans="3:20">
      <c r="D416" s="420"/>
      <c r="E416" s="285"/>
      <c r="F416" s="421"/>
      <c r="G416" s="422"/>
      <c r="H416" s="423"/>
      <c r="I416" s="18"/>
      <c r="J416" s="404"/>
      <c r="K416" s="425"/>
      <c r="L416" s="15"/>
      <c r="M416" s="412"/>
      <c r="N416" s="432"/>
      <c r="O416" s="472"/>
      <c r="P416" s="457"/>
      <c r="Q416" s="458"/>
    </row>
    <row r="417" spans="3:20">
      <c r="D417" s="420"/>
      <c r="E417" s="285"/>
      <c r="F417" s="421"/>
      <c r="G417" s="422"/>
      <c r="H417" s="413"/>
      <c r="I417" s="424"/>
      <c r="J417" s="404"/>
      <c r="K417" s="425"/>
      <c r="L417" s="433"/>
      <c r="M417" s="15"/>
      <c r="N417" s="426"/>
      <c r="O417" s="469"/>
      <c r="P417" s="450"/>
    </row>
    <row r="418" spans="3:20" ht="15">
      <c r="D418" s="420"/>
      <c r="E418" s="285"/>
      <c r="F418" s="434"/>
      <c r="G418" s="422"/>
      <c r="H418" s="413"/>
      <c r="I418" s="424"/>
      <c r="J418" s="404"/>
      <c r="K418" s="411"/>
      <c r="L418" s="185"/>
      <c r="M418" s="185"/>
      <c r="N418" s="426"/>
      <c r="O418" s="469"/>
    </row>
    <row r="419" spans="3:20" ht="15">
      <c r="D419" s="420"/>
      <c r="E419" s="285"/>
      <c r="F419" s="434"/>
      <c r="G419" s="422"/>
      <c r="H419" s="413"/>
      <c r="I419" s="424"/>
      <c r="J419" s="404"/>
      <c r="K419" s="411"/>
      <c r="L419" s="401"/>
      <c r="M419" s="185"/>
      <c r="N419" s="426"/>
      <c r="O419" s="469"/>
    </row>
    <row r="420" spans="3:20" ht="15">
      <c r="D420" s="420"/>
      <c r="E420" s="285"/>
      <c r="F420" s="434"/>
      <c r="G420" s="422"/>
      <c r="H420" s="413"/>
      <c r="I420" s="424"/>
      <c r="J420" s="404"/>
      <c r="K420" s="411"/>
      <c r="L420" s="185"/>
      <c r="M420" s="185"/>
      <c r="N420" s="426"/>
      <c r="O420" s="469"/>
    </row>
    <row r="421" spans="3:20" s="431" customFormat="1">
      <c r="C421" s="427"/>
      <c r="D421" s="11"/>
      <c r="E421" s="285"/>
      <c r="F421" s="435"/>
      <c r="G421" s="422"/>
      <c r="H421" s="16"/>
      <c r="I421" s="403"/>
      <c r="J421" s="404"/>
      <c r="K421" s="425"/>
      <c r="L421" s="185"/>
      <c r="M421" s="185"/>
      <c r="N421" s="426"/>
      <c r="O421" s="470"/>
      <c r="P421" s="440"/>
      <c r="Q421" s="446"/>
      <c r="R421" s="428"/>
      <c r="S421" s="429"/>
      <c r="T421" s="430"/>
    </row>
    <row r="422" spans="3:20">
      <c r="D422" s="420"/>
      <c r="E422" s="285"/>
      <c r="F422" s="421"/>
      <c r="G422" s="422"/>
      <c r="H422" s="423"/>
      <c r="I422" s="403"/>
      <c r="J422" s="404"/>
      <c r="K422" s="425"/>
      <c r="L422" s="15"/>
      <c r="M422" s="412"/>
      <c r="O422" s="469"/>
      <c r="P422" s="470"/>
      <c r="Q422" s="471"/>
    </row>
    <row r="423" spans="3:20">
      <c r="D423" s="420"/>
      <c r="E423" s="285"/>
      <c r="F423" s="421"/>
      <c r="G423" s="422"/>
      <c r="H423" s="423"/>
      <c r="I423" s="403"/>
      <c r="J423" s="404"/>
      <c r="K423" s="425"/>
      <c r="L423" s="15"/>
      <c r="M423" s="412"/>
    </row>
    <row r="424" spans="3:20">
      <c r="D424" s="420"/>
      <c r="E424" s="285"/>
      <c r="F424" s="421"/>
      <c r="G424" s="422"/>
      <c r="H424" s="413"/>
      <c r="I424" s="403"/>
      <c r="J424" s="404"/>
      <c r="K424" s="425"/>
      <c r="L424" s="15"/>
      <c r="M424" s="412"/>
    </row>
    <row r="425" spans="3:20">
      <c r="D425" s="420"/>
      <c r="E425" s="285"/>
      <c r="F425" s="421"/>
      <c r="G425" s="422"/>
      <c r="H425" s="423"/>
      <c r="I425" s="18"/>
      <c r="J425" s="404"/>
      <c r="K425" s="425"/>
      <c r="L425" s="15"/>
      <c r="M425" s="412"/>
      <c r="N425" s="432"/>
      <c r="O425" s="472"/>
      <c r="P425" s="457"/>
      <c r="Q425" s="458"/>
    </row>
    <row r="426" spans="3:20">
      <c r="D426" s="420"/>
      <c r="E426" s="285"/>
      <c r="F426" s="421"/>
      <c r="G426" s="422"/>
      <c r="H426" s="413"/>
      <c r="I426" s="424"/>
      <c r="J426" s="404"/>
      <c r="K426" s="425"/>
      <c r="L426" s="433"/>
      <c r="M426" s="15"/>
      <c r="N426" s="426"/>
      <c r="O426" s="469"/>
      <c r="P426" s="450"/>
    </row>
    <row r="427" spans="3:20" ht="15">
      <c r="D427" s="420"/>
      <c r="E427" s="285"/>
      <c r="F427" s="434"/>
      <c r="G427" s="422"/>
      <c r="H427" s="413"/>
      <c r="I427" s="424"/>
      <c r="J427" s="404"/>
      <c r="K427" s="411"/>
      <c r="L427" s="185"/>
      <c r="M427" s="185"/>
      <c r="N427" s="426"/>
      <c r="O427" s="469"/>
    </row>
    <row r="428" spans="3:20" ht="15">
      <c r="D428" s="420"/>
      <c r="E428" s="285"/>
      <c r="F428" s="434"/>
      <c r="G428" s="422"/>
      <c r="H428" s="413"/>
      <c r="I428" s="424"/>
      <c r="J428" s="404"/>
      <c r="K428" s="411"/>
      <c r="L428" s="401"/>
      <c r="M428" s="185"/>
      <c r="N428" s="426"/>
      <c r="O428" s="469"/>
    </row>
    <row r="429" spans="3:20" ht="15">
      <c r="D429" s="420"/>
      <c r="E429" s="285"/>
      <c r="F429" s="434"/>
      <c r="G429" s="422"/>
      <c r="H429" s="413"/>
      <c r="I429" s="424"/>
      <c r="J429" s="404"/>
      <c r="K429" s="411"/>
      <c r="L429" s="185"/>
      <c r="M429" s="185"/>
      <c r="N429" s="426"/>
      <c r="O429" s="469"/>
    </row>
    <row r="430" spans="3:20">
      <c r="D430" s="11"/>
      <c r="E430" s="285"/>
      <c r="F430" s="435"/>
      <c r="G430" s="422"/>
      <c r="H430" s="16"/>
      <c r="I430" s="424"/>
      <c r="J430" s="404"/>
      <c r="K430" s="425"/>
      <c r="L430" s="185"/>
      <c r="M430" s="185"/>
      <c r="N430" s="426"/>
      <c r="O430" s="469"/>
    </row>
    <row r="431" spans="3:20" s="431" customFormat="1">
      <c r="C431" s="427"/>
      <c r="D431" s="420"/>
      <c r="E431" s="285"/>
      <c r="F431" s="421"/>
      <c r="G431" s="422"/>
      <c r="H431" s="423"/>
      <c r="I431" s="403"/>
      <c r="J431" s="404"/>
      <c r="K431" s="425"/>
      <c r="L431" s="15"/>
      <c r="M431" s="412"/>
      <c r="N431" s="426"/>
      <c r="O431" s="470"/>
      <c r="P431" s="440"/>
      <c r="Q431" s="446"/>
      <c r="R431" s="428"/>
      <c r="S431" s="429"/>
      <c r="T431" s="430"/>
    </row>
    <row r="432" spans="3:20">
      <c r="D432" s="420"/>
      <c r="E432" s="285"/>
      <c r="F432" s="421"/>
      <c r="G432" s="422"/>
      <c r="H432" s="423"/>
      <c r="I432" s="403"/>
      <c r="J432" s="404"/>
      <c r="K432" s="425"/>
      <c r="L432" s="15"/>
      <c r="M432" s="412"/>
      <c r="O432" s="469"/>
      <c r="P432" s="470"/>
      <c r="Q432" s="471"/>
    </row>
    <row r="433" spans="3:20">
      <c r="D433" s="420"/>
      <c r="E433" s="285"/>
      <c r="F433" s="421"/>
      <c r="G433" s="422"/>
      <c r="H433" s="423"/>
      <c r="I433" s="403"/>
      <c r="J433" s="404"/>
      <c r="K433" s="425"/>
      <c r="L433" s="15"/>
      <c r="M433" s="412"/>
    </row>
    <row r="434" spans="3:20">
      <c r="D434" s="420"/>
      <c r="E434" s="285"/>
      <c r="F434" s="421"/>
      <c r="G434" s="422"/>
      <c r="H434" s="413"/>
      <c r="I434" s="403"/>
      <c r="J434" s="404"/>
      <c r="K434" s="425"/>
      <c r="L434" s="15"/>
      <c r="M434" s="412"/>
    </row>
    <row r="435" spans="3:20">
      <c r="D435" s="420"/>
      <c r="E435" s="285"/>
      <c r="F435" s="421"/>
      <c r="G435" s="422"/>
      <c r="H435" s="423"/>
      <c r="I435" s="18"/>
      <c r="J435" s="404"/>
      <c r="K435" s="425"/>
      <c r="L435" s="15"/>
      <c r="M435" s="412"/>
      <c r="N435" s="432"/>
      <c r="O435" s="472"/>
      <c r="P435" s="457"/>
      <c r="Q435" s="458"/>
    </row>
    <row r="436" spans="3:20">
      <c r="D436" s="420"/>
      <c r="E436" s="285"/>
      <c r="F436" s="421"/>
      <c r="G436" s="422"/>
      <c r="H436" s="413"/>
      <c r="I436" s="424"/>
      <c r="J436" s="404"/>
      <c r="K436" s="425"/>
      <c r="L436" s="433"/>
      <c r="M436" s="15"/>
      <c r="N436" s="426"/>
      <c r="O436" s="469"/>
      <c r="P436" s="450"/>
    </row>
    <row r="437" spans="3:20" ht="15">
      <c r="D437" s="420"/>
      <c r="E437" s="285"/>
      <c r="F437" s="434"/>
      <c r="G437" s="422"/>
      <c r="H437" s="413"/>
      <c r="I437" s="424"/>
      <c r="J437" s="404"/>
      <c r="K437" s="411"/>
      <c r="L437" s="185"/>
      <c r="M437" s="185"/>
      <c r="N437" s="426"/>
      <c r="O437" s="469"/>
    </row>
    <row r="438" spans="3:20" ht="15">
      <c r="D438" s="420"/>
      <c r="E438" s="285"/>
      <c r="F438" s="434"/>
      <c r="G438" s="422"/>
      <c r="H438" s="413"/>
      <c r="I438" s="424"/>
      <c r="J438" s="404"/>
      <c r="K438" s="411"/>
      <c r="L438" s="401"/>
      <c r="M438" s="185"/>
      <c r="N438" s="426"/>
      <c r="O438" s="469"/>
    </row>
    <row r="439" spans="3:20" ht="15">
      <c r="D439" s="420"/>
      <c r="E439" s="285"/>
      <c r="F439" s="434"/>
      <c r="G439" s="422"/>
      <c r="H439" s="413"/>
      <c r="I439" s="424"/>
      <c r="J439" s="404"/>
      <c r="K439" s="411"/>
      <c r="L439" s="185"/>
      <c r="M439" s="185"/>
      <c r="N439" s="426"/>
      <c r="O439" s="469"/>
    </row>
    <row r="440" spans="3:20">
      <c r="D440" s="11"/>
      <c r="E440" s="285"/>
      <c r="F440" s="435"/>
      <c r="G440" s="422"/>
      <c r="H440" s="16"/>
      <c r="I440" s="424"/>
      <c r="J440" s="404"/>
      <c r="K440" s="425"/>
      <c r="L440" s="185"/>
      <c r="M440" s="185"/>
      <c r="N440" s="426"/>
      <c r="O440" s="469"/>
    </row>
    <row r="441" spans="3:20">
      <c r="D441" s="420"/>
      <c r="E441" s="285"/>
      <c r="F441" s="421"/>
      <c r="G441" s="422"/>
      <c r="H441" s="423"/>
      <c r="I441" s="424"/>
      <c r="J441" s="404"/>
      <c r="K441" s="425"/>
      <c r="L441" s="15"/>
      <c r="M441" s="412"/>
      <c r="N441" s="426"/>
      <c r="O441" s="469"/>
    </row>
    <row r="442" spans="3:20" s="431" customFormat="1">
      <c r="C442" s="427"/>
      <c r="D442" s="420"/>
      <c r="E442" s="285"/>
      <c r="F442" s="421"/>
      <c r="G442" s="422"/>
      <c r="H442" s="423"/>
      <c r="I442" s="403"/>
      <c r="J442" s="404"/>
      <c r="K442" s="425"/>
      <c r="L442" s="15"/>
      <c r="M442" s="412"/>
      <c r="N442" s="426"/>
      <c r="O442" s="470"/>
      <c r="P442" s="440"/>
      <c r="Q442" s="446"/>
      <c r="R442" s="428"/>
      <c r="S442" s="429"/>
      <c r="T442" s="430"/>
    </row>
    <row r="443" spans="3:20">
      <c r="D443" s="420"/>
      <c r="E443" s="285"/>
      <c r="F443" s="421"/>
      <c r="G443" s="422"/>
      <c r="H443" s="423"/>
      <c r="I443" s="403"/>
      <c r="J443" s="404"/>
      <c r="K443" s="425"/>
      <c r="L443" s="15"/>
      <c r="M443" s="412"/>
      <c r="O443" s="469"/>
      <c r="P443" s="470"/>
      <c r="Q443" s="471"/>
    </row>
    <row r="444" spans="3:20">
      <c r="D444" s="420"/>
      <c r="E444" s="285"/>
      <c r="F444" s="421"/>
      <c r="G444" s="422"/>
      <c r="H444" s="423"/>
      <c r="I444" s="403"/>
      <c r="J444" s="404"/>
      <c r="K444" s="425"/>
      <c r="L444" s="15"/>
      <c r="M444" s="412"/>
    </row>
    <row r="445" spans="3:20">
      <c r="D445" s="420"/>
      <c r="E445" s="285"/>
      <c r="F445" s="421"/>
      <c r="G445" s="422"/>
      <c r="H445" s="413"/>
      <c r="I445" s="403"/>
      <c r="J445" s="404"/>
      <c r="K445" s="425"/>
      <c r="L445" s="15"/>
      <c r="M445" s="412"/>
    </row>
    <row r="446" spans="3:20">
      <c r="D446" s="420"/>
      <c r="E446" s="285"/>
      <c r="F446" s="421"/>
      <c r="G446" s="422"/>
      <c r="H446" s="423"/>
      <c r="I446" s="18"/>
      <c r="J446" s="404"/>
      <c r="K446" s="425"/>
      <c r="L446" s="15"/>
      <c r="M446" s="412"/>
      <c r="N446" s="432"/>
      <c r="O446" s="472"/>
      <c r="P446" s="457"/>
      <c r="Q446" s="458"/>
    </row>
    <row r="447" spans="3:20">
      <c r="D447" s="420"/>
      <c r="E447" s="285"/>
      <c r="F447" s="421"/>
      <c r="G447" s="422"/>
      <c r="H447" s="413"/>
      <c r="I447" s="424"/>
      <c r="J447" s="404"/>
      <c r="K447" s="425"/>
      <c r="L447" s="433"/>
      <c r="M447" s="15"/>
      <c r="N447" s="426"/>
      <c r="O447" s="469"/>
      <c r="P447" s="450"/>
    </row>
    <row r="448" spans="3:20" ht="15">
      <c r="D448" s="420"/>
      <c r="E448" s="285"/>
      <c r="F448" s="434"/>
      <c r="G448" s="422"/>
      <c r="H448" s="413"/>
      <c r="I448" s="424"/>
      <c r="J448" s="404"/>
      <c r="K448" s="411"/>
      <c r="L448" s="185"/>
      <c r="M448" s="185"/>
      <c r="N448" s="426"/>
      <c r="O448" s="469"/>
    </row>
    <row r="449" spans="3:20" ht="15">
      <c r="D449" s="420"/>
      <c r="E449" s="285"/>
      <c r="F449" s="434"/>
      <c r="G449" s="422"/>
      <c r="H449" s="413"/>
      <c r="I449" s="424"/>
      <c r="J449" s="404"/>
      <c r="K449" s="411"/>
      <c r="L449" s="401"/>
      <c r="M449" s="185"/>
      <c r="N449" s="426"/>
      <c r="O449" s="469"/>
    </row>
    <row r="450" spans="3:20" ht="15">
      <c r="D450" s="420"/>
      <c r="E450" s="285"/>
      <c r="F450" s="434"/>
      <c r="G450" s="422"/>
      <c r="H450" s="413"/>
      <c r="I450" s="424"/>
      <c r="J450" s="404"/>
      <c r="K450" s="411"/>
      <c r="L450" s="185"/>
      <c r="M450" s="185"/>
      <c r="N450" s="426"/>
      <c r="O450" s="469"/>
    </row>
    <row r="451" spans="3:20">
      <c r="D451" s="11"/>
      <c r="E451" s="285"/>
      <c r="F451" s="435"/>
      <c r="G451" s="422"/>
      <c r="H451" s="16"/>
      <c r="I451" s="424"/>
      <c r="J451" s="404"/>
      <c r="K451" s="425"/>
      <c r="L451" s="185"/>
      <c r="M451" s="185"/>
      <c r="N451" s="426"/>
      <c r="O451" s="469"/>
    </row>
    <row r="452" spans="3:20">
      <c r="D452" s="420"/>
      <c r="E452" s="285"/>
      <c r="F452" s="421"/>
      <c r="G452" s="422"/>
      <c r="H452" s="423"/>
      <c r="I452" s="424"/>
      <c r="J452" s="404"/>
      <c r="K452" s="425"/>
      <c r="L452" s="15"/>
      <c r="M452" s="412"/>
      <c r="N452" s="426"/>
      <c r="O452" s="469"/>
    </row>
    <row r="453" spans="3:20">
      <c r="D453" s="420"/>
      <c r="E453" s="285"/>
      <c r="F453" s="421"/>
      <c r="G453" s="422"/>
      <c r="H453" s="423"/>
      <c r="I453" s="424"/>
      <c r="J453" s="404"/>
      <c r="K453" s="425"/>
      <c r="L453" s="15"/>
      <c r="M453" s="412"/>
      <c r="N453" s="426"/>
      <c r="O453" s="469"/>
    </row>
    <row r="454" spans="3:20">
      <c r="D454" s="420"/>
      <c r="E454" s="285"/>
      <c r="F454" s="421"/>
      <c r="G454" s="422"/>
      <c r="H454" s="423"/>
      <c r="I454" s="424"/>
      <c r="J454" s="404"/>
      <c r="K454" s="425"/>
      <c r="L454" s="15"/>
      <c r="M454" s="412"/>
      <c r="N454" s="426"/>
      <c r="O454" s="469"/>
    </row>
    <row r="455" spans="3:20">
      <c r="D455" s="420"/>
      <c r="E455" s="285"/>
      <c r="F455" s="421"/>
      <c r="G455" s="422"/>
      <c r="H455" s="423"/>
      <c r="I455" s="424"/>
      <c r="J455" s="404"/>
      <c r="K455" s="425"/>
      <c r="L455" s="15"/>
      <c r="M455" s="412"/>
      <c r="N455" s="426"/>
      <c r="O455" s="469"/>
    </row>
    <row r="456" spans="3:20">
      <c r="D456" s="420"/>
      <c r="E456" s="285"/>
      <c r="F456" s="421"/>
      <c r="G456" s="422"/>
      <c r="H456" s="423"/>
      <c r="I456" s="424"/>
      <c r="J456" s="404"/>
      <c r="K456" s="425"/>
      <c r="L456" s="15"/>
      <c r="M456" s="412"/>
      <c r="N456" s="426"/>
      <c r="O456" s="469"/>
    </row>
    <row r="457" spans="3:20">
      <c r="D457" s="420"/>
      <c r="E457" s="285"/>
      <c r="F457" s="421"/>
      <c r="G457" s="422"/>
      <c r="H457" s="423"/>
      <c r="I457" s="424"/>
      <c r="J457" s="404"/>
      <c r="K457" s="425"/>
      <c r="L457" s="15"/>
      <c r="M457" s="412"/>
      <c r="N457" s="426"/>
      <c r="O457" s="469"/>
    </row>
    <row r="458" spans="3:20">
      <c r="D458" s="420"/>
      <c r="E458" s="285"/>
      <c r="F458" s="421"/>
      <c r="G458" s="422"/>
      <c r="H458" s="423"/>
      <c r="I458" s="424"/>
      <c r="J458" s="404"/>
      <c r="K458" s="425"/>
      <c r="L458" s="15"/>
      <c r="M458" s="412"/>
      <c r="N458" s="426"/>
      <c r="O458" s="469"/>
    </row>
    <row r="459" spans="3:20">
      <c r="D459" s="420"/>
      <c r="E459" s="285"/>
      <c r="F459" s="421"/>
      <c r="G459" s="422"/>
      <c r="H459" s="423"/>
      <c r="I459" s="424"/>
      <c r="J459" s="404"/>
      <c r="K459" s="425"/>
      <c r="L459" s="15"/>
      <c r="M459" s="412"/>
      <c r="N459" s="426"/>
      <c r="O459" s="469"/>
    </row>
    <row r="460" spans="3:20" s="431" customFormat="1">
      <c r="C460" s="427"/>
      <c r="D460" s="420"/>
      <c r="E460" s="285"/>
      <c r="F460" s="421"/>
      <c r="G460" s="422"/>
      <c r="H460" s="423"/>
      <c r="I460" s="403"/>
      <c r="J460" s="404"/>
      <c r="K460" s="425"/>
      <c r="L460" s="15"/>
      <c r="M460" s="412"/>
      <c r="N460" s="426"/>
      <c r="O460" s="470"/>
      <c r="P460" s="440"/>
      <c r="Q460" s="446"/>
      <c r="R460" s="428"/>
      <c r="S460" s="429"/>
      <c r="T460" s="430"/>
    </row>
    <row r="461" spans="3:20">
      <c r="D461" s="420"/>
      <c r="E461" s="285"/>
      <c r="F461" s="421"/>
      <c r="G461" s="422"/>
      <c r="H461" s="423"/>
      <c r="I461" s="403"/>
      <c r="J461" s="404"/>
      <c r="K461" s="425"/>
      <c r="L461" s="15"/>
      <c r="M461" s="412"/>
      <c r="O461" s="469"/>
      <c r="P461" s="470"/>
      <c r="Q461" s="471"/>
    </row>
    <row r="462" spans="3:20">
      <c r="D462" s="420"/>
      <c r="E462" s="285"/>
      <c r="F462" s="421"/>
      <c r="G462" s="422"/>
      <c r="H462" s="423"/>
      <c r="I462" s="403"/>
      <c r="J462" s="404"/>
      <c r="K462" s="425"/>
      <c r="L462" s="15"/>
      <c r="M462" s="412"/>
    </row>
    <row r="463" spans="3:20">
      <c r="D463" s="420"/>
      <c r="E463" s="285"/>
      <c r="F463" s="421"/>
      <c r="G463" s="422"/>
      <c r="H463" s="413"/>
      <c r="I463" s="403"/>
      <c r="J463" s="404"/>
      <c r="K463" s="425"/>
      <c r="L463" s="15"/>
      <c r="M463" s="412"/>
    </row>
    <row r="464" spans="3:20">
      <c r="D464" s="420"/>
      <c r="E464" s="285"/>
      <c r="F464" s="421"/>
      <c r="G464" s="422"/>
      <c r="H464" s="423"/>
      <c r="I464" s="18"/>
      <c r="J464" s="404"/>
      <c r="K464" s="425"/>
      <c r="L464" s="15"/>
      <c r="M464" s="412"/>
      <c r="N464" s="432"/>
      <c r="O464" s="472"/>
      <c r="P464" s="457"/>
      <c r="Q464" s="458"/>
    </row>
    <row r="465" spans="3:20">
      <c r="D465" s="420"/>
      <c r="E465" s="285"/>
      <c r="F465" s="421"/>
      <c r="G465" s="422"/>
      <c r="H465" s="413"/>
      <c r="I465" s="424"/>
      <c r="J465" s="404"/>
      <c r="K465" s="425"/>
      <c r="L465" s="433"/>
      <c r="M465" s="15"/>
      <c r="N465" s="426"/>
      <c r="O465" s="469"/>
      <c r="P465" s="450"/>
    </row>
    <row r="466" spans="3:20" ht="15">
      <c r="D466" s="420"/>
      <c r="E466" s="285"/>
      <c r="F466" s="434"/>
      <c r="G466" s="422"/>
      <c r="H466" s="413"/>
      <c r="I466" s="424"/>
      <c r="J466" s="404"/>
      <c r="K466" s="411"/>
      <c r="L466" s="185"/>
      <c r="M466" s="185"/>
      <c r="N466" s="426"/>
      <c r="O466" s="469"/>
    </row>
    <row r="467" spans="3:20" ht="15">
      <c r="D467" s="420"/>
      <c r="E467" s="285"/>
      <c r="F467" s="434"/>
      <c r="G467" s="422"/>
      <c r="H467" s="413"/>
      <c r="I467" s="424"/>
      <c r="J467" s="404"/>
      <c r="K467" s="411"/>
      <c r="L467" s="401"/>
      <c r="M467" s="185"/>
      <c r="N467" s="426"/>
      <c r="O467" s="469"/>
    </row>
    <row r="468" spans="3:20" ht="15">
      <c r="D468" s="420"/>
      <c r="E468" s="285"/>
      <c r="F468" s="434"/>
      <c r="G468" s="422"/>
      <c r="H468" s="413"/>
      <c r="I468" s="424"/>
      <c r="J468" s="404"/>
      <c r="K468" s="411"/>
      <c r="L468" s="185"/>
      <c r="M468" s="185"/>
      <c r="N468" s="426"/>
      <c r="O468" s="469"/>
    </row>
    <row r="469" spans="3:20">
      <c r="D469" s="11"/>
      <c r="E469" s="285"/>
      <c r="F469" s="435"/>
      <c r="G469" s="422"/>
      <c r="H469" s="16"/>
      <c r="I469" s="424"/>
      <c r="J469" s="404"/>
      <c r="K469" s="425"/>
      <c r="L469" s="185"/>
      <c r="M469" s="185"/>
      <c r="N469" s="426"/>
      <c r="O469" s="469"/>
    </row>
    <row r="470" spans="3:20" s="431" customFormat="1">
      <c r="C470" s="427"/>
      <c r="D470" s="420"/>
      <c r="E470" s="285"/>
      <c r="F470" s="421"/>
      <c r="G470" s="422"/>
      <c r="H470" s="423"/>
      <c r="I470" s="403"/>
      <c r="J470" s="404"/>
      <c r="K470" s="425"/>
      <c r="L470" s="15"/>
      <c r="M470" s="412"/>
      <c r="N470" s="426"/>
      <c r="O470" s="470"/>
      <c r="P470" s="440"/>
      <c r="Q470" s="446"/>
      <c r="R470" s="428"/>
      <c r="S470" s="429"/>
      <c r="T470" s="430"/>
    </row>
    <row r="471" spans="3:20">
      <c r="D471" s="420"/>
      <c r="E471" s="285"/>
      <c r="F471" s="421"/>
      <c r="G471" s="422"/>
      <c r="H471" s="423"/>
      <c r="I471" s="403"/>
      <c r="J471" s="404"/>
      <c r="K471" s="425"/>
      <c r="L471" s="15"/>
      <c r="M471" s="412"/>
      <c r="O471" s="469"/>
      <c r="P471" s="470"/>
      <c r="Q471" s="471"/>
    </row>
    <row r="472" spans="3:20">
      <c r="D472" s="420"/>
      <c r="E472" s="285"/>
      <c r="F472" s="421"/>
      <c r="G472" s="422"/>
      <c r="H472" s="423"/>
      <c r="I472" s="403"/>
      <c r="J472" s="404"/>
      <c r="K472" s="425"/>
      <c r="L472" s="15"/>
      <c r="M472" s="412"/>
    </row>
    <row r="473" spans="3:20">
      <c r="D473" s="420"/>
      <c r="E473" s="285"/>
      <c r="F473" s="421"/>
      <c r="G473" s="422"/>
      <c r="H473" s="413"/>
      <c r="I473" s="403"/>
      <c r="J473" s="404"/>
      <c r="K473" s="425"/>
      <c r="L473" s="15"/>
      <c r="M473" s="412"/>
    </row>
    <row r="474" spans="3:20">
      <c r="D474" s="420"/>
      <c r="E474" s="285"/>
      <c r="F474" s="421"/>
      <c r="G474" s="422"/>
      <c r="H474" s="423"/>
      <c r="I474" s="18"/>
      <c r="J474" s="404"/>
      <c r="K474" s="425"/>
      <c r="L474" s="15"/>
      <c r="M474" s="412"/>
      <c r="N474" s="432"/>
      <c r="O474" s="472"/>
      <c r="P474" s="457"/>
      <c r="Q474" s="458"/>
    </row>
    <row r="475" spans="3:20">
      <c r="D475" s="420"/>
      <c r="E475" s="285"/>
      <c r="F475" s="421"/>
      <c r="G475" s="422"/>
      <c r="H475" s="413"/>
      <c r="I475" s="424"/>
      <c r="J475" s="404"/>
      <c r="K475" s="425"/>
      <c r="L475" s="433"/>
      <c r="M475" s="15"/>
      <c r="N475" s="426"/>
      <c r="O475" s="469"/>
      <c r="P475" s="450"/>
    </row>
    <row r="476" spans="3:20" ht="15">
      <c r="D476" s="420"/>
      <c r="E476" s="285"/>
      <c r="F476" s="434"/>
      <c r="G476" s="422"/>
      <c r="H476" s="413"/>
      <c r="I476" s="424"/>
      <c r="J476" s="404"/>
      <c r="K476" s="411"/>
      <c r="L476" s="185"/>
      <c r="M476" s="185"/>
      <c r="N476" s="426"/>
      <c r="O476" s="469"/>
    </row>
    <row r="477" spans="3:20" ht="15">
      <c r="D477" s="420"/>
      <c r="E477" s="285"/>
      <c r="F477" s="434"/>
      <c r="G477" s="422"/>
      <c r="H477" s="413"/>
      <c r="I477" s="424"/>
      <c r="J477" s="404"/>
      <c r="K477" s="411"/>
      <c r="L477" s="401"/>
      <c r="M477" s="185"/>
      <c r="N477" s="426"/>
      <c r="O477" s="469"/>
    </row>
    <row r="478" spans="3:20" ht="15">
      <c r="D478" s="420"/>
      <c r="E478" s="285"/>
      <c r="F478" s="434"/>
      <c r="G478" s="422"/>
      <c r="H478" s="413"/>
      <c r="I478" s="424"/>
      <c r="J478" s="404"/>
      <c r="K478" s="411"/>
      <c r="L478" s="185"/>
      <c r="M478" s="185"/>
      <c r="N478" s="426"/>
      <c r="O478" s="469"/>
    </row>
    <row r="479" spans="3:20">
      <c r="D479" s="11"/>
      <c r="E479" s="285"/>
      <c r="F479" s="435"/>
      <c r="G479" s="422"/>
      <c r="H479" s="16"/>
      <c r="I479" s="424"/>
      <c r="J479" s="404"/>
      <c r="K479" s="425"/>
      <c r="L479" s="185"/>
      <c r="M479" s="185"/>
      <c r="N479" s="426"/>
      <c r="O479" s="469"/>
    </row>
    <row r="480" spans="3:20" s="431" customFormat="1">
      <c r="C480" s="427"/>
      <c r="D480" s="420"/>
      <c r="E480" s="285"/>
      <c r="F480" s="421"/>
      <c r="G480" s="422"/>
      <c r="H480" s="423"/>
      <c r="I480" s="403"/>
      <c r="J480" s="404"/>
      <c r="K480" s="425"/>
      <c r="L480" s="15"/>
      <c r="M480" s="412"/>
      <c r="N480" s="426"/>
      <c r="O480" s="470"/>
      <c r="P480" s="440"/>
      <c r="Q480" s="446"/>
      <c r="R480" s="428"/>
      <c r="S480" s="429"/>
      <c r="T480" s="430"/>
    </row>
    <row r="481" spans="3:20">
      <c r="D481" s="420"/>
      <c r="E481" s="285"/>
      <c r="F481" s="421"/>
      <c r="G481" s="422"/>
      <c r="H481" s="423"/>
      <c r="I481" s="403"/>
      <c r="J481" s="404"/>
      <c r="K481" s="425"/>
      <c r="L481" s="15"/>
      <c r="M481" s="412"/>
      <c r="O481" s="469"/>
      <c r="P481" s="470"/>
      <c r="Q481" s="471"/>
    </row>
    <row r="482" spans="3:20">
      <c r="D482" s="420"/>
      <c r="E482" s="285"/>
      <c r="F482" s="421"/>
      <c r="G482" s="422"/>
      <c r="H482" s="423"/>
      <c r="I482" s="403"/>
      <c r="J482" s="404"/>
      <c r="K482" s="425"/>
      <c r="L482" s="15"/>
      <c r="M482" s="412"/>
    </row>
    <row r="483" spans="3:20">
      <c r="D483" s="420"/>
      <c r="E483" s="285"/>
      <c r="F483" s="421"/>
      <c r="G483" s="422"/>
      <c r="H483" s="413"/>
      <c r="I483" s="403"/>
      <c r="J483" s="404"/>
      <c r="K483" s="425"/>
      <c r="L483" s="15"/>
      <c r="M483" s="412"/>
    </row>
    <row r="484" spans="3:20">
      <c r="D484" s="420"/>
      <c r="E484" s="285"/>
      <c r="F484" s="421"/>
      <c r="G484" s="422"/>
      <c r="H484" s="423"/>
      <c r="I484" s="18"/>
      <c r="J484" s="404"/>
      <c r="K484" s="425"/>
      <c r="L484" s="15"/>
      <c r="M484" s="412"/>
      <c r="N484" s="432"/>
      <c r="O484" s="472"/>
      <c r="P484" s="457"/>
      <c r="Q484" s="458"/>
    </row>
    <row r="485" spans="3:20">
      <c r="D485" s="420"/>
      <c r="E485" s="285"/>
      <c r="F485" s="421"/>
      <c r="G485" s="422"/>
      <c r="H485" s="413"/>
      <c r="I485" s="424"/>
      <c r="J485" s="404"/>
      <c r="K485" s="425"/>
      <c r="L485" s="433"/>
      <c r="M485" s="15"/>
      <c r="N485" s="426"/>
      <c r="O485" s="469"/>
      <c r="P485" s="450"/>
    </row>
    <row r="486" spans="3:20" ht="15">
      <c r="D486" s="420"/>
      <c r="E486" s="285"/>
      <c r="F486" s="434"/>
      <c r="G486" s="422"/>
      <c r="H486" s="413"/>
      <c r="I486" s="424"/>
      <c r="J486" s="404"/>
      <c r="K486" s="411"/>
      <c r="L486" s="185"/>
      <c r="M486" s="185"/>
      <c r="N486" s="426"/>
      <c r="O486" s="469"/>
    </row>
    <row r="487" spans="3:20" ht="15">
      <c r="D487" s="420"/>
      <c r="E487" s="285"/>
      <c r="F487" s="434"/>
      <c r="G487" s="422"/>
      <c r="H487" s="413"/>
      <c r="I487" s="424"/>
      <c r="J487" s="404"/>
      <c r="K487" s="411"/>
      <c r="L487" s="401"/>
      <c r="M487" s="185"/>
      <c r="N487" s="426"/>
      <c r="O487" s="469"/>
    </row>
    <row r="488" spans="3:20" ht="15">
      <c r="D488" s="420"/>
      <c r="E488" s="285"/>
      <c r="F488" s="434"/>
      <c r="G488" s="422"/>
      <c r="H488" s="413"/>
      <c r="I488" s="424"/>
      <c r="J488" s="404"/>
      <c r="K488" s="411"/>
      <c r="L488" s="185"/>
      <c r="M488" s="185"/>
      <c r="N488" s="426"/>
      <c r="O488" s="469"/>
    </row>
    <row r="489" spans="3:20">
      <c r="D489" s="11"/>
      <c r="E489" s="285"/>
      <c r="F489" s="435"/>
      <c r="G489" s="422"/>
      <c r="H489" s="16"/>
      <c r="I489" s="424"/>
      <c r="J489" s="404"/>
      <c r="K489" s="425"/>
      <c r="L489" s="185"/>
      <c r="M489" s="185"/>
      <c r="N489" s="426"/>
      <c r="O489" s="469"/>
    </row>
    <row r="490" spans="3:20">
      <c r="D490" s="420"/>
      <c r="E490" s="285"/>
      <c r="F490" s="421"/>
      <c r="G490" s="422"/>
      <c r="H490" s="423"/>
      <c r="I490" s="424"/>
      <c r="J490" s="404"/>
      <c r="K490" s="425"/>
      <c r="L490" s="15"/>
      <c r="M490" s="412"/>
      <c r="N490" s="426"/>
      <c r="O490" s="469"/>
    </row>
    <row r="491" spans="3:20">
      <c r="D491" s="420"/>
      <c r="E491" s="285"/>
      <c r="F491" s="421"/>
      <c r="G491" s="422"/>
      <c r="H491" s="423"/>
      <c r="I491" s="424"/>
      <c r="J491" s="404"/>
      <c r="K491" s="425"/>
      <c r="L491" s="15"/>
      <c r="M491" s="412"/>
      <c r="N491" s="426"/>
      <c r="O491" s="469"/>
    </row>
    <row r="492" spans="3:20">
      <c r="D492" s="420"/>
      <c r="E492" s="285"/>
      <c r="F492" s="421"/>
      <c r="G492" s="422"/>
      <c r="H492" s="423"/>
      <c r="I492" s="424"/>
      <c r="J492" s="404"/>
      <c r="K492" s="425"/>
      <c r="L492" s="15"/>
      <c r="M492" s="412"/>
      <c r="N492" s="426"/>
      <c r="O492" s="469"/>
    </row>
    <row r="493" spans="3:20">
      <c r="D493" s="420"/>
      <c r="E493" s="285"/>
      <c r="F493" s="421"/>
      <c r="G493" s="422"/>
      <c r="H493" s="423"/>
      <c r="I493" s="424"/>
      <c r="J493" s="404"/>
      <c r="K493" s="425"/>
      <c r="L493" s="15"/>
      <c r="M493" s="412"/>
      <c r="N493" s="426"/>
      <c r="O493" s="469"/>
    </row>
    <row r="494" spans="3:20">
      <c r="D494" s="420"/>
      <c r="E494" s="285"/>
      <c r="F494" s="421"/>
      <c r="G494" s="422"/>
      <c r="H494" s="423"/>
      <c r="I494" s="424"/>
      <c r="J494" s="404"/>
      <c r="K494" s="425"/>
      <c r="L494" s="15"/>
      <c r="M494" s="412"/>
      <c r="N494" s="426"/>
      <c r="O494" s="469"/>
    </row>
    <row r="495" spans="3:20" s="431" customFormat="1">
      <c r="C495" s="427"/>
      <c r="D495" s="420"/>
      <c r="E495" s="285"/>
      <c r="F495" s="421"/>
      <c r="G495" s="422"/>
      <c r="H495" s="423"/>
      <c r="I495" s="403"/>
      <c r="J495" s="404"/>
      <c r="K495" s="425"/>
      <c r="L495" s="15"/>
      <c r="M495" s="412"/>
      <c r="N495" s="426"/>
      <c r="O495" s="470"/>
      <c r="P495" s="440"/>
      <c r="Q495" s="446"/>
      <c r="R495" s="428"/>
      <c r="S495" s="429"/>
      <c r="T495" s="430"/>
    </row>
    <row r="496" spans="3:20">
      <c r="D496" s="420"/>
      <c r="E496" s="285"/>
      <c r="F496" s="421"/>
      <c r="G496" s="422"/>
      <c r="H496" s="423"/>
      <c r="I496" s="403"/>
      <c r="J496" s="404"/>
      <c r="K496" s="425"/>
      <c r="L496" s="15"/>
      <c r="M496" s="412"/>
      <c r="O496" s="469"/>
      <c r="P496" s="470"/>
      <c r="Q496" s="471"/>
    </row>
    <row r="497" spans="3:20">
      <c r="D497" s="420"/>
      <c r="E497" s="285"/>
      <c r="F497" s="421"/>
      <c r="G497" s="422"/>
      <c r="H497" s="423"/>
      <c r="I497" s="403"/>
      <c r="J497" s="404"/>
      <c r="K497" s="425"/>
      <c r="L497" s="15"/>
      <c r="M497" s="412"/>
    </row>
    <row r="498" spans="3:20">
      <c r="D498" s="420"/>
      <c r="E498" s="285"/>
      <c r="F498" s="421"/>
      <c r="G498" s="422"/>
      <c r="H498" s="423"/>
      <c r="I498" s="403"/>
      <c r="J498" s="404"/>
      <c r="K498" s="425"/>
      <c r="L498" s="15"/>
      <c r="M498" s="412"/>
    </row>
    <row r="499" spans="3:20">
      <c r="D499" s="420"/>
      <c r="E499" s="285"/>
      <c r="F499" s="421"/>
      <c r="G499" s="422"/>
      <c r="H499" s="423"/>
      <c r="I499" s="18"/>
      <c r="J499" s="404"/>
      <c r="K499" s="425"/>
      <c r="L499" s="15"/>
      <c r="M499" s="412"/>
      <c r="N499" s="432"/>
      <c r="O499" s="472"/>
      <c r="P499" s="457"/>
      <c r="Q499" s="458"/>
    </row>
    <row r="500" spans="3:20">
      <c r="D500" s="420"/>
      <c r="E500" s="285"/>
      <c r="F500" s="421"/>
      <c r="G500" s="422"/>
      <c r="H500" s="413"/>
      <c r="I500" s="424"/>
      <c r="J500" s="404"/>
      <c r="K500" s="425"/>
      <c r="L500" s="433"/>
      <c r="M500" s="15"/>
      <c r="N500" s="426"/>
      <c r="O500" s="469"/>
      <c r="P500" s="450"/>
    </row>
    <row r="501" spans="3:20" ht="15">
      <c r="D501" s="420"/>
      <c r="E501" s="285"/>
      <c r="F501" s="434"/>
      <c r="G501" s="422"/>
      <c r="H501" s="413"/>
      <c r="I501" s="424"/>
      <c r="J501" s="404"/>
      <c r="K501" s="411"/>
      <c r="L501" s="185"/>
      <c r="M501" s="185"/>
      <c r="N501" s="426"/>
      <c r="O501" s="469"/>
    </row>
    <row r="502" spans="3:20" ht="15">
      <c r="D502" s="420"/>
      <c r="E502" s="285"/>
      <c r="F502" s="434"/>
      <c r="G502" s="422"/>
      <c r="H502" s="413"/>
      <c r="I502" s="424"/>
      <c r="J502" s="404"/>
      <c r="K502" s="411"/>
      <c r="L502" s="401"/>
      <c r="M502" s="185"/>
      <c r="N502" s="426"/>
      <c r="O502" s="469"/>
    </row>
    <row r="503" spans="3:20" ht="15">
      <c r="D503" s="420"/>
      <c r="E503" s="285"/>
      <c r="F503" s="434"/>
      <c r="G503" s="422"/>
      <c r="H503" s="413"/>
      <c r="I503" s="424"/>
      <c r="J503" s="404"/>
      <c r="K503" s="411"/>
      <c r="L503" s="185"/>
      <c r="M503" s="185"/>
      <c r="N503" s="426"/>
      <c r="O503" s="469"/>
    </row>
    <row r="504" spans="3:20">
      <c r="D504" s="11"/>
      <c r="E504" s="285"/>
      <c r="F504" s="435"/>
      <c r="G504" s="422"/>
      <c r="H504" s="16"/>
      <c r="I504" s="424"/>
      <c r="J504" s="404"/>
      <c r="K504" s="425"/>
      <c r="L504" s="185"/>
      <c r="M504" s="185"/>
      <c r="N504" s="426"/>
      <c r="O504" s="469"/>
    </row>
    <row r="505" spans="3:20">
      <c r="D505" s="420"/>
      <c r="E505" s="285"/>
      <c r="F505" s="421"/>
      <c r="G505" s="422"/>
      <c r="H505" s="423"/>
      <c r="I505" s="424"/>
      <c r="J505" s="404"/>
      <c r="K505" s="425"/>
      <c r="L505" s="15"/>
      <c r="M505" s="412"/>
      <c r="N505" s="426"/>
      <c r="O505" s="469"/>
    </row>
    <row r="506" spans="3:20">
      <c r="D506" s="420"/>
      <c r="E506" s="285"/>
      <c r="F506" s="421"/>
      <c r="G506" s="422"/>
      <c r="H506" s="423"/>
      <c r="I506" s="424"/>
      <c r="J506" s="404"/>
      <c r="K506" s="425"/>
      <c r="L506" s="15"/>
      <c r="M506" s="412"/>
      <c r="N506" s="426"/>
      <c r="O506" s="469"/>
    </row>
    <row r="507" spans="3:20">
      <c r="D507" s="420"/>
      <c r="E507" s="285"/>
      <c r="F507" s="421"/>
      <c r="G507" s="422"/>
      <c r="H507" s="423"/>
      <c r="I507" s="424"/>
      <c r="J507" s="404"/>
      <c r="K507" s="425"/>
      <c r="L507" s="15"/>
      <c r="M507" s="412"/>
      <c r="N507" s="426"/>
      <c r="O507" s="469"/>
    </row>
    <row r="508" spans="3:20">
      <c r="D508" s="420"/>
      <c r="E508" s="285"/>
      <c r="F508" s="421"/>
      <c r="G508" s="422"/>
      <c r="H508" s="423"/>
      <c r="I508" s="424"/>
      <c r="J508" s="404"/>
      <c r="K508" s="425"/>
      <c r="L508" s="15"/>
      <c r="M508" s="412"/>
      <c r="N508" s="426"/>
      <c r="O508" s="469"/>
    </row>
    <row r="509" spans="3:20" s="431" customFormat="1">
      <c r="C509" s="427"/>
      <c r="D509" s="420"/>
      <c r="E509" s="285"/>
      <c r="F509" s="421"/>
      <c r="G509" s="422"/>
      <c r="H509" s="423"/>
      <c r="I509" s="403"/>
      <c r="J509" s="404"/>
      <c r="K509" s="425"/>
      <c r="L509" s="15"/>
      <c r="M509" s="412"/>
      <c r="N509" s="426"/>
      <c r="O509" s="470"/>
      <c r="P509" s="440"/>
      <c r="Q509" s="446"/>
      <c r="R509" s="428"/>
      <c r="S509" s="429"/>
      <c r="T509" s="430"/>
    </row>
    <row r="510" spans="3:20">
      <c r="D510" s="420"/>
      <c r="E510" s="285"/>
      <c r="F510" s="421"/>
      <c r="G510" s="422"/>
      <c r="H510" s="423"/>
      <c r="I510" s="403"/>
      <c r="J510" s="404"/>
      <c r="K510" s="425"/>
      <c r="L510" s="15"/>
      <c r="M510" s="412"/>
      <c r="O510" s="469"/>
      <c r="P510" s="470"/>
      <c r="Q510" s="471"/>
    </row>
    <row r="511" spans="3:20">
      <c r="D511" s="420"/>
      <c r="E511" s="285"/>
      <c r="F511" s="421"/>
      <c r="G511" s="422"/>
      <c r="H511" s="423"/>
      <c r="I511" s="403"/>
      <c r="J511" s="404"/>
      <c r="K511" s="425"/>
      <c r="L511" s="15"/>
      <c r="M511" s="412"/>
    </row>
    <row r="512" spans="3:20">
      <c r="D512" s="420"/>
      <c r="E512" s="285"/>
      <c r="F512" s="421"/>
      <c r="G512" s="422"/>
      <c r="H512" s="423"/>
      <c r="I512" s="403"/>
      <c r="J512" s="404"/>
      <c r="K512" s="425"/>
      <c r="L512" s="15"/>
      <c r="M512" s="412"/>
    </row>
    <row r="513" spans="3:20">
      <c r="D513" s="420"/>
      <c r="E513" s="285"/>
      <c r="F513" s="421"/>
      <c r="G513" s="422"/>
      <c r="H513" s="423"/>
      <c r="I513" s="18"/>
      <c r="J513" s="404"/>
      <c r="K513" s="425"/>
      <c r="L513" s="15"/>
      <c r="M513" s="412"/>
      <c r="N513" s="432"/>
      <c r="O513" s="472"/>
      <c r="P513" s="457"/>
      <c r="Q513" s="458"/>
    </row>
    <row r="514" spans="3:20">
      <c r="D514" s="420"/>
      <c r="E514" s="285"/>
      <c r="F514" s="421"/>
      <c r="G514" s="422"/>
      <c r="H514" s="413"/>
      <c r="I514" s="424"/>
      <c r="J514" s="404"/>
      <c r="K514" s="425"/>
      <c r="L514" s="433"/>
      <c r="M514" s="15"/>
      <c r="N514" s="426"/>
      <c r="O514" s="469"/>
      <c r="P514" s="450"/>
    </row>
    <row r="515" spans="3:20" ht="15">
      <c r="D515" s="420"/>
      <c r="E515" s="285"/>
      <c r="F515" s="434"/>
      <c r="G515" s="422"/>
      <c r="H515" s="413"/>
      <c r="I515" s="424"/>
      <c r="J515" s="404"/>
      <c r="K515" s="411"/>
      <c r="L515" s="185"/>
      <c r="M515" s="185"/>
      <c r="N515" s="426"/>
      <c r="O515" s="469"/>
    </row>
    <row r="516" spans="3:20" ht="15">
      <c r="D516" s="420"/>
      <c r="E516" s="285"/>
      <c r="F516" s="434"/>
      <c r="G516" s="422"/>
      <c r="H516" s="413"/>
      <c r="I516" s="424"/>
      <c r="J516" s="404"/>
      <c r="K516" s="411"/>
      <c r="L516" s="401"/>
      <c r="M516" s="185"/>
      <c r="N516" s="426"/>
      <c r="O516" s="469"/>
    </row>
    <row r="517" spans="3:20" s="431" customFormat="1" ht="15">
      <c r="C517" s="427"/>
      <c r="D517" s="420"/>
      <c r="E517" s="285"/>
      <c r="F517" s="434"/>
      <c r="G517" s="422"/>
      <c r="H517" s="413"/>
      <c r="I517" s="403"/>
      <c r="J517" s="404"/>
      <c r="K517" s="411"/>
      <c r="L517" s="185"/>
      <c r="M517" s="185"/>
      <c r="N517" s="426"/>
      <c r="O517" s="470"/>
      <c r="P517" s="440"/>
      <c r="Q517" s="446"/>
      <c r="R517" s="428"/>
      <c r="S517" s="429"/>
      <c r="T517" s="430"/>
    </row>
    <row r="518" spans="3:20">
      <c r="D518" s="11"/>
      <c r="E518" s="285"/>
      <c r="F518" s="435"/>
      <c r="G518" s="422"/>
      <c r="H518" s="16"/>
      <c r="I518" s="403"/>
      <c r="J518" s="404"/>
      <c r="K518" s="425"/>
      <c r="L518" s="185"/>
      <c r="M518" s="185"/>
      <c r="O518" s="469"/>
      <c r="P518" s="470"/>
      <c r="Q518" s="471"/>
    </row>
    <row r="519" spans="3:20">
      <c r="D519" s="420"/>
      <c r="E519" s="285"/>
      <c r="F519" s="421"/>
      <c r="G519" s="422"/>
      <c r="H519" s="423"/>
      <c r="I519" s="403"/>
      <c r="J519" s="404"/>
      <c r="K519" s="425"/>
      <c r="L519" s="15"/>
      <c r="M519" s="412"/>
    </row>
    <row r="520" spans="3:20">
      <c r="D520" s="420"/>
      <c r="E520" s="285"/>
      <c r="F520" s="421"/>
      <c r="G520" s="422"/>
      <c r="H520" s="423"/>
      <c r="I520" s="403"/>
      <c r="J520" s="404"/>
      <c r="K520" s="425"/>
      <c r="L520" s="15"/>
      <c r="M520" s="412"/>
    </row>
    <row r="521" spans="3:20">
      <c r="D521" s="420"/>
      <c r="E521" s="285"/>
      <c r="F521" s="421"/>
      <c r="G521" s="422"/>
      <c r="H521" s="423"/>
      <c r="I521" s="18"/>
      <c r="J521" s="404"/>
      <c r="K521" s="425"/>
      <c r="L521" s="15"/>
      <c r="M521" s="412"/>
      <c r="N521" s="432"/>
      <c r="O521" s="472"/>
      <c r="P521" s="457"/>
      <c r="Q521" s="458"/>
    </row>
    <row r="522" spans="3:20">
      <c r="D522" s="420"/>
      <c r="E522" s="285"/>
      <c r="F522" s="421"/>
      <c r="G522" s="422"/>
      <c r="H522" s="413"/>
      <c r="I522" s="424"/>
      <c r="J522" s="404"/>
      <c r="K522" s="425"/>
      <c r="L522" s="433"/>
      <c r="M522" s="15"/>
      <c r="N522" s="426"/>
      <c r="O522" s="469"/>
      <c r="P522" s="450"/>
    </row>
    <row r="523" spans="3:20" ht="15">
      <c r="D523" s="420"/>
      <c r="E523" s="285"/>
      <c r="F523" s="434"/>
      <c r="G523" s="422"/>
      <c r="H523" s="413"/>
      <c r="I523" s="424"/>
      <c r="J523" s="404"/>
      <c r="K523" s="411"/>
      <c r="L523" s="185"/>
      <c r="M523" s="185"/>
      <c r="N523" s="426"/>
      <c r="O523" s="469"/>
    </row>
    <row r="524" spans="3:20" ht="15">
      <c r="D524" s="420"/>
      <c r="E524" s="285"/>
      <c r="F524" s="434"/>
      <c r="G524" s="422"/>
      <c r="H524" s="413"/>
      <c r="I524" s="424"/>
      <c r="J524" s="404"/>
      <c r="K524" s="411"/>
      <c r="L524" s="401"/>
      <c r="M524" s="185"/>
      <c r="N524" s="426"/>
      <c r="O524" s="469"/>
    </row>
    <row r="525" spans="3:20" s="431" customFormat="1" ht="15">
      <c r="C525" s="427"/>
      <c r="D525" s="420"/>
      <c r="E525" s="285"/>
      <c r="F525" s="434"/>
      <c r="G525" s="422"/>
      <c r="H525" s="413"/>
      <c r="I525" s="403"/>
      <c r="J525" s="404"/>
      <c r="K525" s="411"/>
      <c r="L525" s="185"/>
      <c r="M525" s="185"/>
      <c r="N525" s="426"/>
      <c r="O525" s="470"/>
      <c r="P525" s="440"/>
      <c r="Q525" s="446"/>
      <c r="R525" s="428"/>
      <c r="S525" s="429"/>
      <c r="T525" s="430"/>
    </row>
    <row r="526" spans="3:20">
      <c r="D526" s="11"/>
      <c r="E526" s="285"/>
      <c r="F526" s="435"/>
      <c r="G526" s="422"/>
      <c r="H526" s="16"/>
      <c r="I526" s="403"/>
      <c r="J526" s="404"/>
      <c r="K526" s="425"/>
      <c r="L526" s="185"/>
      <c r="M526" s="185"/>
      <c r="O526" s="469"/>
      <c r="P526" s="470"/>
      <c r="Q526" s="471"/>
    </row>
    <row r="527" spans="3:20">
      <c r="D527" s="420"/>
      <c r="E527" s="285"/>
      <c r="F527" s="421"/>
      <c r="G527" s="422"/>
      <c r="H527" s="423"/>
      <c r="I527" s="403"/>
      <c r="J527" s="404"/>
      <c r="K527" s="425"/>
      <c r="L527" s="15"/>
      <c r="M527" s="412"/>
    </row>
    <row r="528" spans="3:20">
      <c r="D528" s="420"/>
      <c r="E528" s="285"/>
      <c r="F528" s="421"/>
      <c r="G528" s="422"/>
      <c r="H528" s="423"/>
      <c r="I528" s="403"/>
      <c r="J528" s="404"/>
      <c r="K528" s="425"/>
      <c r="L528" s="15"/>
      <c r="M528" s="412"/>
    </row>
    <row r="529" spans="3:20">
      <c r="D529" s="420"/>
      <c r="E529" s="285"/>
      <c r="F529" s="421"/>
      <c r="G529" s="422"/>
      <c r="H529" s="423"/>
      <c r="I529" s="18"/>
      <c r="J529" s="404"/>
      <c r="K529" s="425"/>
      <c r="L529" s="15"/>
      <c r="M529" s="412"/>
      <c r="N529" s="432"/>
      <c r="O529" s="472"/>
      <c r="P529" s="457"/>
      <c r="Q529" s="458"/>
    </row>
    <row r="530" spans="3:20">
      <c r="D530" s="420"/>
      <c r="E530" s="285"/>
      <c r="F530" s="421"/>
      <c r="G530" s="422"/>
      <c r="H530" s="413"/>
      <c r="I530" s="424"/>
      <c r="J530" s="404"/>
      <c r="K530" s="425"/>
      <c r="L530" s="433"/>
      <c r="M530" s="15"/>
      <c r="N530" s="426"/>
      <c r="O530" s="469"/>
      <c r="P530" s="450"/>
    </row>
    <row r="531" spans="3:20" ht="15">
      <c r="D531" s="420"/>
      <c r="E531" s="285"/>
      <c r="F531" s="434"/>
      <c r="G531" s="422"/>
      <c r="H531" s="413"/>
      <c r="I531" s="424"/>
      <c r="J531" s="404"/>
      <c r="K531" s="411"/>
      <c r="L531" s="185"/>
      <c r="M531" s="185"/>
      <c r="N531" s="426"/>
      <c r="O531" s="469"/>
    </row>
    <row r="532" spans="3:20" ht="15">
      <c r="D532" s="420"/>
      <c r="E532" s="285"/>
      <c r="F532" s="434"/>
      <c r="G532" s="422"/>
      <c r="H532" s="413"/>
      <c r="I532" s="424"/>
      <c r="J532" s="404"/>
      <c r="K532" s="411"/>
      <c r="L532" s="401"/>
      <c r="M532" s="185"/>
      <c r="N532" s="426"/>
      <c r="O532" s="469"/>
    </row>
    <row r="533" spans="3:20" s="431" customFormat="1" ht="15">
      <c r="C533" s="427"/>
      <c r="D533" s="420"/>
      <c r="E533" s="285"/>
      <c r="F533" s="434"/>
      <c r="G533" s="422"/>
      <c r="H533" s="413"/>
      <c r="I533" s="403"/>
      <c r="J533" s="404"/>
      <c r="K533" s="411"/>
      <c r="L533" s="185"/>
      <c r="M533" s="185"/>
      <c r="N533" s="426"/>
      <c r="O533" s="470"/>
      <c r="P533" s="440"/>
      <c r="Q533" s="446"/>
      <c r="R533" s="428"/>
      <c r="S533" s="429"/>
      <c r="T533" s="430"/>
    </row>
    <row r="534" spans="3:20">
      <c r="D534" s="11"/>
      <c r="E534" s="285"/>
      <c r="F534" s="435"/>
      <c r="G534" s="422"/>
      <c r="H534" s="16"/>
      <c r="I534" s="403"/>
      <c r="J534" s="404"/>
      <c r="K534" s="425"/>
      <c r="L534" s="185"/>
      <c r="M534" s="185"/>
      <c r="O534" s="469"/>
      <c r="P534" s="470"/>
      <c r="Q534" s="471"/>
    </row>
    <row r="535" spans="3:20">
      <c r="D535" s="420"/>
      <c r="E535" s="285"/>
      <c r="F535" s="421"/>
      <c r="G535" s="422"/>
      <c r="H535" s="423"/>
      <c r="I535" s="403"/>
      <c r="J535" s="404"/>
      <c r="K535" s="425"/>
      <c r="L535" s="15"/>
      <c r="M535" s="412"/>
    </row>
    <row r="536" spans="3:20">
      <c r="D536" s="420"/>
      <c r="E536" s="285"/>
      <c r="F536" s="421"/>
      <c r="G536" s="422"/>
      <c r="H536" s="423"/>
      <c r="I536" s="403"/>
      <c r="J536" s="404"/>
      <c r="K536" s="425"/>
      <c r="L536" s="15"/>
      <c r="M536" s="412"/>
    </row>
    <row r="537" spans="3:20">
      <c r="D537" s="420"/>
      <c r="E537" s="285"/>
      <c r="F537" s="421"/>
      <c r="G537" s="422"/>
      <c r="H537" s="423"/>
      <c r="I537" s="18"/>
      <c r="J537" s="404"/>
      <c r="K537" s="425"/>
      <c r="L537" s="15"/>
      <c r="M537" s="412"/>
      <c r="N537" s="432"/>
      <c r="O537" s="472"/>
      <c r="P537" s="457"/>
      <c r="Q537" s="458"/>
    </row>
    <row r="538" spans="3:20">
      <c r="D538" s="420"/>
      <c r="E538" s="285"/>
      <c r="F538" s="421"/>
      <c r="G538" s="422"/>
      <c r="H538" s="413"/>
      <c r="I538" s="403"/>
      <c r="J538" s="404"/>
      <c r="K538" s="425"/>
      <c r="L538" s="433"/>
      <c r="M538" s="15"/>
      <c r="N538" s="426"/>
      <c r="O538" s="469"/>
      <c r="P538" s="450"/>
    </row>
    <row r="539" spans="3:20" ht="15">
      <c r="D539" s="420"/>
      <c r="E539" s="285"/>
      <c r="F539" s="434"/>
      <c r="G539" s="422"/>
      <c r="H539" s="413"/>
      <c r="I539" s="403"/>
      <c r="J539" s="404"/>
      <c r="K539" s="411"/>
      <c r="L539" s="185"/>
      <c r="M539" s="185"/>
      <c r="N539" s="426"/>
      <c r="O539" s="469"/>
    </row>
    <row r="540" spans="3:20" ht="15">
      <c r="D540" s="420"/>
      <c r="E540" s="285"/>
      <c r="F540" s="434"/>
      <c r="G540" s="422"/>
      <c r="H540" s="413"/>
      <c r="I540" s="403"/>
      <c r="J540" s="404"/>
      <c r="K540" s="411"/>
      <c r="L540" s="401"/>
      <c r="M540" s="185"/>
      <c r="N540" s="426"/>
      <c r="O540" s="469"/>
    </row>
    <row r="541" spans="3:20" ht="15">
      <c r="D541" s="420"/>
      <c r="E541" s="285"/>
      <c r="F541" s="434"/>
      <c r="G541" s="422"/>
      <c r="H541" s="413"/>
      <c r="I541" s="403"/>
      <c r="J541" s="404"/>
      <c r="K541" s="411"/>
      <c r="L541" s="185"/>
      <c r="M541" s="185"/>
      <c r="N541" s="426"/>
      <c r="O541" s="469"/>
    </row>
    <row r="542" spans="3:20">
      <c r="D542" s="11"/>
      <c r="E542" s="285"/>
      <c r="F542" s="435"/>
      <c r="G542" s="422"/>
      <c r="H542" s="16"/>
      <c r="I542" s="403"/>
      <c r="J542" s="404"/>
      <c r="K542" s="425"/>
      <c r="L542" s="185"/>
      <c r="M542" s="185"/>
      <c r="N542" s="426"/>
      <c r="O542" s="469"/>
    </row>
    <row r="543" spans="3:20">
      <c r="D543" s="420"/>
      <c r="E543" s="285"/>
      <c r="F543" s="421"/>
      <c r="G543" s="422"/>
      <c r="H543" s="413"/>
      <c r="I543" s="403"/>
      <c r="J543" s="404"/>
      <c r="K543" s="425"/>
      <c r="L543" s="15"/>
      <c r="M543" s="412"/>
      <c r="N543" s="426"/>
      <c r="O543" s="469"/>
    </row>
    <row r="544" spans="3:20">
      <c r="D544" s="420"/>
      <c r="E544" s="285"/>
      <c r="F544" s="421"/>
      <c r="G544" s="422"/>
      <c r="H544" s="413"/>
      <c r="I544" s="403"/>
      <c r="J544" s="404"/>
      <c r="K544" s="425"/>
      <c r="L544" s="15"/>
      <c r="M544" s="412"/>
      <c r="N544" s="426"/>
      <c r="O544" s="469"/>
    </row>
    <row r="545" spans="3:22">
      <c r="D545" s="420"/>
      <c r="E545" s="285"/>
      <c r="F545" s="421"/>
      <c r="G545" s="422"/>
      <c r="H545" s="413"/>
      <c r="I545" s="403"/>
      <c r="J545" s="404"/>
      <c r="K545" s="425"/>
      <c r="L545" s="15"/>
      <c r="M545" s="412"/>
      <c r="N545" s="426"/>
      <c r="O545" s="469"/>
    </row>
    <row r="546" spans="3:22">
      <c r="D546" s="420"/>
      <c r="E546" s="285"/>
      <c r="F546" s="421"/>
      <c r="G546" s="422"/>
      <c r="H546" s="413"/>
      <c r="I546" s="403"/>
      <c r="J546" s="404"/>
      <c r="K546" s="425"/>
      <c r="L546" s="15"/>
      <c r="M546" s="412"/>
      <c r="N546" s="426"/>
      <c r="O546" s="469"/>
    </row>
    <row r="547" spans="3:22">
      <c r="D547" s="420"/>
      <c r="E547" s="285"/>
      <c r="F547" s="421"/>
      <c r="G547" s="422"/>
      <c r="H547" s="413"/>
      <c r="I547" s="403"/>
      <c r="J547" s="404"/>
      <c r="K547" s="425"/>
      <c r="L547" s="15"/>
      <c r="M547" s="412"/>
      <c r="N547" s="426"/>
      <c r="O547" s="469"/>
    </row>
    <row r="548" spans="3:22">
      <c r="D548" s="420"/>
      <c r="E548" s="285"/>
      <c r="F548" s="421"/>
      <c r="G548" s="422"/>
      <c r="H548" s="413"/>
      <c r="I548" s="403"/>
      <c r="J548" s="404"/>
      <c r="K548" s="425"/>
      <c r="L548" s="15"/>
      <c r="M548" s="412"/>
      <c r="N548" s="426"/>
      <c r="O548" s="469"/>
    </row>
    <row r="549" spans="3:22">
      <c r="D549" s="420"/>
      <c r="E549" s="285"/>
      <c r="F549" s="421"/>
      <c r="G549" s="422"/>
      <c r="H549" s="413"/>
      <c r="I549" s="403"/>
      <c r="J549" s="404"/>
      <c r="K549" s="425"/>
      <c r="L549" s="15"/>
      <c r="M549" s="412"/>
      <c r="N549" s="426"/>
      <c r="O549" s="469"/>
    </row>
    <row r="550" spans="3:22">
      <c r="D550" s="420"/>
      <c r="E550" s="285"/>
      <c r="F550" s="421"/>
      <c r="G550" s="422"/>
      <c r="H550" s="413"/>
      <c r="I550" s="403"/>
      <c r="J550" s="404"/>
      <c r="K550" s="425"/>
      <c r="L550" s="15"/>
      <c r="M550" s="412"/>
      <c r="N550" s="426"/>
      <c r="O550" s="469"/>
    </row>
    <row r="551" spans="3:22">
      <c r="D551" s="420"/>
      <c r="E551" s="285"/>
      <c r="F551" s="421"/>
      <c r="G551" s="422"/>
      <c r="H551" s="413"/>
      <c r="I551" s="403"/>
      <c r="J551" s="404"/>
      <c r="K551" s="425"/>
      <c r="L551" s="15"/>
      <c r="M551" s="412"/>
      <c r="N551" s="426"/>
      <c r="O551" s="469"/>
    </row>
    <row r="552" spans="3:22" s="431" customFormat="1">
      <c r="C552" s="427"/>
      <c r="D552" s="420"/>
      <c r="E552" s="285"/>
      <c r="F552" s="421"/>
      <c r="G552" s="422"/>
      <c r="H552" s="423"/>
      <c r="I552" s="403"/>
      <c r="J552" s="404"/>
      <c r="K552" s="425"/>
      <c r="L552" s="15"/>
      <c r="M552" s="412"/>
      <c r="N552" s="426"/>
      <c r="O552" s="470"/>
      <c r="P552" s="440"/>
      <c r="Q552" s="446"/>
      <c r="R552" s="428"/>
      <c r="S552" s="429"/>
      <c r="T552" s="430"/>
    </row>
    <row r="553" spans="3:22">
      <c r="D553" s="420"/>
      <c r="E553" s="285"/>
      <c r="F553" s="421"/>
      <c r="G553" s="422"/>
      <c r="H553" s="413"/>
      <c r="I553" s="403"/>
      <c r="J553" s="404"/>
      <c r="K553" s="425"/>
      <c r="L553" s="15"/>
      <c r="M553" s="412"/>
      <c r="N553" s="426"/>
      <c r="O553" s="469"/>
    </row>
    <row r="554" spans="3:22" s="322" customFormat="1">
      <c r="C554" s="319"/>
      <c r="D554" s="420"/>
      <c r="E554" s="285"/>
      <c r="F554" s="421"/>
      <c r="G554" s="422"/>
      <c r="H554" s="413"/>
      <c r="I554" s="403"/>
      <c r="J554" s="404"/>
      <c r="K554" s="425"/>
      <c r="L554" s="15"/>
      <c r="M554" s="412"/>
      <c r="N554" s="426"/>
      <c r="O554" s="469"/>
      <c r="P554" s="440"/>
      <c r="Q554" s="446"/>
      <c r="S554" s="323"/>
      <c r="T554" s="324"/>
      <c r="U554" s="318"/>
      <c r="V554" s="318"/>
    </row>
    <row r="555" spans="3:22" s="322" customFormat="1">
      <c r="C555" s="319"/>
      <c r="D555" s="420"/>
      <c r="E555" s="285"/>
      <c r="F555" s="421"/>
      <c r="G555" s="422"/>
      <c r="H555" s="413"/>
      <c r="I555" s="403"/>
      <c r="J555" s="404"/>
      <c r="K555" s="425"/>
      <c r="L555" s="15"/>
      <c r="M555" s="412"/>
      <c r="N555" s="426"/>
      <c r="O555" s="469"/>
      <c r="P555" s="440"/>
      <c r="Q555" s="446"/>
      <c r="S555" s="323"/>
      <c r="T555" s="324"/>
      <c r="U555" s="318"/>
      <c r="V555" s="318"/>
    </row>
    <row r="556" spans="3:22" s="322" customFormat="1">
      <c r="C556" s="319"/>
      <c r="D556" s="420"/>
      <c r="E556" s="285"/>
      <c r="F556" s="421"/>
      <c r="G556" s="422"/>
      <c r="H556" s="413"/>
      <c r="I556" s="403"/>
      <c r="J556" s="404"/>
      <c r="K556" s="425"/>
      <c r="L556" s="15"/>
      <c r="M556" s="412"/>
      <c r="N556" s="426"/>
      <c r="O556" s="469"/>
      <c r="P556" s="440"/>
      <c r="Q556" s="446"/>
      <c r="S556" s="323"/>
      <c r="T556" s="324"/>
      <c r="U556" s="318"/>
      <c r="V556" s="318"/>
    </row>
    <row r="557" spans="3:22" s="322" customFormat="1">
      <c r="C557" s="319"/>
      <c r="D557" s="420"/>
      <c r="E557" s="285"/>
      <c r="F557" s="421"/>
      <c r="G557" s="422"/>
      <c r="H557" s="413"/>
      <c r="I557" s="403"/>
      <c r="J557" s="404"/>
      <c r="K557" s="425"/>
      <c r="L557" s="15"/>
      <c r="M557" s="15"/>
      <c r="N557" s="426"/>
      <c r="O557" s="469"/>
      <c r="P557" s="440"/>
      <c r="Q557" s="446"/>
      <c r="S557" s="323"/>
      <c r="T557" s="324"/>
      <c r="U557" s="318"/>
      <c r="V557" s="318"/>
    </row>
    <row r="558" spans="3:22" s="322" customFormat="1">
      <c r="C558" s="319"/>
      <c r="D558" s="420"/>
      <c r="E558" s="285"/>
      <c r="F558" s="421"/>
      <c r="G558" s="422"/>
      <c r="H558" s="413"/>
      <c r="I558" s="403"/>
      <c r="J558" s="404"/>
      <c r="K558" s="425"/>
      <c r="L558" s="15"/>
      <c r="M558" s="412"/>
      <c r="N558" s="426"/>
      <c r="O558" s="469"/>
      <c r="P558" s="440"/>
      <c r="Q558" s="446"/>
      <c r="S558" s="323"/>
      <c r="T558" s="324"/>
      <c r="U558" s="318"/>
      <c r="V558" s="318"/>
    </row>
    <row r="559" spans="3:22" s="322" customFormat="1">
      <c r="C559" s="319"/>
      <c r="D559" s="420"/>
      <c r="E559" s="285"/>
      <c r="F559" s="421"/>
      <c r="G559" s="439"/>
      <c r="H559" s="413"/>
      <c r="I559" s="403"/>
      <c r="J559" s="404"/>
      <c r="K559" s="425"/>
      <c r="L559" s="15"/>
      <c r="M559" s="412"/>
      <c r="N559" s="426"/>
      <c r="O559" s="469"/>
      <c r="P559" s="440"/>
      <c r="Q559" s="446"/>
      <c r="S559" s="323"/>
      <c r="T559" s="324"/>
      <c r="U559" s="318"/>
      <c r="V559" s="318"/>
    </row>
    <row r="560" spans="3:22" s="322" customFormat="1">
      <c r="C560" s="319"/>
      <c r="D560" s="420"/>
      <c r="E560" s="285"/>
      <c r="F560" s="421"/>
      <c r="G560" s="422"/>
      <c r="H560" s="413"/>
      <c r="I560" s="403"/>
      <c r="J560" s="404"/>
      <c r="K560" s="425"/>
      <c r="L560" s="15"/>
      <c r="M560" s="412"/>
      <c r="N560" s="426"/>
      <c r="O560" s="469"/>
      <c r="P560" s="440"/>
      <c r="Q560" s="446"/>
      <c r="S560" s="323"/>
      <c r="T560" s="324"/>
      <c r="U560" s="318"/>
      <c r="V560" s="318"/>
    </row>
    <row r="561" spans="3:22" s="322" customFormat="1">
      <c r="C561" s="319"/>
      <c r="D561" s="420"/>
      <c r="E561" s="285"/>
      <c r="F561" s="421"/>
      <c r="G561" s="422"/>
      <c r="H561" s="413"/>
      <c r="I561" s="403"/>
      <c r="J561" s="404"/>
      <c r="K561" s="425"/>
      <c r="L561" s="15"/>
      <c r="M561" s="412"/>
      <c r="N561" s="320"/>
      <c r="O561" s="469"/>
      <c r="P561" s="470"/>
      <c r="Q561" s="471"/>
      <c r="S561" s="323"/>
      <c r="T561" s="324"/>
      <c r="U561" s="318"/>
      <c r="V561" s="318"/>
    </row>
    <row r="562" spans="3:22" s="322" customFormat="1">
      <c r="C562" s="319"/>
      <c r="D562" s="420"/>
      <c r="E562" s="285"/>
      <c r="F562" s="421"/>
      <c r="G562" s="422"/>
      <c r="H562" s="413"/>
      <c r="I562" s="403"/>
      <c r="J562" s="404"/>
      <c r="K562" s="425"/>
      <c r="L562" s="15"/>
      <c r="M562" s="412"/>
      <c r="N562" s="320"/>
      <c r="O562" s="456"/>
      <c r="P562" s="440"/>
      <c r="Q562" s="446"/>
      <c r="S562" s="323"/>
      <c r="T562" s="324"/>
      <c r="U562" s="318"/>
      <c r="V562" s="318"/>
    </row>
    <row r="563" spans="3:22" s="322" customFormat="1">
      <c r="C563" s="319"/>
      <c r="D563" s="420"/>
      <c r="E563" s="285"/>
      <c r="F563" s="421"/>
      <c r="G563" s="422"/>
      <c r="H563" s="413"/>
      <c r="I563" s="403"/>
      <c r="J563" s="404"/>
      <c r="K563" s="425"/>
      <c r="L563" s="15"/>
      <c r="M563" s="412"/>
      <c r="N563" s="320"/>
      <c r="O563" s="456"/>
      <c r="P563" s="440"/>
      <c r="Q563" s="446"/>
      <c r="S563" s="323"/>
      <c r="T563" s="324"/>
      <c r="U563" s="318"/>
      <c r="V563" s="318"/>
    </row>
    <row r="564" spans="3:22" s="322" customFormat="1">
      <c r="C564" s="319"/>
      <c r="D564" s="420"/>
      <c r="E564" s="285"/>
      <c r="F564" s="421"/>
      <c r="G564" s="439"/>
      <c r="H564" s="413"/>
      <c r="I564" s="18"/>
      <c r="J564" s="404"/>
      <c r="K564" s="425"/>
      <c r="L564" s="15"/>
      <c r="M564" s="412"/>
      <c r="N564" s="432"/>
      <c r="O564" s="472"/>
      <c r="P564" s="457"/>
      <c r="Q564" s="458"/>
      <c r="S564" s="323"/>
      <c r="T564" s="324"/>
      <c r="U564" s="318"/>
      <c r="V564" s="318"/>
    </row>
    <row r="565" spans="3:22" s="322" customFormat="1">
      <c r="C565" s="319"/>
      <c r="D565" s="420"/>
      <c r="E565" s="285"/>
      <c r="F565" s="421"/>
      <c r="G565" s="422"/>
      <c r="H565" s="413"/>
      <c r="I565" s="403"/>
      <c r="J565" s="404"/>
      <c r="K565" s="425"/>
      <c r="L565" s="15"/>
      <c r="M565" s="412"/>
      <c r="N565" s="426"/>
      <c r="O565" s="469"/>
      <c r="P565" s="450"/>
      <c r="Q565" s="446"/>
      <c r="S565" s="323"/>
      <c r="T565" s="324"/>
      <c r="U565" s="318"/>
      <c r="V565" s="318"/>
    </row>
    <row r="566" spans="3:22" s="322" customFormat="1" ht="15">
      <c r="C566" s="319"/>
      <c r="D566" s="420"/>
      <c r="E566" s="285"/>
      <c r="F566" s="434"/>
      <c r="G566" s="422"/>
      <c r="H566" s="413"/>
      <c r="I566" s="403"/>
      <c r="J566" s="404"/>
      <c r="K566" s="411"/>
      <c r="L566" s="185"/>
      <c r="M566" s="185"/>
      <c r="N566" s="426"/>
      <c r="O566" s="469"/>
      <c r="P566" s="440"/>
      <c r="Q566" s="446"/>
      <c r="S566" s="323"/>
      <c r="T566" s="324"/>
      <c r="U566" s="318"/>
      <c r="V566" s="318"/>
    </row>
    <row r="567" spans="3:22" s="322" customFormat="1" ht="15">
      <c r="C567" s="319"/>
      <c r="D567" s="420"/>
      <c r="E567" s="285"/>
      <c r="F567" s="434"/>
      <c r="G567" s="422"/>
      <c r="H567" s="413"/>
      <c r="I567" s="403"/>
      <c r="J567" s="404"/>
      <c r="K567" s="411"/>
      <c r="L567" s="401"/>
      <c r="M567" s="185"/>
      <c r="N567" s="426"/>
      <c r="O567" s="469"/>
      <c r="P567" s="440"/>
      <c r="Q567" s="446"/>
      <c r="S567" s="323"/>
      <c r="T567" s="324"/>
      <c r="U567" s="318"/>
      <c r="V567" s="318"/>
    </row>
    <row r="568" spans="3:22" s="322" customFormat="1" ht="15">
      <c r="C568" s="319"/>
      <c r="D568" s="420"/>
      <c r="E568" s="285"/>
      <c r="F568" s="434"/>
      <c r="G568" s="422"/>
      <c r="H568" s="413"/>
      <c r="I568" s="403"/>
      <c r="J568" s="404"/>
      <c r="K568" s="411"/>
      <c r="L568" s="185"/>
      <c r="M568" s="185"/>
      <c r="N568" s="426"/>
      <c r="O568" s="469"/>
      <c r="P568" s="440"/>
      <c r="Q568" s="446"/>
      <c r="S568" s="323"/>
      <c r="T568" s="324"/>
      <c r="U568" s="318"/>
      <c r="V568" s="318"/>
    </row>
    <row r="569" spans="3:22" s="322" customFormat="1">
      <c r="C569" s="319"/>
      <c r="D569" s="11"/>
      <c r="E569" s="285"/>
      <c r="F569" s="435"/>
      <c r="G569" s="422"/>
      <c r="H569" s="16"/>
      <c r="I569" s="403"/>
      <c r="J569" s="404"/>
      <c r="K569" s="425"/>
      <c r="L569" s="185"/>
      <c r="M569" s="185"/>
      <c r="N569" s="426"/>
      <c r="O569" s="469"/>
      <c r="P569" s="440"/>
      <c r="Q569" s="446"/>
      <c r="S569" s="323"/>
      <c r="T569" s="324"/>
      <c r="U569" s="318"/>
      <c r="V569" s="318"/>
    </row>
    <row r="570" spans="3:22">
      <c r="D570" s="420"/>
      <c r="E570" s="285"/>
      <c r="F570" s="421"/>
      <c r="G570" s="422"/>
      <c r="H570" s="413"/>
      <c r="I570" s="403"/>
      <c r="J570" s="404"/>
      <c r="K570" s="425"/>
      <c r="L570" s="15"/>
      <c r="M570" s="412"/>
      <c r="N570" s="426"/>
      <c r="O570" s="469"/>
    </row>
    <row r="571" spans="3:22">
      <c r="D571" s="420"/>
      <c r="E571" s="285"/>
      <c r="F571" s="421"/>
      <c r="G571" s="422"/>
      <c r="H571" s="413"/>
      <c r="I571" s="403"/>
      <c r="J571" s="404"/>
      <c r="K571" s="425"/>
      <c r="L571" s="15"/>
      <c r="M571" s="412"/>
      <c r="N571" s="426"/>
      <c r="O571" s="469"/>
    </row>
    <row r="572" spans="3:22" s="431" customFormat="1">
      <c r="C572" s="427"/>
      <c r="D572" s="420"/>
      <c r="E572" s="285"/>
      <c r="F572" s="421"/>
      <c r="G572" s="422"/>
      <c r="H572" s="413"/>
      <c r="I572" s="403"/>
      <c r="J572" s="404"/>
      <c r="K572" s="425"/>
      <c r="L572" s="15"/>
      <c r="M572" s="412"/>
      <c r="N572" s="426"/>
      <c r="O572" s="470"/>
      <c r="P572" s="440"/>
      <c r="Q572" s="446"/>
      <c r="R572" s="428"/>
      <c r="S572" s="429"/>
      <c r="T572" s="430"/>
    </row>
    <row r="573" spans="3:22" s="322" customFormat="1">
      <c r="C573" s="319"/>
      <c r="D573" s="420"/>
      <c r="E573" s="285"/>
      <c r="F573" s="421"/>
      <c r="G573" s="422"/>
      <c r="H573" s="413"/>
      <c r="I573" s="403"/>
      <c r="J573" s="404"/>
      <c r="K573" s="425"/>
      <c r="L573" s="15"/>
      <c r="M573" s="412"/>
      <c r="N573" s="426"/>
      <c r="O573" s="469"/>
      <c r="P573" s="440"/>
      <c r="Q573" s="446"/>
      <c r="S573" s="323"/>
      <c r="T573" s="324"/>
      <c r="U573" s="318"/>
      <c r="V573" s="318"/>
    </row>
    <row r="574" spans="3:22" s="322" customFormat="1">
      <c r="C574" s="319"/>
      <c r="D574" s="420"/>
      <c r="E574" s="285"/>
      <c r="F574" s="421"/>
      <c r="G574" s="422"/>
      <c r="H574" s="413"/>
      <c r="I574" s="403"/>
      <c r="J574" s="404"/>
      <c r="K574" s="425"/>
      <c r="L574" s="15"/>
      <c r="M574" s="412"/>
      <c r="N574" s="426"/>
      <c r="O574" s="469"/>
      <c r="P574" s="440"/>
      <c r="Q574" s="446"/>
      <c r="S574" s="323"/>
      <c r="T574" s="324"/>
      <c r="U574" s="318"/>
      <c r="V574" s="318"/>
    </row>
    <row r="575" spans="3:22" s="322" customFormat="1">
      <c r="C575" s="319"/>
      <c r="D575" s="420"/>
      <c r="E575" s="285"/>
      <c r="F575" s="421"/>
      <c r="G575" s="422"/>
      <c r="H575" s="413"/>
      <c r="I575" s="403"/>
      <c r="J575" s="404"/>
      <c r="K575" s="425"/>
      <c r="L575" s="15"/>
      <c r="M575" s="412"/>
      <c r="N575" s="426"/>
      <c r="O575" s="469"/>
      <c r="P575" s="440"/>
      <c r="Q575" s="446"/>
      <c r="S575" s="323"/>
      <c r="T575" s="324"/>
      <c r="U575" s="318"/>
      <c r="V575" s="318"/>
    </row>
    <row r="576" spans="3:22" s="322" customFormat="1">
      <c r="C576" s="319"/>
      <c r="D576" s="420"/>
      <c r="E576" s="285"/>
      <c r="F576" s="421"/>
      <c r="G576" s="422"/>
      <c r="H576" s="413"/>
      <c r="I576" s="403"/>
      <c r="J576" s="404"/>
      <c r="K576" s="425"/>
      <c r="L576" s="15"/>
      <c r="M576" s="412"/>
      <c r="N576" s="426"/>
      <c r="O576" s="469"/>
      <c r="P576" s="440"/>
      <c r="Q576" s="446"/>
      <c r="S576" s="323"/>
      <c r="T576" s="324"/>
      <c r="U576" s="318"/>
      <c r="V576" s="318"/>
    </row>
    <row r="577" spans="3:22" s="322" customFormat="1">
      <c r="C577" s="319"/>
      <c r="D577" s="420"/>
      <c r="E577" s="285"/>
      <c r="F577" s="421"/>
      <c r="G577" s="422"/>
      <c r="H577" s="413"/>
      <c r="I577" s="403"/>
      <c r="J577" s="404"/>
      <c r="K577" s="425"/>
      <c r="L577" s="15"/>
      <c r="M577" s="15"/>
      <c r="N577" s="426"/>
      <c r="O577" s="469"/>
      <c r="P577" s="440"/>
      <c r="Q577" s="446"/>
      <c r="S577" s="323"/>
      <c r="T577" s="324"/>
      <c r="U577" s="318"/>
      <c r="V577" s="318"/>
    </row>
    <row r="578" spans="3:22" s="322" customFormat="1">
      <c r="C578" s="319"/>
      <c r="D578" s="420"/>
      <c r="E578" s="285"/>
      <c r="F578" s="421"/>
      <c r="G578" s="439"/>
      <c r="H578" s="413"/>
      <c r="I578" s="403"/>
      <c r="J578" s="404"/>
      <c r="K578" s="425"/>
      <c r="L578" s="15"/>
      <c r="M578" s="412"/>
      <c r="N578" s="426"/>
      <c r="O578" s="469"/>
      <c r="P578" s="440"/>
      <c r="Q578" s="446"/>
      <c r="S578" s="323"/>
      <c r="T578" s="324"/>
      <c r="U578" s="318"/>
      <c r="V578" s="318"/>
    </row>
    <row r="579" spans="3:22" s="322" customFormat="1">
      <c r="C579" s="319"/>
      <c r="D579" s="420"/>
      <c r="E579" s="285"/>
      <c r="F579" s="421"/>
      <c r="G579" s="439"/>
      <c r="H579" s="413"/>
      <c r="I579" s="403"/>
      <c r="J579" s="404"/>
      <c r="K579" s="425"/>
      <c r="L579" s="15"/>
      <c r="M579" s="412"/>
      <c r="N579" s="426"/>
      <c r="O579" s="469"/>
      <c r="P579" s="440"/>
      <c r="Q579" s="446"/>
      <c r="S579" s="323"/>
      <c r="T579" s="324"/>
      <c r="U579" s="318"/>
      <c r="V579" s="318"/>
    </row>
    <row r="580" spans="3:22" s="322" customFormat="1">
      <c r="C580" s="319"/>
      <c r="D580" s="420"/>
      <c r="E580" s="285"/>
      <c r="F580" s="421"/>
      <c r="G580" s="439"/>
      <c r="H580" s="413"/>
      <c r="I580" s="403"/>
      <c r="J580" s="404"/>
      <c r="K580" s="425"/>
      <c r="L580" s="15"/>
      <c r="M580" s="412"/>
      <c r="N580" s="426"/>
      <c r="O580" s="469"/>
      <c r="P580" s="440"/>
      <c r="Q580" s="446"/>
      <c r="S580" s="323"/>
      <c r="T580" s="324"/>
      <c r="U580" s="318"/>
      <c r="V580" s="318"/>
    </row>
    <row r="581" spans="3:22" s="322" customFormat="1">
      <c r="C581" s="319"/>
      <c r="D581" s="420"/>
      <c r="E581" s="285"/>
      <c r="F581" s="421"/>
      <c r="G581" s="439"/>
      <c r="H581" s="413"/>
      <c r="I581" s="403"/>
      <c r="J581" s="404"/>
      <c r="K581" s="425"/>
      <c r="L581" s="15"/>
      <c r="M581" s="412"/>
      <c r="N581" s="320"/>
      <c r="O581" s="469"/>
      <c r="P581" s="470"/>
      <c r="Q581" s="471"/>
      <c r="S581" s="323"/>
      <c r="T581" s="324"/>
      <c r="U581" s="318"/>
      <c r="V581" s="318"/>
    </row>
    <row r="582" spans="3:22" s="322" customFormat="1">
      <c r="C582" s="319"/>
      <c r="D582" s="420"/>
      <c r="E582" s="285"/>
      <c r="F582" s="421"/>
      <c r="G582" s="439"/>
      <c r="H582" s="413"/>
      <c r="I582" s="403"/>
      <c r="J582" s="404"/>
      <c r="K582" s="425"/>
      <c r="L582" s="15"/>
      <c r="M582" s="412"/>
      <c r="N582" s="320"/>
      <c r="O582" s="456"/>
      <c r="P582" s="440"/>
      <c r="Q582" s="446"/>
      <c r="S582" s="323"/>
      <c r="T582" s="324"/>
      <c r="U582" s="318"/>
      <c r="V582" s="318"/>
    </row>
    <row r="583" spans="3:22" s="322" customFormat="1">
      <c r="C583" s="319"/>
      <c r="D583" s="420"/>
      <c r="E583" s="285"/>
      <c r="F583" s="421"/>
      <c r="G583" s="439"/>
      <c r="H583" s="413"/>
      <c r="I583" s="403"/>
      <c r="J583" s="404"/>
      <c r="K583" s="425"/>
      <c r="L583" s="15"/>
      <c r="M583" s="412"/>
      <c r="N583" s="320"/>
      <c r="O583" s="456"/>
      <c r="P583" s="440"/>
      <c r="Q583" s="446"/>
      <c r="S583" s="323"/>
      <c r="T583" s="324"/>
      <c r="U583" s="318"/>
      <c r="V583" s="318"/>
    </row>
    <row r="584" spans="3:22" s="322" customFormat="1">
      <c r="C584" s="319"/>
      <c r="D584" s="420"/>
      <c r="E584" s="285"/>
      <c r="F584" s="421"/>
      <c r="G584" s="439"/>
      <c r="H584" s="413"/>
      <c r="I584" s="18"/>
      <c r="J584" s="404"/>
      <c r="K584" s="425"/>
      <c r="L584" s="15"/>
      <c r="M584" s="412"/>
      <c r="N584" s="432"/>
      <c r="O584" s="472"/>
      <c r="P584" s="457"/>
      <c r="Q584" s="458"/>
      <c r="S584" s="323"/>
      <c r="T584" s="324"/>
      <c r="U584" s="318"/>
      <c r="V584" s="318"/>
    </row>
    <row r="585" spans="3:22" s="322" customFormat="1">
      <c r="C585" s="319"/>
      <c r="D585" s="420"/>
      <c r="E585" s="285"/>
      <c r="F585" s="421"/>
      <c r="G585" s="439"/>
      <c r="H585" s="413"/>
      <c r="I585" s="403"/>
      <c r="J585" s="404"/>
      <c r="K585" s="425"/>
      <c r="L585" s="15"/>
      <c r="M585" s="412"/>
      <c r="N585" s="426"/>
      <c r="O585" s="469"/>
      <c r="P585" s="450"/>
      <c r="Q585" s="446"/>
      <c r="S585" s="323"/>
      <c r="T585" s="324"/>
      <c r="U585" s="318"/>
      <c r="V585" s="318"/>
    </row>
    <row r="586" spans="3:22" s="322" customFormat="1" ht="15">
      <c r="C586" s="319"/>
      <c r="D586" s="420"/>
      <c r="E586" s="285"/>
      <c r="F586" s="434"/>
      <c r="G586" s="422"/>
      <c r="H586" s="413"/>
      <c r="I586" s="403"/>
      <c r="J586" s="404"/>
      <c r="K586" s="411"/>
      <c r="L586" s="185"/>
      <c r="M586" s="185"/>
      <c r="N586" s="426"/>
      <c r="O586" s="469"/>
      <c r="P586" s="440"/>
      <c r="Q586" s="446"/>
      <c r="S586" s="323"/>
      <c r="T586" s="324"/>
      <c r="U586" s="318"/>
      <c r="V586" s="318"/>
    </row>
    <row r="587" spans="3:22" s="322" customFormat="1" ht="15">
      <c r="C587" s="319"/>
      <c r="D587" s="420"/>
      <c r="E587" s="285"/>
      <c r="F587" s="434"/>
      <c r="G587" s="422"/>
      <c r="H587" s="413"/>
      <c r="I587" s="403"/>
      <c r="J587" s="404"/>
      <c r="K587" s="411"/>
      <c r="L587" s="401"/>
      <c r="M587" s="185"/>
      <c r="N587" s="426"/>
      <c r="O587" s="469"/>
      <c r="P587" s="440"/>
      <c r="Q587" s="446"/>
      <c r="S587" s="323"/>
      <c r="T587" s="324"/>
      <c r="U587" s="318"/>
      <c r="V587" s="318"/>
    </row>
    <row r="588" spans="3:22" s="322" customFormat="1" ht="15">
      <c r="C588" s="319"/>
      <c r="D588" s="420"/>
      <c r="E588" s="285"/>
      <c r="F588" s="434"/>
      <c r="G588" s="422"/>
      <c r="H588" s="413"/>
      <c r="I588" s="403"/>
      <c r="J588" s="404"/>
      <c r="K588" s="411"/>
      <c r="L588" s="185"/>
      <c r="M588" s="185"/>
      <c r="N588" s="426"/>
      <c r="O588" s="469"/>
      <c r="P588" s="440"/>
      <c r="Q588" s="446"/>
      <c r="S588" s="323"/>
      <c r="T588" s="324"/>
      <c r="U588" s="318"/>
      <c r="V588" s="318"/>
    </row>
    <row r="589" spans="3:22">
      <c r="D589" s="11"/>
      <c r="E589" s="285"/>
      <c r="F589" s="435"/>
      <c r="G589" s="422"/>
      <c r="H589" s="16"/>
      <c r="I589" s="403"/>
      <c r="J589" s="404"/>
      <c r="K589" s="425"/>
      <c r="L589" s="185"/>
      <c r="M589" s="185"/>
      <c r="N589" s="426"/>
      <c r="O589" s="469"/>
    </row>
    <row r="590" spans="3:22">
      <c r="D590" s="420"/>
      <c r="E590" s="285"/>
      <c r="F590" s="421"/>
      <c r="G590" s="422"/>
      <c r="H590" s="413"/>
      <c r="I590" s="403"/>
      <c r="J590" s="404"/>
      <c r="K590" s="425"/>
      <c r="L590" s="15"/>
      <c r="M590" s="412"/>
      <c r="N590" s="426"/>
      <c r="O590" s="469"/>
    </row>
    <row r="591" spans="3:22">
      <c r="D591" s="420"/>
      <c r="E591" s="285"/>
      <c r="F591" s="421"/>
      <c r="G591" s="422"/>
      <c r="H591" s="413"/>
      <c r="I591" s="403"/>
      <c r="J591" s="404"/>
      <c r="K591" s="425"/>
      <c r="L591" s="15"/>
      <c r="M591" s="412"/>
      <c r="N591" s="426"/>
      <c r="O591" s="469"/>
    </row>
    <row r="592" spans="3:22" s="431" customFormat="1">
      <c r="C592" s="427"/>
      <c r="D592" s="420"/>
      <c r="E592" s="285"/>
      <c r="F592" s="421"/>
      <c r="G592" s="422"/>
      <c r="H592" s="413"/>
      <c r="I592" s="403"/>
      <c r="J592" s="404"/>
      <c r="K592" s="425"/>
      <c r="L592" s="15"/>
      <c r="M592" s="412"/>
      <c r="N592" s="426"/>
      <c r="O592" s="470"/>
      <c r="P592" s="440"/>
      <c r="Q592" s="446"/>
      <c r="R592" s="428"/>
      <c r="S592" s="429"/>
      <c r="T592" s="430"/>
    </row>
    <row r="593" spans="3:20">
      <c r="D593" s="420"/>
      <c r="E593" s="285"/>
      <c r="F593" s="421"/>
      <c r="G593" s="422"/>
      <c r="H593" s="413"/>
      <c r="I593" s="403"/>
      <c r="J593" s="404"/>
      <c r="K593" s="425"/>
      <c r="L593" s="15"/>
      <c r="M593" s="412"/>
      <c r="N593" s="426"/>
      <c r="O593" s="469"/>
    </row>
    <row r="594" spans="3:20">
      <c r="D594" s="420"/>
      <c r="E594" s="285"/>
      <c r="F594" s="421"/>
      <c r="G594" s="422"/>
      <c r="H594" s="413"/>
      <c r="I594" s="403"/>
      <c r="J594" s="404"/>
      <c r="K594" s="425"/>
      <c r="L594" s="15"/>
      <c r="M594" s="412"/>
      <c r="N594" s="426"/>
      <c r="O594" s="469"/>
    </row>
    <row r="595" spans="3:20">
      <c r="D595" s="420"/>
      <c r="E595" s="285"/>
      <c r="F595" s="421"/>
      <c r="G595" s="422"/>
      <c r="H595" s="413"/>
      <c r="I595" s="403"/>
      <c r="J595" s="404"/>
      <c r="K595" s="425"/>
      <c r="L595" s="15"/>
      <c r="M595" s="412"/>
      <c r="N595" s="426"/>
      <c r="O595" s="469"/>
    </row>
    <row r="596" spans="3:20">
      <c r="D596" s="420"/>
      <c r="E596" s="285"/>
      <c r="F596" s="421"/>
      <c r="G596" s="422"/>
      <c r="H596" s="413"/>
      <c r="I596" s="403"/>
      <c r="J596" s="404"/>
      <c r="K596" s="425"/>
      <c r="L596" s="15"/>
      <c r="M596" s="412"/>
      <c r="N596" s="426"/>
      <c r="O596" s="469"/>
    </row>
    <row r="597" spans="3:20">
      <c r="D597" s="420"/>
      <c r="E597" s="285"/>
      <c r="F597" s="421"/>
      <c r="G597" s="422"/>
      <c r="H597" s="413"/>
      <c r="I597" s="403"/>
      <c r="J597" s="404"/>
      <c r="K597" s="425"/>
      <c r="L597" s="15"/>
      <c r="M597" s="15"/>
      <c r="N597" s="426"/>
      <c r="O597" s="469"/>
    </row>
    <row r="598" spans="3:20">
      <c r="D598" s="420"/>
      <c r="E598" s="285"/>
      <c r="F598" s="421"/>
      <c r="G598" s="439"/>
      <c r="H598" s="413"/>
      <c r="I598" s="403"/>
      <c r="J598" s="404"/>
      <c r="K598" s="425"/>
      <c r="L598" s="15"/>
      <c r="M598" s="412"/>
      <c r="N598" s="426"/>
      <c r="O598" s="469"/>
    </row>
    <row r="599" spans="3:20">
      <c r="D599" s="420"/>
      <c r="E599" s="285"/>
      <c r="F599" s="421"/>
      <c r="G599" s="439"/>
      <c r="H599" s="413"/>
      <c r="I599" s="403"/>
      <c r="J599" s="404"/>
      <c r="K599" s="425"/>
      <c r="L599" s="15"/>
      <c r="M599" s="412"/>
      <c r="O599" s="469"/>
      <c r="P599" s="470"/>
      <c r="Q599" s="471"/>
    </row>
    <row r="600" spans="3:20">
      <c r="D600" s="420"/>
      <c r="E600" s="285"/>
      <c r="F600" s="421"/>
      <c r="G600" s="439"/>
      <c r="H600" s="413"/>
      <c r="I600" s="403"/>
      <c r="J600" s="404"/>
      <c r="K600" s="425"/>
      <c r="L600" s="15"/>
      <c r="M600" s="412"/>
    </row>
    <row r="601" spans="3:20">
      <c r="D601" s="420"/>
      <c r="E601" s="285"/>
      <c r="F601" s="421"/>
      <c r="G601" s="439"/>
      <c r="H601" s="413"/>
      <c r="I601" s="403"/>
      <c r="J601" s="404"/>
      <c r="K601" s="425"/>
      <c r="L601" s="15"/>
      <c r="M601" s="412"/>
    </row>
    <row r="602" spans="3:20">
      <c r="D602" s="420"/>
      <c r="E602" s="285"/>
      <c r="F602" s="421"/>
      <c r="G602" s="439"/>
      <c r="H602" s="413"/>
      <c r="I602" s="18"/>
      <c r="J602" s="404"/>
      <c r="K602" s="425"/>
      <c r="L602" s="15"/>
      <c r="M602" s="412"/>
      <c r="N602" s="432"/>
      <c r="O602" s="472"/>
      <c r="P602" s="457"/>
      <c r="Q602" s="458"/>
    </row>
    <row r="603" spans="3:20">
      <c r="D603" s="420"/>
      <c r="E603" s="285"/>
      <c r="F603" s="421"/>
      <c r="G603" s="439"/>
      <c r="H603" s="413"/>
      <c r="I603" s="403"/>
      <c r="J603" s="404"/>
      <c r="K603" s="425"/>
      <c r="L603" s="15"/>
      <c r="M603" s="412"/>
      <c r="N603" s="426"/>
      <c r="O603" s="469"/>
      <c r="P603" s="450"/>
    </row>
    <row r="604" spans="3:20" ht="15">
      <c r="D604" s="420"/>
      <c r="E604" s="285"/>
      <c r="F604" s="434"/>
      <c r="G604" s="422"/>
      <c r="H604" s="413"/>
      <c r="I604" s="403"/>
      <c r="J604" s="404"/>
      <c r="K604" s="411"/>
      <c r="L604" s="185"/>
      <c r="M604" s="185"/>
      <c r="N604" s="426"/>
      <c r="O604" s="469"/>
    </row>
    <row r="605" spans="3:20" ht="15">
      <c r="D605" s="420"/>
      <c r="E605" s="285"/>
      <c r="F605" s="434"/>
      <c r="G605" s="422"/>
      <c r="H605" s="413"/>
      <c r="I605" s="403"/>
      <c r="J605" s="404"/>
      <c r="K605" s="411"/>
      <c r="L605" s="401"/>
      <c r="M605" s="185"/>
      <c r="N605" s="426"/>
      <c r="O605" s="469"/>
    </row>
    <row r="606" spans="3:20" s="431" customFormat="1" ht="15">
      <c r="C606" s="427"/>
      <c r="D606" s="420"/>
      <c r="E606" s="285"/>
      <c r="F606" s="434"/>
      <c r="G606" s="422"/>
      <c r="H606" s="413"/>
      <c r="I606" s="403"/>
      <c r="J606" s="404"/>
      <c r="K606" s="411"/>
      <c r="L606" s="185"/>
      <c r="M606" s="185"/>
      <c r="N606" s="426"/>
      <c r="O606" s="470"/>
      <c r="P606" s="440"/>
      <c r="Q606" s="446"/>
      <c r="R606" s="428"/>
      <c r="S606" s="429"/>
      <c r="T606" s="430"/>
    </row>
    <row r="607" spans="3:20">
      <c r="D607" s="11"/>
      <c r="E607" s="285"/>
      <c r="F607" s="435"/>
      <c r="G607" s="422"/>
      <c r="H607" s="16"/>
      <c r="I607" s="403"/>
      <c r="J607" s="404"/>
      <c r="K607" s="425"/>
      <c r="L607" s="185"/>
      <c r="M607" s="185"/>
      <c r="N607" s="426"/>
      <c r="O607" s="469"/>
    </row>
    <row r="608" spans="3:20">
      <c r="D608" s="420"/>
      <c r="E608" s="285"/>
      <c r="F608" s="421"/>
      <c r="G608" s="422"/>
      <c r="H608" s="413"/>
      <c r="I608" s="403"/>
      <c r="J608" s="404"/>
      <c r="K608" s="425"/>
      <c r="L608" s="15"/>
      <c r="M608" s="412"/>
      <c r="N608" s="426"/>
      <c r="O608" s="469"/>
    </row>
    <row r="609" spans="3:20">
      <c r="D609" s="420"/>
      <c r="E609" s="285"/>
      <c r="F609" s="421"/>
      <c r="G609" s="422"/>
      <c r="H609" s="413"/>
      <c r="I609" s="403"/>
      <c r="J609" s="404"/>
      <c r="K609" s="425"/>
      <c r="L609" s="15"/>
      <c r="M609" s="412"/>
      <c r="N609" s="426"/>
      <c r="O609" s="469"/>
    </row>
    <row r="610" spans="3:20">
      <c r="D610" s="420"/>
      <c r="E610" s="285"/>
      <c r="F610" s="421"/>
      <c r="G610" s="422"/>
      <c r="H610" s="413"/>
      <c r="I610" s="403"/>
      <c r="J610" s="404"/>
      <c r="K610" s="425"/>
      <c r="L610" s="15"/>
      <c r="M610" s="412"/>
      <c r="N610" s="426"/>
      <c r="O610" s="469"/>
    </row>
    <row r="611" spans="3:20">
      <c r="D611" s="420"/>
      <c r="E611" s="285"/>
      <c r="F611" s="421"/>
      <c r="G611" s="422"/>
      <c r="H611" s="413"/>
      <c r="I611" s="403"/>
      <c r="J611" s="404"/>
      <c r="K611" s="425"/>
      <c r="L611" s="15"/>
      <c r="M611" s="15"/>
      <c r="N611" s="426"/>
      <c r="O611" s="469"/>
    </row>
    <row r="612" spans="3:20">
      <c r="D612" s="420"/>
      <c r="E612" s="285"/>
      <c r="F612" s="421"/>
      <c r="G612" s="422"/>
      <c r="H612" s="413"/>
      <c r="I612" s="403"/>
      <c r="J612" s="404"/>
      <c r="K612" s="425"/>
      <c r="L612" s="15"/>
      <c r="M612" s="412"/>
      <c r="N612" s="426"/>
      <c r="O612" s="469"/>
    </row>
    <row r="613" spans="3:20">
      <c r="D613" s="420"/>
      <c r="E613" s="285"/>
      <c r="F613" s="421"/>
      <c r="G613" s="439"/>
      <c r="H613" s="413"/>
      <c r="I613" s="403"/>
      <c r="J613" s="404"/>
      <c r="K613" s="425"/>
      <c r="L613" s="15"/>
      <c r="M613" s="412"/>
      <c r="N613" s="426"/>
      <c r="O613" s="469"/>
    </row>
    <row r="614" spans="3:20">
      <c r="D614" s="420"/>
      <c r="E614" s="285"/>
      <c r="F614" s="421"/>
      <c r="G614" s="422"/>
      <c r="H614" s="413"/>
      <c r="I614" s="403"/>
      <c r="J614" s="404"/>
      <c r="K614" s="425"/>
      <c r="L614" s="15"/>
      <c r="M614" s="412"/>
      <c r="N614" s="426"/>
      <c r="O614" s="469"/>
    </row>
    <row r="615" spans="3:20">
      <c r="D615" s="420"/>
      <c r="E615" s="285"/>
      <c r="F615" s="421"/>
      <c r="G615" s="422"/>
      <c r="H615" s="413"/>
      <c r="I615" s="403"/>
      <c r="J615" s="404"/>
      <c r="K615" s="425"/>
      <c r="L615" s="15"/>
      <c r="M615" s="412"/>
      <c r="N615" s="426"/>
      <c r="O615" s="469"/>
    </row>
    <row r="616" spans="3:20">
      <c r="D616" s="420"/>
      <c r="E616" s="285"/>
      <c r="F616" s="421"/>
      <c r="G616" s="422"/>
      <c r="H616" s="413"/>
      <c r="I616" s="403"/>
      <c r="J616" s="404"/>
      <c r="K616" s="425"/>
      <c r="L616" s="15"/>
      <c r="M616" s="412"/>
      <c r="O616" s="469"/>
      <c r="P616" s="470"/>
      <c r="Q616" s="471"/>
    </row>
    <row r="617" spans="3:20">
      <c r="D617" s="420"/>
      <c r="E617" s="285"/>
      <c r="F617" s="421"/>
      <c r="G617" s="422"/>
      <c r="H617" s="413"/>
      <c r="I617" s="403"/>
      <c r="J617" s="404"/>
      <c r="K617" s="425"/>
      <c r="L617" s="15"/>
      <c r="M617" s="412"/>
    </row>
    <row r="618" spans="3:20">
      <c r="D618" s="420"/>
      <c r="E618" s="285"/>
      <c r="F618" s="421"/>
      <c r="G618" s="439"/>
      <c r="H618" s="413"/>
      <c r="I618" s="403"/>
      <c r="J618" s="404"/>
      <c r="K618" s="425"/>
      <c r="L618" s="15"/>
      <c r="M618" s="412"/>
    </row>
    <row r="619" spans="3:20">
      <c r="D619" s="420"/>
      <c r="E619" s="285"/>
      <c r="F619" s="421"/>
      <c r="G619" s="439"/>
      <c r="H619" s="413"/>
      <c r="I619" s="18"/>
      <c r="J619" s="404"/>
      <c r="K619" s="425"/>
      <c r="L619" s="15"/>
      <c r="M619" s="412"/>
      <c r="N619" s="432"/>
      <c r="O619" s="472"/>
      <c r="P619" s="457"/>
      <c r="Q619" s="458"/>
    </row>
    <row r="620" spans="3:20">
      <c r="D620" s="420"/>
      <c r="E620" s="285"/>
      <c r="F620" s="421"/>
      <c r="G620" s="439"/>
      <c r="H620" s="413"/>
      <c r="I620" s="403"/>
      <c r="J620" s="404"/>
      <c r="K620" s="425"/>
      <c r="L620" s="15"/>
      <c r="M620" s="412"/>
      <c r="N620" s="426"/>
      <c r="O620" s="469"/>
      <c r="P620" s="450"/>
    </row>
    <row r="621" spans="3:20" ht="15">
      <c r="D621" s="420"/>
      <c r="E621" s="285"/>
      <c r="F621" s="434"/>
      <c r="G621" s="422"/>
      <c r="H621" s="413"/>
      <c r="I621" s="403"/>
      <c r="J621" s="404"/>
      <c r="K621" s="411"/>
      <c r="L621" s="185"/>
      <c r="M621" s="185"/>
      <c r="N621" s="426"/>
      <c r="O621" s="469"/>
    </row>
    <row r="622" spans="3:20" s="431" customFormat="1" ht="15">
      <c r="C622" s="427"/>
      <c r="D622" s="420"/>
      <c r="E622" s="285"/>
      <c r="F622" s="434"/>
      <c r="G622" s="422"/>
      <c r="H622" s="413"/>
      <c r="I622" s="403"/>
      <c r="J622" s="404"/>
      <c r="K622" s="411"/>
      <c r="L622" s="401"/>
      <c r="M622" s="185"/>
      <c r="N622" s="426"/>
      <c r="O622" s="470"/>
      <c r="P622" s="440"/>
      <c r="Q622" s="446"/>
      <c r="R622" s="428"/>
      <c r="S622" s="429"/>
      <c r="T622" s="430"/>
    </row>
    <row r="623" spans="3:20" ht="15">
      <c r="D623" s="420"/>
      <c r="E623" s="285"/>
      <c r="F623" s="434"/>
      <c r="G623" s="422"/>
      <c r="H623" s="413"/>
      <c r="I623" s="403"/>
      <c r="J623" s="404"/>
      <c r="K623" s="411"/>
      <c r="L623" s="185"/>
      <c r="M623" s="185"/>
      <c r="N623" s="426"/>
      <c r="O623" s="469"/>
    </row>
    <row r="624" spans="3:20">
      <c r="D624" s="11"/>
      <c r="E624" s="285"/>
      <c r="F624" s="435"/>
      <c r="G624" s="422"/>
      <c r="H624" s="16"/>
      <c r="I624" s="403"/>
      <c r="J624" s="404"/>
      <c r="K624" s="425"/>
      <c r="L624" s="185"/>
      <c r="M624" s="185"/>
      <c r="N624" s="426"/>
      <c r="O624" s="469"/>
    </row>
    <row r="625" spans="2:22">
      <c r="D625" s="420"/>
      <c r="E625" s="285"/>
      <c r="F625" s="421"/>
      <c r="G625" s="422"/>
      <c r="H625" s="413"/>
      <c r="I625" s="403"/>
      <c r="J625" s="404"/>
      <c r="K625" s="425"/>
      <c r="L625" s="15"/>
      <c r="M625" s="412"/>
      <c r="N625" s="426"/>
      <c r="O625" s="469"/>
    </row>
    <row r="626" spans="2:22">
      <c r="D626" s="420"/>
      <c r="E626" s="285"/>
      <c r="F626" s="421"/>
      <c r="G626" s="422"/>
      <c r="H626" s="413"/>
      <c r="I626" s="403"/>
      <c r="J626" s="404"/>
      <c r="K626" s="425"/>
      <c r="L626" s="15"/>
      <c r="M626" s="412"/>
      <c r="N626" s="426"/>
      <c r="O626" s="469"/>
    </row>
    <row r="627" spans="2:22">
      <c r="D627" s="420"/>
      <c r="E627" s="285"/>
      <c r="F627" s="421"/>
      <c r="G627" s="422"/>
      <c r="H627" s="413"/>
      <c r="I627" s="403"/>
      <c r="J627" s="404"/>
      <c r="K627" s="425"/>
      <c r="L627" s="15"/>
      <c r="M627" s="15"/>
      <c r="N627" s="426"/>
      <c r="O627" s="469"/>
    </row>
    <row r="628" spans="2:22">
      <c r="D628" s="420"/>
      <c r="E628" s="285"/>
      <c r="F628" s="421"/>
      <c r="G628" s="422"/>
      <c r="H628" s="413"/>
      <c r="I628" s="403"/>
      <c r="J628" s="404"/>
      <c r="K628" s="425"/>
      <c r="L628" s="15"/>
      <c r="M628" s="412"/>
      <c r="N628" s="426"/>
      <c r="O628" s="469"/>
    </row>
    <row r="629" spans="2:22">
      <c r="D629" s="420"/>
      <c r="E629" s="285"/>
      <c r="F629" s="421"/>
      <c r="G629" s="422"/>
      <c r="H629" s="413"/>
      <c r="I629" s="403"/>
      <c r="J629" s="404"/>
      <c r="K629" s="425"/>
      <c r="L629" s="15"/>
      <c r="M629" s="412"/>
      <c r="N629" s="426"/>
      <c r="O629" s="469"/>
    </row>
    <row r="630" spans="2:22">
      <c r="D630" s="420"/>
      <c r="E630" s="285"/>
      <c r="F630" s="421"/>
      <c r="G630" s="422"/>
      <c r="H630" s="413"/>
      <c r="I630" s="403"/>
      <c r="J630" s="404"/>
      <c r="K630" s="425"/>
      <c r="L630" s="15"/>
      <c r="M630" s="412"/>
      <c r="N630" s="426"/>
      <c r="O630" s="469"/>
    </row>
    <row r="631" spans="2:22">
      <c r="D631" s="420"/>
      <c r="E631" s="285"/>
      <c r="F631" s="421"/>
      <c r="G631" s="439"/>
      <c r="H631" s="413"/>
      <c r="I631" s="403"/>
      <c r="J631" s="404"/>
      <c r="K631" s="425"/>
      <c r="L631" s="15"/>
      <c r="M631" s="412"/>
      <c r="N631" s="426"/>
      <c r="O631" s="469"/>
    </row>
    <row r="632" spans="2:22">
      <c r="D632" s="420"/>
      <c r="E632" s="285"/>
      <c r="F632" s="421"/>
      <c r="G632" s="422"/>
      <c r="H632" s="413"/>
      <c r="I632" s="403"/>
      <c r="J632" s="404"/>
      <c r="K632" s="425"/>
      <c r="L632" s="15"/>
      <c r="M632" s="412"/>
      <c r="N632" s="426"/>
      <c r="O632" s="469"/>
    </row>
    <row r="633" spans="2:22">
      <c r="D633" s="420"/>
      <c r="E633" s="285"/>
      <c r="F633" s="421"/>
      <c r="G633" s="439"/>
      <c r="H633" s="413"/>
      <c r="I633" s="403"/>
      <c r="J633" s="404"/>
      <c r="K633" s="425"/>
      <c r="L633" s="15"/>
      <c r="M633" s="412"/>
      <c r="O633" s="469"/>
      <c r="P633" s="470"/>
      <c r="Q633" s="471"/>
    </row>
    <row r="634" spans="2:22">
      <c r="D634" s="420"/>
      <c r="E634" s="285"/>
      <c r="F634" s="421"/>
      <c r="G634" s="422"/>
      <c r="H634" s="413"/>
      <c r="I634" s="403"/>
      <c r="J634" s="404"/>
      <c r="K634" s="425"/>
      <c r="L634" s="15"/>
      <c r="M634" s="412"/>
    </row>
    <row r="635" spans="2:22">
      <c r="D635" s="420"/>
      <c r="E635" s="285"/>
      <c r="F635" s="421"/>
      <c r="G635" s="439"/>
      <c r="H635" s="413"/>
      <c r="I635" s="403"/>
      <c r="J635" s="404"/>
      <c r="K635" s="425"/>
      <c r="L635" s="15"/>
      <c r="M635" s="412"/>
    </row>
    <row r="636" spans="2:22">
      <c r="D636" s="420"/>
      <c r="E636" s="285"/>
      <c r="F636" s="421"/>
      <c r="G636" s="422"/>
      <c r="H636" s="413"/>
      <c r="I636" s="18"/>
      <c r="J636" s="404"/>
      <c r="K636" s="425"/>
      <c r="L636" s="15"/>
      <c r="M636" s="412"/>
      <c r="N636" s="432"/>
      <c r="O636" s="472"/>
      <c r="P636" s="457"/>
      <c r="Q636" s="458"/>
    </row>
    <row r="637" spans="2:22">
      <c r="D637" s="420"/>
      <c r="E637" s="285"/>
      <c r="F637" s="421"/>
      <c r="G637" s="439"/>
      <c r="H637" s="413"/>
      <c r="I637" s="403"/>
      <c r="J637" s="404"/>
      <c r="K637" s="425"/>
      <c r="L637" s="15"/>
      <c r="M637" s="412"/>
      <c r="N637" s="426"/>
      <c r="O637" s="469"/>
      <c r="P637" s="450"/>
    </row>
    <row r="638" spans="2:22" ht="15">
      <c r="D638" s="420"/>
      <c r="E638" s="285"/>
      <c r="F638" s="434"/>
      <c r="G638" s="422"/>
      <c r="H638" s="413"/>
      <c r="I638" s="403"/>
      <c r="J638" s="404"/>
      <c r="K638" s="411"/>
      <c r="L638" s="185"/>
      <c r="M638" s="185"/>
      <c r="N638" s="426"/>
      <c r="O638" s="469"/>
    </row>
    <row r="639" spans="2:22" s="431" customFormat="1" ht="15">
      <c r="C639" s="427"/>
      <c r="D639" s="420"/>
      <c r="E639" s="285"/>
      <c r="F639" s="434"/>
      <c r="G639" s="422"/>
      <c r="H639" s="413"/>
      <c r="I639" s="403"/>
      <c r="J639" s="404"/>
      <c r="K639" s="411"/>
      <c r="L639" s="401"/>
      <c r="M639" s="185"/>
      <c r="N639" s="426"/>
      <c r="O639" s="470"/>
      <c r="P639" s="440"/>
      <c r="Q639" s="446"/>
      <c r="R639" s="428"/>
      <c r="S639" s="429"/>
      <c r="T639" s="430"/>
    </row>
    <row r="640" spans="2:22" s="322" customFormat="1" ht="15">
      <c r="B640" s="318"/>
      <c r="C640" s="319"/>
      <c r="D640" s="420"/>
      <c r="E640" s="285"/>
      <c r="F640" s="434"/>
      <c r="G640" s="422"/>
      <c r="H640" s="413"/>
      <c r="I640" s="403"/>
      <c r="J640" s="404"/>
      <c r="K640" s="411"/>
      <c r="L640" s="185"/>
      <c r="M640" s="185"/>
      <c r="N640" s="426"/>
      <c r="O640" s="469"/>
      <c r="P640" s="440"/>
      <c r="Q640" s="446"/>
      <c r="S640" s="323"/>
      <c r="T640" s="324"/>
      <c r="U640" s="318"/>
      <c r="V640" s="318"/>
    </row>
    <row r="641" spans="2:22" s="322" customFormat="1">
      <c r="B641" s="318"/>
      <c r="C641" s="319"/>
      <c r="D641" s="11"/>
      <c r="E641" s="285"/>
      <c r="F641" s="435"/>
      <c r="G641" s="422"/>
      <c r="H641" s="16"/>
      <c r="I641" s="403"/>
      <c r="J641" s="404"/>
      <c r="K641" s="425"/>
      <c r="L641" s="185"/>
      <c r="M641" s="185"/>
      <c r="N641" s="426"/>
      <c r="O641" s="469"/>
      <c r="P641" s="440"/>
      <c r="Q641" s="446"/>
      <c r="S641" s="323"/>
      <c r="T641" s="324"/>
      <c r="U641" s="318"/>
      <c r="V641" s="318"/>
    </row>
    <row r="642" spans="2:22" s="322" customFormat="1">
      <c r="B642" s="318"/>
      <c r="C642" s="319"/>
      <c r="D642" s="420"/>
      <c r="E642" s="285"/>
      <c r="F642" s="421"/>
      <c r="G642" s="422"/>
      <c r="H642" s="413"/>
      <c r="I642" s="403"/>
      <c r="J642" s="404"/>
      <c r="K642" s="425"/>
      <c r="L642" s="15"/>
      <c r="M642" s="412"/>
      <c r="N642" s="426"/>
      <c r="O642" s="469"/>
      <c r="P642" s="440"/>
      <c r="Q642" s="446"/>
      <c r="S642" s="323"/>
      <c r="T642" s="324"/>
      <c r="U642" s="318"/>
      <c r="V642" s="318"/>
    </row>
    <row r="643" spans="2:22" s="322" customFormat="1">
      <c r="B643" s="318"/>
      <c r="C643" s="319"/>
      <c r="D643" s="420"/>
      <c r="E643" s="285"/>
      <c r="F643" s="421"/>
      <c r="G643" s="422"/>
      <c r="H643" s="413"/>
      <c r="I643" s="403"/>
      <c r="J643" s="404"/>
      <c r="K643" s="425"/>
      <c r="L643" s="15"/>
      <c r="M643" s="412"/>
      <c r="N643" s="426"/>
      <c r="O643" s="469"/>
      <c r="P643" s="440"/>
      <c r="Q643" s="446"/>
      <c r="S643" s="323"/>
      <c r="T643" s="324"/>
      <c r="U643" s="318"/>
      <c r="V643" s="318"/>
    </row>
    <row r="644" spans="2:22" s="322" customFormat="1">
      <c r="B644" s="318"/>
      <c r="C644" s="319"/>
      <c r="D644" s="420"/>
      <c r="E644" s="285"/>
      <c r="F644" s="421"/>
      <c r="G644" s="422"/>
      <c r="H644" s="413"/>
      <c r="I644" s="403"/>
      <c r="J644" s="404"/>
      <c r="K644" s="425"/>
      <c r="L644" s="15"/>
      <c r="M644" s="15"/>
      <c r="N644" s="426"/>
      <c r="O644" s="469"/>
      <c r="P644" s="440"/>
      <c r="Q644" s="446"/>
      <c r="S644" s="323"/>
      <c r="T644" s="324"/>
      <c r="U644" s="318"/>
      <c r="V644" s="318"/>
    </row>
    <row r="645" spans="2:22" s="322" customFormat="1">
      <c r="B645" s="318"/>
      <c r="C645" s="319"/>
      <c r="D645" s="420"/>
      <c r="E645" s="285"/>
      <c r="F645" s="421"/>
      <c r="G645" s="422"/>
      <c r="H645" s="413"/>
      <c r="I645" s="403"/>
      <c r="J645" s="404"/>
      <c r="K645" s="425"/>
      <c r="L645" s="15"/>
      <c r="M645" s="412"/>
      <c r="N645" s="426"/>
      <c r="O645" s="469"/>
      <c r="P645" s="440"/>
      <c r="Q645" s="446"/>
      <c r="S645" s="323"/>
      <c r="T645" s="324"/>
      <c r="U645" s="318"/>
      <c r="V645" s="318"/>
    </row>
    <row r="646" spans="2:22" s="322" customFormat="1">
      <c r="B646" s="318"/>
      <c r="C646" s="319"/>
      <c r="D646" s="420"/>
      <c r="E646" s="285"/>
      <c r="F646" s="421"/>
      <c r="G646" s="422"/>
      <c r="H646" s="413"/>
      <c r="I646" s="403"/>
      <c r="J646" s="404"/>
      <c r="K646" s="425"/>
      <c r="L646" s="15"/>
      <c r="M646" s="412"/>
      <c r="N646" s="426"/>
      <c r="O646" s="469"/>
      <c r="P646" s="440"/>
      <c r="Q646" s="446"/>
      <c r="S646" s="323"/>
      <c r="T646" s="324"/>
      <c r="U646" s="318"/>
      <c r="V646" s="318"/>
    </row>
    <row r="647" spans="2:22" s="322" customFormat="1">
      <c r="B647" s="318"/>
      <c r="C647" s="319"/>
      <c r="D647" s="420"/>
      <c r="E647" s="285"/>
      <c r="F647" s="421"/>
      <c r="G647" s="422"/>
      <c r="H647" s="413"/>
      <c r="I647" s="403"/>
      <c r="J647" s="404"/>
      <c r="K647" s="425"/>
      <c r="L647" s="15"/>
      <c r="M647" s="412"/>
      <c r="N647" s="426"/>
      <c r="O647" s="469"/>
      <c r="P647" s="440"/>
      <c r="Q647" s="446"/>
      <c r="S647" s="323"/>
      <c r="T647" s="324"/>
      <c r="U647" s="318"/>
      <c r="V647" s="318"/>
    </row>
    <row r="648" spans="2:22" s="322" customFormat="1">
      <c r="B648" s="318"/>
      <c r="C648" s="319"/>
      <c r="D648" s="420"/>
      <c r="E648" s="285"/>
      <c r="F648" s="421"/>
      <c r="G648" s="439"/>
      <c r="H648" s="413"/>
      <c r="I648" s="403"/>
      <c r="J648" s="404"/>
      <c r="K648" s="425"/>
      <c r="L648" s="15"/>
      <c r="M648" s="412"/>
      <c r="N648" s="426"/>
      <c r="O648" s="469"/>
      <c r="P648" s="440"/>
      <c r="Q648" s="446"/>
      <c r="S648" s="323"/>
      <c r="T648" s="324"/>
      <c r="U648" s="318"/>
      <c r="V648" s="318"/>
    </row>
    <row r="649" spans="2:22" s="322" customFormat="1">
      <c r="B649" s="318"/>
      <c r="C649" s="319"/>
      <c r="D649" s="420"/>
      <c r="E649" s="285"/>
      <c r="F649" s="421"/>
      <c r="G649" s="422"/>
      <c r="H649" s="413"/>
      <c r="I649" s="403"/>
      <c r="J649" s="404"/>
      <c r="K649" s="425"/>
      <c r="L649" s="15"/>
      <c r="M649" s="412"/>
      <c r="N649" s="320"/>
      <c r="O649" s="469"/>
      <c r="P649" s="470"/>
      <c r="Q649" s="471"/>
      <c r="S649" s="323"/>
      <c r="T649" s="324"/>
      <c r="U649" s="318"/>
      <c r="V649" s="318"/>
    </row>
    <row r="650" spans="2:22" s="322" customFormat="1">
      <c r="B650" s="318"/>
      <c r="C650" s="319"/>
      <c r="D650" s="420"/>
      <c r="E650" s="285"/>
      <c r="F650" s="421"/>
      <c r="G650" s="422"/>
      <c r="H650" s="413"/>
      <c r="I650" s="403"/>
      <c r="J650" s="404"/>
      <c r="K650" s="425"/>
      <c r="L650" s="15"/>
      <c r="M650" s="412"/>
      <c r="N650" s="320"/>
      <c r="O650" s="456"/>
      <c r="P650" s="440"/>
      <c r="Q650" s="446"/>
      <c r="S650" s="323"/>
      <c r="T650" s="324"/>
      <c r="U650" s="318"/>
      <c r="V650" s="318"/>
    </row>
    <row r="651" spans="2:22" s="322" customFormat="1">
      <c r="B651" s="318"/>
      <c r="C651" s="319"/>
      <c r="D651" s="420"/>
      <c r="E651" s="285"/>
      <c r="F651" s="421"/>
      <c r="G651" s="422"/>
      <c r="H651" s="413"/>
      <c r="I651" s="403"/>
      <c r="J651" s="404"/>
      <c r="K651" s="425"/>
      <c r="L651" s="15"/>
      <c r="M651" s="412"/>
      <c r="N651" s="320"/>
      <c r="O651" s="456"/>
      <c r="P651" s="440"/>
      <c r="Q651" s="446"/>
      <c r="S651" s="323"/>
      <c r="T651" s="324"/>
      <c r="U651" s="318"/>
      <c r="V651" s="318"/>
    </row>
    <row r="652" spans="2:22" s="322" customFormat="1">
      <c r="B652" s="318"/>
      <c r="C652" s="319"/>
      <c r="D652" s="420"/>
      <c r="E652" s="285"/>
      <c r="F652" s="421"/>
      <c r="G652" s="439"/>
      <c r="H652" s="413"/>
      <c r="I652" s="18"/>
      <c r="J652" s="404"/>
      <c r="K652" s="425"/>
      <c r="L652" s="15"/>
      <c r="M652" s="412"/>
      <c r="N652" s="432"/>
      <c r="O652" s="472"/>
      <c r="P652" s="457"/>
      <c r="Q652" s="458"/>
      <c r="S652" s="323"/>
      <c r="T652" s="324"/>
      <c r="U652" s="318"/>
      <c r="V652" s="318"/>
    </row>
    <row r="653" spans="2:22" s="322" customFormat="1">
      <c r="B653" s="318"/>
      <c r="C653" s="319"/>
      <c r="D653" s="420"/>
      <c r="E653" s="285"/>
      <c r="F653" s="421"/>
      <c r="G653" s="422"/>
      <c r="H653" s="413"/>
      <c r="I653" s="403"/>
      <c r="J653" s="404"/>
      <c r="K653" s="425"/>
      <c r="L653" s="15"/>
      <c r="M653" s="412"/>
      <c r="N653" s="426"/>
      <c r="O653" s="469"/>
      <c r="P653" s="450"/>
      <c r="Q653" s="446"/>
      <c r="S653" s="323"/>
      <c r="T653" s="324"/>
      <c r="U653" s="318"/>
      <c r="V653" s="318"/>
    </row>
    <row r="654" spans="2:22" s="322" customFormat="1" ht="15">
      <c r="B654" s="318"/>
      <c r="C654" s="319"/>
      <c r="D654" s="420"/>
      <c r="E654" s="285"/>
      <c r="F654" s="434"/>
      <c r="G654" s="422"/>
      <c r="H654" s="413"/>
      <c r="I654" s="403"/>
      <c r="J654" s="404"/>
      <c r="K654" s="411"/>
      <c r="L654" s="185"/>
      <c r="M654" s="185"/>
      <c r="N654" s="426"/>
      <c r="O654" s="469"/>
      <c r="P654" s="440"/>
      <c r="Q654" s="446"/>
      <c r="S654" s="323"/>
      <c r="T654" s="324"/>
      <c r="U654" s="318"/>
      <c r="V654" s="318"/>
    </row>
    <row r="655" spans="2:22" s="322" customFormat="1" ht="15">
      <c r="B655" s="318"/>
      <c r="C655" s="319"/>
      <c r="D655" s="420"/>
      <c r="E655" s="285"/>
      <c r="F655" s="434"/>
      <c r="G655" s="422"/>
      <c r="H655" s="413"/>
      <c r="I655" s="403"/>
      <c r="J655" s="404"/>
      <c r="K655" s="411"/>
      <c r="L655" s="401"/>
      <c r="M655" s="185"/>
      <c r="N655" s="426"/>
      <c r="O655" s="469"/>
      <c r="P655" s="440"/>
      <c r="Q655" s="446"/>
      <c r="S655" s="323"/>
      <c r="T655" s="324"/>
      <c r="U655" s="318"/>
      <c r="V655" s="318"/>
    </row>
    <row r="656" spans="2:22" s="431" customFormat="1" ht="15">
      <c r="C656" s="427"/>
      <c r="D656" s="420"/>
      <c r="E656" s="285"/>
      <c r="F656" s="434"/>
      <c r="G656" s="422"/>
      <c r="H656" s="413"/>
      <c r="I656" s="403"/>
      <c r="J656" s="404"/>
      <c r="K656" s="411"/>
      <c r="L656" s="185"/>
      <c r="M656" s="185"/>
      <c r="N656" s="426"/>
      <c r="O656" s="470"/>
      <c r="P656" s="440"/>
      <c r="Q656" s="446"/>
      <c r="R656" s="428"/>
      <c r="S656" s="429"/>
      <c r="T656" s="430"/>
    </row>
    <row r="657" spans="3:22">
      <c r="D657" s="11"/>
      <c r="E657" s="285"/>
      <c r="F657" s="435"/>
      <c r="G657" s="422"/>
      <c r="H657" s="16"/>
      <c r="I657" s="403"/>
      <c r="J657" s="404"/>
      <c r="K657" s="425"/>
      <c r="L657" s="185"/>
      <c r="M657" s="185"/>
      <c r="N657" s="426"/>
      <c r="O657" s="469"/>
    </row>
    <row r="658" spans="3:22">
      <c r="D658" s="420"/>
      <c r="E658" s="285"/>
      <c r="F658" s="421"/>
      <c r="G658" s="422"/>
      <c r="H658" s="413"/>
      <c r="I658" s="403"/>
      <c r="J658" s="404"/>
      <c r="K658" s="425"/>
      <c r="L658" s="15"/>
      <c r="M658" s="412"/>
      <c r="N658" s="426"/>
      <c r="O658" s="469"/>
    </row>
    <row r="659" spans="3:22">
      <c r="D659" s="420"/>
      <c r="E659" s="285"/>
      <c r="F659" s="421"/>
      <c r="G659" s="422"/>
      <c r="H659" s="413"/>
      <c r="I659" s="403"/>
      <c r="J659" s="404"/>
      <c r="K659" s="425"/>
      <c r="L659" s="15"/>
      <c r="M659" s="412"/>
      <c r="N659" s="426"/>
      <c r="O659" s="469"/>
    </row>
    <row r="660" spans="3:22">
      <c r="D660" s="420"/>
      <c r="E660" s="285"/>
      <c r="F660" s="421"/>
      <c r="G660" s="422"/>
      <c r="H660" s="413"/>
      <c r="I660" s="403"/>
      <c r="J660" s="404"/>
      <c r="K660" s="425"/>
      <c r="L660" s="15"/>
      <c r="M660" s="412"/>
      <c r="N660" s="426"/>
      <c r="O660" s="469"/>
    </row>
    <row r="661" spans="3:22">
      <c r="D661" s="420"/>
      <c r="E661" s="285"/>
      <c r="F661" s="421"/>
      <c r="G661" s="422"/>
      <c r="H661" s="413"/>
      <c r="I661" s="403"/>
      <c r="J661" s="404"/>
      <c r="K661" s="425"/>
      <c r="L661" s="15"/>
      <c r="M661" s="15"/>
      <c r="N661" s="426"/>
      <c r="O661" s="469"/>
    </row>
    <row r="662" spans="3:22">
      <c r="D662" s="420"/>
      <c r="E662" s="285"/>
      <c r="F662" s="421"/>
      <c r="G662" s="439"/>
      <c r="H662" s="413"/>
      <c r="I662" s="403"/>
      <c r="J662" s="404"/>
      <c r="K662" s="425"/>
      <c r="L662" s="15"/>
      <c r="M662" s="412"/>
      <c r="N662" s="426"/>
      <c r="O662" s="469"/>
    </row>
    <row r="663" spans="3:22">
      <c r="D663" s="420"/>
      <c r="E663" s="285"/>
      <c r="F663" s="421"/>
      <c r="G663" s="439"/>
      <c r="H663" s="413"/>
      <c r="I663" s="403"/>
      <c r="J663" s="404"/>
      <c r="K663" s="425"/>
      <c r="L663" s="15"/>
      <c r="M663" s="412"/>
      <c r="O663" s="469"/>
      <c r="P663" s="470"/>
      <c r="Q663" s="471"/>
    </row>
    <row r="664" spans="3:22">
      <c r="D664" s="420"/>
      <c r="E664" s="285"/>
      <c r="F664" s="421"/>
      <c r="G664" s="439"/>
      <c r="H664" s="413"/>
      <c r="I664" s="403"/>
      <c r="J664" s="404"/>
      <c r="K664" s="425"/>
      <c r="L664" s="15"/>
      <c r="M664" s="412"/>
    </row>
    <row r="665" spans="3:22">
      <c r="D665" s="420"/>
      <c r="E665" s="285"/>
      <c r="F665" s="421"/>
      <c r="G665" s="422"/>
      <c r="H665" s="413"/>
      <c r="I665" s="403"/>
      <c r="J665" s="404"/>
      <c r="K665" s="425"/>
      <c r="L665" s="15"/>
      <c r="M665" s="412"/>
    </row>
    <row r="666" spans="3:22">
      <c r="D666" s="420"/>
      <c r="E666" s="285"/>
      <c r="F666" s="421"/>
      <c r="G666" s="422"/>
      <c r="H666" s="413"/>
      <c r="J666" s="404"/>
      <c r="K666" s="425"/>
      <c r="L666" s="15"/>
      <c r="M666" s="412"/>
      <c r="O666" s="473"/>
      <c r="P666" s="473"/>
      <c r="Q666" s="473"/>
    </row>
    <row r="667" spans="3:22">
      <c r="C667" s="319">
        <f>SUBTOTAL(9,C9:C666)</f>
        <v>16</v>
      </c>
      <c r="D667" s="420"/>
      <c r="E667" s="285"/>
      <c r="F667" s="421"/>
      <c r="G667" s="422"/>
      <c r="H667" s="413"/>
      <c r="J667" s="404"/>
      <c r="K667" s="425"/>
      <c r="L667" s="15"/>
      <c r="M667" s="412"/>
    </row>
    <row r="668" spans="3:22" s="321" customFormat="1" ht="15">
      <c r="C668" s="440"/>
      <c r="D668" s="420"/>
      <c r="E668" s="285"/>
      <c r="F668" s="434"/>
      <c r="G668" s="422"/>
      <c r="H668" s="413"/>
      <c r="I668" s="319"/>
      <c r="J668" s="441"/>
      <c r="K668" s="411"/>
      <c r="L668" s="185"/>
      <c r="M668" s="185"/>
      <c r="N668" s="442"/>
      <c r="O668" s="474"/>
      <c r="P668" s="440"/>
      <c r="Q668" s="446"/>
      <c r="R668" s="322"/>
      <c r="S668" s="323"/>
      <c r="T668" s="324"/>
      <c r="U668" s="318"/>
      <c r="V668" s="318"/>
    </row>
    <row r="669" spans="3:22" ht="15">
      <c r="D669" s="420"/>
      <c r="E669" s="285"/>
      <c r="F669" s="434"/>
      <c r="G669" s="422"/>
      <c r="H669" s="413"/>
      <c r="J669" s="441"/>
      <c r="K669" s="411"/>
      <c r="L669" s="401"/>
      <c r="M669" s="185"/>
    </row>
    <row r="670" spans="3:22" s="321" customFormat="1" ht="15">
      <c r="C670" s="440"/>
      <c r="D670" s="420"/>
      <c r="E670" s="285"/>
      <c r="F670" s="434"/>
      <c r="G670" s="422"/>
      <c r="H670" s="413"/>
      <c r="I670" s="319"/>
      <c r="J670" s="441"/>
      <c r="K670" s="411"/>
      <c r="L670" s="185"/>
      <c r="M670" s="185"/>
      <c r="N670" s="320"/>
      <c r="O670" s="456"/>
      <c r="P670" s="440"/>
      <c r="Q670" s="446"/>
      <c r="R670" s="322"/>
      <c r="S670" s="323"/>
      <c r="T670" s="324"/>
      <c r="U670" s="318"/>
      <c r="V670" s="318"/>
    </row>
    <row r="671" spans="3:22">
      <c r="G671" s="446"/>
    </row>
  </sheetData>
  <sheetProtection autoFilter="0"/>
  <autoFilter ref="C8:R92"/>
  <mergeCells count="5">
    <mergeCell ref="D7:M7"/>
    <mergeCell ref="E88:L88"/>
    <mergeCell ref="E89:L89"/>
    <mergeCell ref="E90:L90"/>
    <mergeCell ref="E91:L91"/>
  </mergeCells>
  <conditionalFormatting sqref="Q87:Q1048576 Q2 Q10:Q15 Q82 Q17:Q22 Q4:Q8 Q29:Q58">
    <cfRule type="cellIs" dxfId="24" priority="55" operator="lessThan">
      <formula>0</formula>
    </cfRule>
  </conditionalFormatting>
  <conditionalFormatting sqref="P2 P4">
    <cfRule type="cellIs" dxfId="23" priority="50" operator="lessThan">
      <formula>0</formula>
    </cfRule>
  </conditionalFormatting>
  <conditionalFormatting sqref="Q9">
    <cfRule type="cellIs" dxfId="22" priority="37" operator="lessThan">
      <formula>0</formula>
    </cfRule>
  </conditionalFormatting>
  <conditionalFormatting sqref="Q26:Q27">
    <cfRule type="cellIs" dxfId="21" priority="36" operator="lessThan">
      <formula>0</formula>
    </cfRule>
  </conditionalFormatting>
  <conditionalFormatting sqref="Q24">
    <cfRule type="cellIs" dxfId="20" priority="35" operator="lessThan">
      <formula>0</formula>
    </cfRule>
  </conditionalFormatting>
  <conditionalFormatting sqref="Q23">
    <cfRule type="cellIs" dxfId="19" priority="34" operator="lessThan">
      <formula>0</formula>
    </cfRule>
  </conditionalFormatting>
  <conditionalFormatting sqref="Q25">
    <cfRule type="cellIs" dxfId="18" priority="29" operator="lessThan">
      <formula>0</formula>
    </cfRule>
  </conditionalFormatting>
  <conditionalFormatting sqref="Q28">
    <cfRule type="cellIs" dxfId="17" priority="23" operator="lessThan">
      <formula>0</formula>
    </cfRule>
  </conditionalFormatting>
  <conditionalFormatting sqref="Q62:Q63">
    <cfRule type="cellIs" dxfId="16" priority="22" operator="lessThan">
      <formula>0</formula>
    </cfRule>
  </conditionalFormatting>
  <conditionalFormatting sqref="Q60">
    <cfRule type="cellIs" dxfId="15" priority="21" operator="lessThan">
      <formula>0</formula>
    </cfRule>
  </conditionalFormatting>
  <conditionalFormatting sqref="Q59">
    <cfRule type="cellIs" dxfId="14" priority="20" operator="lessThan">
      <formula>0</formula>
    </cfRule>
  </conditionalFormatting>
  <conditionalFormatting sqref="Q61">
    <cfRule type="cellIs" dxfId="13" priority="19" operator="lessThan">
      <formula>0</formula>
    </cfRule>
  </conditionalFormatting>
  <conditionalFormatting sqref="Q67:Q68">
    <cfRule type="cellIs" dxfId="12" priority="18" operator="lessThan">
      <formula>0</formula>
    </cfRule>
  </conditionalFormatting>
  <conditionalFormatting sqref="Q65">
    <cfRule type="cellIs" dxfId="11" priority="17" operator="lessThan">
      <formula>0</formula>
    </cfRule>
  </conditionalFormatting>
  <conditionalFormatting sqref="Q64">
    <cfRule type="cellIs" dxfId="10" priority="16" operator="lessThan">
      <formula>0</formula>
    </cfRule>
  </conditionalFormatting>
  <conditionalFormatting sqref="Q66">
    <cfRule type="cellIs" dxfId="9" priority="15" operator="lessThan">
      <formula>0</formula>
    </cfRule>
  </conditionalFormatting>
  <conditionalFormatting sqref="Q70:Q75">
    <cfRule type="cellIs" dxfId="8" priority="14" operator="lessThan">
      <formula>0</formula>
    </cfRule>
  </conditionalFormatting>
  <conditionalFormatting sqref="Q69">
    <cfRule type="cellIs" dxfId="7" priority="13" operator="lessThan">
      <formula>0</formula>
    </cfRule>
  </conditionalFormatting>
  <conditionalFormatting sqref="Q79:Q81">
    <cfRule type="cellIs" dxfId="6" priority="12" operator="lessThan">
      <formula>0</formula>
    </cfRule>
  </conditionalFormatting>
  <conditionalFormatting sqref="Q77">
    <cfRule type="cellIs" dxfId="5" priority="11" operator="lessThan">
      <formula>0</formula>
    </cfRule>
  </conditionalFormatting>
  <conditionalFormatting sqref="Q76">
    <cfRule type="cellIs" dxfId="4" priority="10" operator="lessThan">
      <formula>0</formula>
    </cfRule>
  </conditionalFormatting>
  <conditionalFormatting sqref="Q78">
    <cfRule type="cellIs" dxfId="3" priority="9" operator="lessThan">
      <formula>0</formula>
    </cfRule>
  </conditionalFormatting>
  <conditionalFormatting sqref="Q16">
    <cfRule type="cellIs" dxfId="2" priority="3" operator="lessThan">
      <formula>0</formula>
    </cfRule>
  </conditionalFormatting>
  <hyperlinks>
    <hyperlink ref="R3" location="INÍCIO!A1" display="INÍCIO"/>
  </hyperlinks>
  <printOptions horizontalCentered="1"/>
  <pageMargins left="0.39370078740157483" right="0.39370078740157483" top="0.39370078740157483" bottom="0.98425196850393704" header="0.39370078740157483" footer="0.39370078740157483"/>
  <pageSetup paperSize="9" scale="70" orientation="landscape" r:id="rId1"/>
  <headerFooter>
    <oddFooter>&amp;C&amp;"Courier New,Normal"&amp;8Prefeitura da UFRJ
Praça Jorge Machado Moreira, 100 - Cidade Universitária - Ilha do Fundão
CEP 21941-598 - Rio de Janeiro-RJ - Cx. Postal 68.010
Tel:21 2598-9324&amp;R&amp;"Courier New,Normal"&amp;8Página: &amp;P/&amp;N</oddFooter>
  </headerFooter>
  <rowBreaks count="3" manualBreakCount="3">
    <brk id="59" min="3" max="12" man="1"/>
    <brk id="630" min="3" max="12" man="1"/>
    <brk id="670" min="3" max="12" man="1"/>
  </rowBreaks>
  <colBreaks count="1" manualBreakCount="1">
    <brk id="13" min="7" max="2579"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8"/>
  <sheetViews>
    <sheetView view="pageBreakPreview" zoomScale="80" zoomScaleNormal="80" zoomScaleSheetLayoutView="80" workbookViewId="0">
      <pane ySplit="8" topLeftCell="A9" activePane="bottomLeft" state="frozenSplit"/>
      <selection activeCell="B14" sqref="B14"/>
      <selection pane="bottomLeft" activeCell="P10" sqref="P10"/>
    </sheetView>
  </sheetViews>
  <sheetFormatPr defaultRowHeight="11.25"/>
  <cols>
    <col min="1" max="1" width="5.85546875" style="580" customWidth="1"/>
    <col min="2" max="2" width="9.140625" style="580"/>
    <col min="3" max="3" width="7.28515625" style="581" customWidth="1"/>
    <col min="4" max="4" width="9" style="582" bestFit="1" customWidth="1"/>
    <col min="5" max="5" width="17.28515625" style="582" customWidth="1"/>
    <col min="6" max="6" width="18.140625" style="583" customWidth="1"/>
    <col min="7" max="7" width="12" style="583" bestFit="1" customWidth="1"/>
    <col min="8" max="8" width="63.42578125" style="584" customWidth="1"/>
    <col min="9" max="9" width="12" style="581" bestFit="1" customWidth="1"/>
    <col min="10" max="10" width="12" style="585" bestFit="1" customWidth="1"/>
    <col min="11" max="11" width="15.5703125" style="596" bestFit="1" customWidth="1"/>
    <col min="12" max="12" width="16.5703125" style="596" customWidth="1"/>
    <col min="13" max="13" width="11" style="589" bestFit="1" customWidth="1"/>
    <col min="14" max="14" width="13" style="589" customWidth="1"/>
    <col min="15" max="15" width="9.140625" style="581"/>
    <col min="16" max="16" width="12" style="581" bestFit="1" customWidth="1"/>
    <col min="17" max="17" width="10.28515625" style="581" bestFit="1" customWidth="1"/>
    <col min="18" max="18" width="12" style="581" bestFit="1" customWidth="1"/>
    <col min="19" max="21" width="9.140625" style="581"/>
    <col min="22" max="22" width="13.140625" style="581" bestFit="1" customWidth="1"/>
    <col min="23" max="16384" width="9.140625" style="581"/>
  </cols>
  <sheetData>
    <row r="1" spans="1:22" s="533" customFormat="1" ht="13.5">
      <c r="A1" s="522"/>
      <c r="B1" s="522"/>
      <c r="C1" s="609"/>
      <c r="D1" s="609"/>
      <c r="E1" s="61" t="s">
        <v>0</v>
      </c>
      <c r="F1" s="523"/>
      <c r="G1" s="523"/>
      <c r="H1" s="524"/>
      <c r="I1" s="523"/>
      <c r="J1" s="525"/>
      <c r="K1" s="526"/>
      <c r="L1" s="527"/>
      <c r="M1" s="528"/>
      <c r="N1" s="529"/>
      <c r="O1" s="530"/>
      <c r="P1" s="531"/>
      <c r="Q1" s="532"/>
      <c r="T1" s="534"/>
      <c r="U1" s="535"/>
    </row>
    <row r="2" spans="1:22" s="533" customFormat="1" ht="14.25" thickBot="1">
      <c r="A2" s="522"/>
      <c r="B2" s="522"/>
      <c r="C2" s="609"/>
      <c r="D2" s="609"/>
      <c r="E2" s="453" t="s">
        <v>1</v>
      </c>
      <c r="F2" s="536"/>
      <c r="G2" s="536"/>
      <c r="H2" s="452"/>
      <c r="I2" s="536"/>
      <c r="J2" s="537"/>
      <c r="K2" s="527"/>
      <c r="M2" s="167"/>
      <c r="N2" s="168"/>
      <c r="O2" s="530"/>
      <c r="P2" s="531"/>
      <c r="Q2" s="532"/>
      <c r="T2" s="534"/>
      <c r="U2" s="535"/>
    </row>
    <row r="3" spans="1:22" s="533" customFormat="1" ht="15.75" thickBot="1">
      <c r="A3" s="522"/>
      <c r="B3" s="522"/>
      <c r="C3" s="609"/>
      <c r="D3" s="609"/>
      <c r="E3" s="212" t="str">
        <f>"Objeto:"&amp;" "&amp;INÍCIO!$D$6</f>
        <v>Objeto: COLETA DE RESÍDUOS DE COMÉRCIO E SERVIÇOS (RESÍDUO EXTRAORDINÁRIO) E RESÍDUO INERTE</v>
      </c>
      <c r="F3" s="284"/>
      <c r="G3" s="284"/>
      <c r="H3" s="284"/>
      <c r="I3" s="284"/>
      <c r="J3" s="284"/>
      <c r="K3" s="284"/>
      <c r="L3" s="284"/>
      <c r="M3" s="538"/>
      <c r="N3" s="539"/>
      <c r="O3" s="530"/>
      <c r="P3" s="283" t="s">
        <v>2</v>
      </c>
      <c r="Q3" s="532"/>
      <c r="T3" s="534"/>
      <c r="U3" s="535"/>
    </row>
    <row r="4" spans="1:22" s="533" customFormat="1" ht="13.5">
      <c r="A4" s="522"/>
      <c r="B4" s="522"/>
      <c r="C4" s="609"/>
      <c r="D4" s="609"/>
      <c r="E4" s="212" t="str">
        <f>"Local:"&amp;" "&amp;INÍCIO!$D$7</f>
        <v>Local: CIDADE UNIVERSITÁRIA, PRAIA VERMELHA, UNIDADES EXTERNAS E STA. CRUZ DA SERRA</v>
      </c>
      <c r="F4" s="196"/>
      <c r="G4" s="196"/>
      <c r="H4" s="196"/>
      <c r="I4" s="196"/>
      <c r="J4" s="196"/>
      <c r="K4" s="196"/>
      <c r="L4" s="196"/>
      <c r="M4" s="528"/>
      <c r="N4" s="529"/>
      <c r="O4" s="530"/>
      <c r="P4" s="531"/>
      <c r="Q4" s="532"/>
      <c r="T4" s="534"/>
      <c r="U4" s="535"/>
    </row>
    <row r="5" spans="1:22" s="533" customFormat="1" ht="13.5">
      <c r="A5" s="522"/>
      <c r="B5" s="522"/>
      <c r="C5" s="609"/>
      <c r="D5" s="609"/>
      <c r="E5" s="212" t="str">
        <f>"Responsável:"&amp;" "&amp;INÍCIO!$D$8</f>
        <v xml:space="preserve">Responsável: </v>
      </c>
      <c r="F5" s="540"/>
      <c r="G5" s="540"/>
      <c r="H5" s="541"/>
      <c r="I5" s="542"/>
      <c r="J5" s="543"/>
      <c r="K5" s="544"/>
      <c r="L5" s="527"/>
      <c r="M5" s="528"/>
      <c r="N5" s="529"/>
      <c r="O5" s="530"/>
      <c r="P5" s="531"/>
      <c r="Q5" s="532"/>
      <c r="T5" s="534"/>
      <c r="U5" s="535"/>
    </row>
    <row r="6" spans="1:22" s="533" customFormat="1">
      <c r="A6" s="522"/>
      <c r="B6" s="522"/>
      <c r="C6" s="545"/>
      <c r="D6" s="546"/>
      <c r="E6" s="213" t="str">
        <f>"Data base das fontes: SCO/RIO -"&amp;" "&amp;INÍCIO!$D$12 &amp;", Informativo SBC -"&amp;" "&amp;INÍCIO!$D$13 &amp;" (na inexistência de item SINAPI)"</f>
        <v>Data base das fontes: SCO/RIO - 11/2020, Informativo SBC - 01/2021 (na inexistência de item SINAPI)</v>
      </c>
      <c r="F6" s="545"/>
      <c r="G6" s="545"/>
      <c r="H6" s="547"/>
      <c r="I6" s="545"/>
      <c r="J6" s="548"/>
      <c r="K6" s="549"/>
      <c r="L6" s="545"/>
      <c r="M6" s="522"/>
      <c r="N6" s="550"/>
      <c r="O6" s="530"/>
      <c r="P6" s="531"/>
      <c r="Q6" s="532"/>
      <c r="T6" s="534"/>
      <c r="U6" s="535"/>
    </row>
    <row r="7" spans="1:22" s="555" customFormat="1" ht="13.5">
      <c r="A7" s="551"/>
      <c r="B7" s="551"/>
      <c r="C7" s="826" t="s">
        <v>320</v>
      </c>
      <c r="D7" s="826"/>
      <c r="E7" s="826"/>
      <c r="F7" s="826"/>
      <c r="G7" s="827"/>
      <c r="H7" s="826"/>
      <c r="I7" s="826"/>
      <c r="J7" s="826"/>
      <c r="K7" s="826"/>
      <c r="L7" s="826"/>
      <c r="M7" s="826"/>
      <c r="N7" s="826"/>
      <c r="O7" s="552"/>
      <c r="P7" s="553"/>
      <c r="Q7" s="554"/>
      <c r="T7" s="556"/>
      <c r="U7" s="557"/>
    </row>
    <row r="8" spans="1:22" s="567" customFormat="1" ht="27">
      <c r="A8" s="558"/>
      <c r="B8" s="558"/>
      <c r="C8" s="559"/>
      <c r="D8" s="560" t="s">
        <v>4</v>
      </c>
      <c r="E8" s="561" t="s">
        <v>5</v>
      </c>
      <c r="F8" s="561" t="s">
        <v>6</v>
      </c>
      <c r="G8" s="638" t="s">
        <v>18</v>
      </c>
      <c r="H8" s="562" t="s">
        <v>7</v>
      </c>
      <c r="I8" s="561" t="s">
        <v>8</v>
      </c>
      <c r="J8" s="563" t="s">
        <v>247</v>
      </c>
      <c r="K8" s="564" t="s">
        <v>10</v>
      </c>
      <c r="L8" s="565" t="s">
        <v>22</v>
      </c>
      <c r="M8" s="566" t="s">
        <v>64</v>
      </c>
      <c r="N8" s="566" t="s">
        <v>66</v>
      </c>
    </row>
    <row r="9" spans="1:22" s="571" customFormat="1" ht="33.75">
      <c r="A9" s="568" t="s">
        <v>324</v>
      </c>
      <c r="B9" s="777">
        <v>6</v>
      </c>
      <c r="C9" s="597" t="e">
        <f t="shared" ref="C9:C15" si="0">IF(N9&lt;80%,"A",IF(AND(N9&gt;80.01%,N9&lt;95%),"B",IF(N9&gt;95.01%,"C")))</f>
        <v>#DIV/0!</v>
      </c>
      <c r="D9" s="597" t="str">
        <f>VLOOKUP(B9,GERAL!C:O,2,FALSE)</f>
        <v>1.1</v>
      </c>
      <c r="E9" s="568" t="str">
        <f>VLOOKUP(B9,GERAL!C:O,3,FALSE)</f>
        <v>UFRJ</v>
      </c>
      <c r="F9" s="568" t="str">
        <f>VLOOKUP(B9,GERAL!C:O,4,FALSE)</f>
        <v>SCO/RIO TC05.15.0100</v>
      </c>
      <c r="G9" s="568" t="s">
        <v>324</v>
      </c>
      <c r="H9" s="571" t="str">
        <f>VLOOKUP(B9,GERAL!C:O,5,FALSE)</f>
        <v>RETIRADA DE ENTULHO DE OBRA EM CACAMBA DE ACO COM 5M3 DE CAPACIDADE, INCLUSIVE CARREGAMENTO DO CONTAINER, TRANSPORTE E DESCARGA, EXCLUSIVE TARIFA DE DISPOSICAO FINAL.</v>
      </c>
      <c r="I9" s="568" t="str">
        <f>VLOOKUP(B9,GERAL!C:O,6,FALSE)</f>
        <v>T</v>
      </c>
      <c r="J9" s="572">
        <f>VLOOKUP(B9,GERAL!C:O,7,FALSE)</f>
        <v>33.333333333333336</v>
      </c>
      <c r="K9" s="573">
        <f>VLOOKUP(B9,GERAL!C:O,9,FALSE)</f>
        <v>0</v>
      </c>
      <c r="L9" s="574">
        <f t="shared" ref="L9:L15" si="1">J9*K9</f>
        <v>0</v>
      </c>
      <c r="M9" s="575" t="e">
        <f t="shared" ref="M9:M15" si="2">L9/$L$22</f>
        <v>#DIV/0!</v>
      </c>
      <c r="N9" s="778" t="e">
        <f>SUM($M$9:M9)</f>
        <v>#DIV/0!</v>
      </c>
      <c r="O9" s="577"/>
      <c r="P9" s="620"/>
      <c r="Q9" s="577"/>
      <c r="R9" s="577"/>
      <c r="S9" s="577"/>
      <c r="T9" s="577"/>
      <c r="U9" s="577"/>
    </row>
    <row r="10" spans="1:22" s="571" customFormat="1">
      <c r="A10" s="568" t="s">
        <v>324</v>
      </c>
      <c r="B10" s="777">
        <v>8</v>
      </c>
      <c r="C10" s="597" t="e">
        <f t="shared" si="0"/>
        <v>#DIV/0!</v>
      </c>
      <c r="D10" s="597" t="str">
        <f>VLOOKUP(B10,GERAL!C:O,2,FALSE)</f>
        <v>2.1</v>
      </c>
      <c r="E10" s="568" t="str">
        <f>VLOOKUP(B10,GERAL!C:O,3,FALSE)</f>
        <v>UFRJ</v>
      </c>
      <c r="F10" s="568" t="str">
        <f>VLOOKUP(B10,GERAL!C:O,4,FALSE)</f>
        <v>UFRJ-004</v>
      </c>
      <c r="G10" s="568" t="s">
        <v>324</v>
      </c>
      <c r="H10" s="571" t="str">
        <f>VLOOKUP(B10,GERAL!C:O,5,FALSE)</f>
        <v>COLETA LIXO DOMICILIAR -CAMINHAO COMPACTADOR 13,76Tn-(COLIXO</v>
      </c>
      <c r="I10" s="568" t="str">
        <f>VLOOKUP(B10,GERAL!C:O,6,FALSE)</f>
        <v>T</v>
      </c>
      <c r="J10" s="572">
        <f>VLOOKUP(B10,GERAL!C:O,7,FALSE)</f>
        <v>14.352</v>
      </c>
      <c r="K10" s="573">
        <f>VLOOKUP(B10,GERAL!C:O,9,FALSE)</f>
        <v>0</v>
      </c>
      <c r="L10" s="574">
        <f t="shared" si="1"/>
        <v>0</v>
      </c>
      <c r="M10" s="575" t="e">
        <f t="shared" si="2"/>
        <v>#DIV/0!</v>
      </c>
      <c r="N10" s="778" t="e">
        <f>SUM($M$9:M10)</f>
        <v>#DIV/0!</v>
      </c>
      <c r="O10" s="577"/>
      <c r="P10" s="577"/>
      <c r="Q10" s="577"/>
      <c r="R10" s="577"/>
      <c r="S10" s="577"/>
      <c r="T10" s="577"/>
      <c r="U10" s="577"/>
    </row>
    <row r="11" spans="1:22" s="571" customFormat="1" ht="22.5">
      <c r="A11" s="568" t="s">
        <v>325</v>
      </c>
      <c r="B11" s="568">
        <v>10</v>
      </c>
      <c r="C11" s="597" t="e">
        <f t="shared" si="0"/>
        <v>#DIV/0!</v>
      </c>
      <c r="D11" s="597" t="str">
        <f>VLOOKUP(B11,GERAL!C:O,2,FALSE)</f>
        <v>2.3</v>
      </c>
      <c r="E11" s="568" t="str">
        <f>VLOOKUP(B11,GERAL!C:O,3,FALSE)</f>
        <v>COMLURB</v>
      </c>
      <c r="F11" s="568" t="str">
        <f>VLOOKUP(B11,GERAL!C:O,4,FALSE)</f>
        <v>COMLURB</v>
      </c>
      <c r="G11" s="568" t="s">
        <v>325</v>
      </c>
      <c r="H11" s="571" t="str">
        <f>VLOOKUP(B11,GERAL!C:O,5,FALSE)</f>
        <v>TARIFA DE DISPOSICAO FINAL (VAZAMENTO DE RESÍDUO DE GRANDE GERADOR PROVENIENTE DA CIDADE DO RIO DE JANEIRO)</v>
      </c>
      <c r="I11" s="568" t="str">
        <f>VLOOKUP(B11,GERAL!C:O,6,FALSE)</f>
        <v>T</v>
      </c>
      <c r="J11" s="572">
        <f>VLOOKUP(B11,GERAL!C:O,7,FALSE)</f>
        <v>14.352</v>
      </c>
      <c r="K11" s="573">
        <f>VLOOKUP(B11,GERAL!C:O,9,FALSE)</f>
        <v>0</v>
      </c>
      <c r="L11" s="574">
        <f t="shared" si="1"/>
        <v>0</v>
      </c>
      <c r="M11" s="575" t="e">
        <f t="shared" si="2"/>
        <v>#DIV/0!</v>
      </c>
      <c r="N11" s="576" t="e">
        <f>SUM($M$9:M11)</f>
        <v>#DIV/0!</v>
      </c>
      <c r="O11" s="577"/>
      <c r="P11" s="577"/>
      <c r="Q11" s="577"/>
      <c r="R11" s="577"/>
      <c r="S11" s="577"/>
      <c r="T11" s="577"/>
      <c r="U11" s="577"/>
    </row>
    <row r="12" spans="1:22" s="603" customFormat="1" ht="33.75">
      <c r="A12" s="602" t="s">
        <v>324</v>
      </c>
      <c r="B12" s="602">
        <v>11</v>
      </c>
      <c r="C12" s="601" t="e">
        <f t="shared" si="0"/>
        <v>#DIV/0!</v>
      </c>
      <c r="D12" s="601" t="str">
        <f>VLOOKUP(B12,GERAL!C:O,2,FALSE)</f>
        <v>2.4</v>
      </c>
      <c r="E12" s="602" t="str">
        <f>VLOOKUP(B12,GERAL!C:O,3,FALSE)</f>
        <v>UFRJ</v>
      </c>
      <c r="F12" s="602" t="str">
        <f>VLOOKUP(B12,GERAL!C:O,4,FALSE)</f>
        <v>SCO/RIO TC05.15.0100</v>
      </c>
      <c r="G12" s="602" t="s">
        <v>324</v>
      </c>
      <c r="H12" s="603" t="str">
        <f>VLOOKUP(B12,GERAL!C:O,5,FALSE)</f>
        <v>RETIRADA DE ENTULHO DE OBRA EM CACAMBA DE ACO COM 5M3 DE CAPACIDADE, INCLUSIVE CARREGAMENTO DO CONTAINER, TRANSPORTE E DESCARGA, EXCLUSIVE TARIFA DE DISPOSICAO FINAL.</v>
      </c>
      <c r="I12" s="602" t="str">
        <f>VLOOKUP(B12,GERAL!C:O,6,FALSE)</f>
        <v>T</v>
      </c>
      <c r="J12" s="604">
        <f>VLOOKUP(B12,GERAL!C:O,7,FALSE)</f>
        <v>26</v>
      </c>
      <c r="K12" s="605">
        <f>VLOOKUP(B12,GERAL!C:O,9,FALSE)</f>
        <v>0</v>
      </c>
      <c r="L12" s="606">
        <f t="shared" si="1"/>
        <v>0</v>
      </c>
      <c r="M12" s="607" t="e">
        <f t="shared" si="2"/>
        <v>#DIV/0!</v>
      </c>
      <c r="N12" s="608" t="e">
        <f>SUM($M$9:M12)</f>
        <v>#DIV/0!</v>
      </c>
      <c r="O12" s="776"/>
      <c r="P12" s="776"/>
      <c r="Q12" s="776"/>
      <c r="R12" s="776"/>
      <c r="S12" s="776"/>
      <c r="T12" s="776"/>
      <c r="U12" s="776"/>
    </row>
    <row r="13" spans="1:22" s="784" customFormat="1" ht="22.5">
      <c r="A13" s="781" t="s">
        <v>325</v>
      </c>
      <c r="B13" s="782">
        <v>7</v>
      </c>
      <c r="C13" s="783" t="e">
        <f t="shared" si="0"/>
        <v>#DIV/0!</v>
      </c>
      <c r="D13" s="783" t="str">
        <f>VLOOKUP(B13,GERAL!C:O,2,FALSE)</f>
        <v>1.2</v>
      </c>
      <c r="E13" s="781" t="str">
        <f>VLOOKUP(B13,GERAL!C:O,3,FALSE)</f>
        <v>COMLURB</v>
      </c>
      <c r="F13" s="781" t="str">
        <f>VLOOKUP(B13,GERAL!C:O,4,FALSE)</f>
        <v>COMLURB</v>
      </c>
      <c r="G13" s="781" t="s">
        <v>325</v>
      </c>
      <c r="H13" s="784" t="str">
        <f>VLOOKUP(B13,GERAL!C:O,5,FALSE)</f>
        <v>TARIFA DE DISPOSICAO FINAL (VAZAMENTO DE RESÍDUOS SÓLIDOS INERTES MISTURADOS - RSI)</v>
      </c>
      <c r="I13" s="781" t="str">
        <f>VLOOKUP(B13,GERAL!C:O,6,FALSE)</f>
        <v>T</v>
      </c>
      <c r="J13" s="785">
        <f>VLOOKUP(B13,GERAL!C:O,7,FALSE)</f>
        <v>33.333333333333336</v>
      </c>
      <c r="K13" s="786">
        <f>VLOOKUP(B13,GERAL!C:O,9,FALSE)</f>
        <v>0</v>
      </c>
      <c r="L13" s="787">
        <f t="shared" si="1"/>
        <v>0</v>
      </c>
      <c r="M13" s="788" t="e">
        <f t="shared" si="2"/>
        <v>#DIV/0!</v>
      </c>
      <c r="N13" s="789" t="e">
        <f>SUM($M$9:M13)</f>
        <v>#DIV/0!</v>
      </c>
      <c r="O13" s="790"/>
      <c r="P13" s="790"/>
      <c r="Q13" s="790"/>
      <c r="R13" s="790"/>
      <c r="S13" s="790"/>
      <c r="T13" s="790"/>
      <c r="U13" s="790"/>
    </row>
    <row r="14" spans="1:22" s="571" customFormat="1" ht="22.5">
      <c r="A14" s="568" t="s">
        <v>322</v>
      </c>
      <c r="B14" s="777">
        <v>9</v>
      </c>
      <c r="C14" s="597" t="e">
        <f t="shared" si="0"/>
        <v>#DIV/0!</v>
      </c>
      <c r="D14" s="597" t="str">
        <f>VLOOKUP(B14,GERAL!C:O,2,FALSE)</f>
        <v>2.2</v>
      </c>
      <c r="E14" s="568" t="str">
        <f>VLOOKUP(B14,GERAL!C:O,3,FALSE)</f>
        <v>UFRJ</v>
      </c>
      <c r="F14" s="568" t="str">
        <f>VLOOKUP(B14,GERAL!C:O,4,FALSE)</f>
        <v>UFRJ-002</v>
      </c>
      <c r="G14" s="568" t="s">
        <v>322</v>
      </c>
      <c r="H14" s="571" t="str">
        <f>VLOOKUP(B14,GERAL!C:O,5,FALSE)</f>
        <v>LOCAÇÃO DE CONTENTOR METÁLICO DE 1200L, CONFORME ABNT NBR 13334</v>
      </c>
      <c r="I14" s="568" t="str">
        <f>VLOOKUP(B14,GERAL!C:O,6,FALSE)</f>
        <v xml:space="preserve">UN </v>
      </c>
      <c r="J14" s="572">
        <f>VLOOKUP(B14,GERAL!C:O,7,FALSE)</f>
        <v>4</v>
      </c>
      <c r="K14" s="573">
        <f>VLOOKUP(B14,GERAL!C:O,9,FALSE)</f>
        <v>0</v>
      </c>
      <c r="L14" s="574">
        <f t="shared" si="1"/>
        <v>0</v>
      </c>
      <c r="M14" s="575" t="e">
        <f t="shared" si="2"/>
        <v>#DIV/0!</v>
      </c>
      <c r="N14" s="778" t="e">
        <f>SUM($M$9:M14)</f>
        <v>#DIV/0!</v>
      </c>
      <c r="O14" s="577"/>
      <c r="P14" s="577"/>
      <c r="Q14" s="577"/>
      <c r="R14" s="577"/>
      <c r="S14" s="577"/>
      <c r="T14" s="577"/>
      <c r="U14" s="577"/>
    </row>
    <row r="15" spans="1:22" s="571" customFormat="1" ht="22.5">
      <c r="A15" s="568" t="s">
        <v>325</v>
      </c>
      <c r="B15" s="779">
        <v>12</v>
      </c>
      <c r="C15" s="601" t="e">
        <f t="shared" si="0"/>
        <v>#DIV/0!</v>
      </c>
      <c r="D15" s="601" t="str">
        <f>VLOOKUP(B15,GERAL!C:O,2,FALSE)</f>
        <v>2.5</v>
      </c>
      <c r="E15" s="602" t="str">
        <f>VLOOKUP(B15,GERAL!C:O,3,FALSE)</f>
        <v>COMLURB</v>
      </c>
      <c r="F15" s="602" t="str">
        <f>VLOOKUP(B15,GERAL!C:O,4,FALSE)</f>
        <v>COMLURB</v>
      </c>
      <c r="G15" s="602" t="s">
        <v>325</v>
      </c>
      <c r="H15" s="603" t="str">
        <f>VLOOKUP(B15,GERAL!C:O,5,FALSE)</f>
        <v>TARIFA DE DISPOSICAO FINAL (VAZAMENTO DE RESÍDUOS SÓLIDOS INERTES MISTURADOS - RSI)</v>
      </c>
      <c r="I15" s="602" t="str">
        <f>VLOOKUP(B15,GERAL!C:O,6,FALSE)</f>
        <v>T</v>
      </c>
      <c r="J15" s="604">
        <f>VLOOKUP(B15,GERAL!C:O,7,FALSE)</f>
        <v>26</v>
      </c>
      <c r="K15" s="605">
        <f>VLOOKUP(B15,GERAL!C:O,9,FALSE)</f>
        <v>0</v>
      </c>
      <c r="L15" s="606">
        <f t="shared" si="1"/>
        <v>0</v>
      </c>
      <c r="M15" s="607" t="e">
        <f t="shared" si="2"/>
        <v>#DIV/0!</v>
      </c>
      <c r="N15" s="780" t="e">
        <f>SUM($M$9:M15)</f>
        <v>#DIV/0!</v>
      </c>
      <c r="O15" s="577"/>
      <c r="P15" s="577"/>
      <c r="Q15" s="577"/>
      <c r="R15" s="577"/>
      <c r="S15" s="577"/>
      <c r="T15" s="577"/>
      <c r="U15" s="577"/>
    </row>
    <row r="16" spans="1:22" s="624" customFormat="1" ht="13.5">
      <c r="A16" s="569"/>
      <c r="B16" s="621"/>
      <c r="C16" s="621"/>
      <c r="D16" s="622"/>
      <c r="E16" s="622"/>
      <c r="F16" s="622"/>
      <c r="G16" s="622"/>
      <c r="H16" s="621"/>
      <c r="I16" s="622"/>
      <c r="J16" s="622"/>
      <c r="K16" s="623"/>
      <c r="L16" s="622"/>
      <c r="M16" s="622"/>
      <c r="N16" s="622"/>
      <c r="O16" s="569"/>
      <c r="P16" s="569"/>
      <c r="Q16" s="569"/>
      <c r="R16" s="569"/>
      <c r="S16" s="578"/>
      <c r="T16" s="578"/>
      <c r="U16" s="644"/>
      <c r="V16" s="641"/>
    </row>
    <row r="17" spans="1:22" s="569" customFormat="1">
      <c r="B17" s="619"/>
      <c r="C17" s="619"/>
      <c r="F17" s="625"/>
      <c r="G17" s="625"/>
      <c r="H17" s="571"/>
      <c r="I17" s="625"/>
      <c r="J17" s="626"/>
      <c r="K17" s="627" t="s">
        <v>256</v>
      </c>
      <c r="L17" s="628">
        <f>SUM(L9:L15)</f>
        <v>0</v>
      </c>
      <c r="M17" s="588" t="e">
        <f>SUM(M9:M15)</f>
        <v>#DIV/0!</v>
      </c>
      <c r="S17" s="619"/>
      <c r="T17" s="619"/>
      <c r="U17" s="639"/>
      <c r="V17" s="640"/>
    </row>
    <row r="18" spans="1:22">
      <c r="A18" s="581"/>
      <c r="B18" s="581"/>
      <c r="D18" s="581"/>
      <c r="E18" s="629"/>
      <c r="F18" s="382"/>
      <c r="G18" s="382"/>
      <c r="H18" s="630"/>
      <c r="I18" s="631"/>
      <c r="J18" s="632"/>
      <c r="L18" s="592"/>
      <c r="M18" s="633"/>
      <c r="N18" s="596"/>
      <c r="V18" s="642"/>
    </row>
    <row r="19" spans="1:22">
      <c r="A19" s="634"/>
      <c r="B19" s="634"/>
      <c r="C19" s="634"/>
      <c r="D19" s="634"/>
      <c r="E19" s="635"/>
      <c r="G19" s="625" t="s">
        <v>325</v>
      </c>
      <c r="H19" s="571" t="s">
        <v>326</v>
      </c>
      <c r="I19" s="625"/>
      <c r="J19" s="600"/>
      <c r="K19" s="636"/>
      <c r="L19" s="592">
        <f>SUMPRODUCT(($A$9:$A$15=G19)*($G$9:$G$15=G19),($L$9:$L$15))</f>
        <v>0</v>
      </c>
      <c r="M19" s="591" t="e">
        <f>L19/$L$22</f>
        <v>#DIV/0!</v>
      </c>
      <c r="N19" s="634"/>
      <c r="O19" s="591"/>
      <c r="P19" s="634"/>
      <c r="Q19" s="634"/>
      <c r="R19" s="634"/>
      <c r="S19" s="634"/>
      <c r="T19" s="634"/>
      <c r="V19" s="643"/>
    </row>
    <row r="20" spans="1:22">
      <c r="A20" s="634"/>
      <c r="B20" s="634"/>
      <c r="C20" s="634"/>
      <c r="D20" s="634"/>
      <c r="E20" s="635"/>
      <c r="G20" s="625" t="s">
        <v>324</v>
      </c>
      <c r="H20" s="571" t="s">
        <v>327</v>
      </c>
      <c r="I20" s="625"/>
      <c r="J20" s="600"/>
      <c r="K20" s="636"/>
      <c r="L20" s="592">
        <f>SUMPRODUCT(($A$9:$A$15=G20)*($G$9:$G$15=G20),($L$9:$L$15))</f>
        <v>0</v>
      </c>
      <c r="M20" s="591" t="e">
        <f t="shared" ref="M20:M21" si="3">L20/$L$22</f>
        <v>#DIV/0!</v>
      </c>
      <c r="N20" s="634"/>
      <c r="O20" s="591"/>
      <c r="P20" s="634"/>
      <c r="Q20" s="634"/>
      <c r="R20" s="634"/>
      <c r="S20" s="634"/>
      <c r="T20" s="634"/>
    </row>
    <row r="21" spans="1:22" s="634" customFormat="1">
      <c r="A21" s="624"/>
      <c r="B21" s="581"/>
      <c r="C21" s="581"/>
      <c r="D21" s="637"/>
      <c r="E21" s="637"/>
      <c r="G21" s="382" t="s">
        <v>322</v>
      </c>
      <c r="H21" s="571" t="s">
        <v>323</v>
      </c>
      <c r="I21" s="631"/>
      <c r="J21" s="632"/>
      <c r="K21" s="596"/>
      <c r="L21" s="592">
        <f>SUMPRODUCT(($A$9:$A$15=G21)*($G$9:$G$15=G21),($L$9:$L$15))</f>
        <v>0</v>
      </c>
      <c r="M21" s="591" t="e">
        <f t="shared" si="3"/>
        <v>#DIV/0!</v>
      </c>
      <c r="N21" s="596"/>
      <c r="O21" s="591"/>
      <c r="P21" s="581"/>
      <c r="Q21" s="581"/>
      <c r="R21" s="581"/>
      <c r="S21" s="581"/>
      <c r="T21" s="581"/>
    </row>
    <row r="22" spans="1:22" s="571" customFormat="1">
      <c r="A22" s="568"/>
      <c r="B22" s="568"/>
      <c r="C22" s="569"/>
      <c r="D22" s="570"/>
      <c r="E22" s="568"/>
      <c r="F22" s="568"/>
      <c r="G22" s="568"/>
      <c r="I22" s="568"/>
      <c r="J22" s="585"/>
      <c r="K22" s="586" t="s">
        <v>256</v>
      </c>
      <c r="L22" s="587">
        <f>SUM(L19:L21)</f>
        <v>0</v>
      </c>
      <c r="M22" s="588" t="e">
        <f>SUM(M19:M21)</f>
        <v>#DIV/0!</v>
      </c>
      <c r="N22" s="576"/>
      <c r="O22" s="577"/>
      <c r="P22" s="577"/>
      <c r="Q22" s="577"/>
      <c r="R22" s="577"/>
      <c r="S22" s="577"/>
      <c r="T22" s="577"/>
      <c r="U22" s="577"/>
    </row>
    <row r="23" spans="1:22" s="571" customFormat="1">
      <c r="A23" s="568"/>
      <c r="B23" s="568"/>
      <c r="C23" s="569"/>
      <c r="D23" s="570"/>
      <c r="E23" s="568"/>
      <c r="F23" s="568"/>
      <c r="G23" s="568"/>
      <c r="I23" s="568"/>
      <c r="J23" s="506" t="s">
        <v>23</v>
      </c>
      <c r="K23" s="598">
        <f>BDI!J11</f>
        <v>0.19818131607686618</v>
      </c>
      <c r="L23" s="599">
        <f>L22*K23</f>
        <v>0</v>
      </c>
      <c r="M23" s="589"/>
      <c r="N23" s="576"/>
      <c r="O23" s="577"/>
      <c r="P23" s="577"/>
      <c r="Q23" s="577"/>
      <c r="R23" s="577"/>
      <c r="S23" s="577"/>
      <c r="T23" s="577"/>
      <c r="U23" s="577"/>
    </row>
    <row r="24" spans="1:22" s="571" customFormat="1">
      <c r="A24" s="568"/>
      <c r="B24" s="568"/>
      <c r="C24" s="569"/>
      <c r="D24" s="570"/>
      <c r="E24" s="568"/>
      <c r="F24" s="568"/>
      <c r="G24" s="568"/>
      <c r="I24" s="568"/>
      <c r="J24" s="600"/>
      <c r="K24" s="506" t="s">
        <v>243</v>
      </c>
      <c r="L24" s="599">
        <f>SUM(L22:L23)</f>
        <v>0</v>
      </c>
      <c r="M24" s="589"/>
      <c r="N24" s="576"/>
      <c r="O24" s="577"/>
      <c r="P24" s="577"/>
      <c r="Q24" s="577"/>
      <c r="R24" s="577"/>
      <c r="S24" s="577"/>
      <c r="T24" s="577"/>
      <c r="U24" s="577"/>
    </row>
    <row r="25" spans="1:22" s="571" customFormat="1">
      <c r="A25" s="568"/>
      <c r="B25" s="568"/>
      <c r="C25" s="569"/>
      <c r="D25" s="570"/>
      <c r="E25" s="568"/>
      <c r="F25" s="568"/>
      <c r="G25" s="568"/>
      <c r="I25" s="568"/>
      <c r="J25" s="585"/>
      <c r="K25" s="593"/>
      <c r="L25" s="594"/>
      <c r="M25" s="589"/>
      <c r="N25" s="576"/>
      <c r="O25" s="577"/>
      <c r="P25" s="577"/>
      <c r="Q25" s="577"/>
      <c r="R25" s="577"/>
      <c r="S25" s="577"/>
      <c r="T25" s="577"/>
      <c r="U25" s="577"/>
    </row>
    <row r="26" spans="1:22" s="571" customFormat="1">
      <c r="A26" s="568"/>
      <c r="B26" s="568"/>
      <c r="C26" s="569"/>
      <c r="D26" s="570"/>
      <c r="E26" s="568"/>
      <c r="F26" s="568"/>
      <c r="G26" s="568"/>
      <c r="I26" s="568"/>
      <c r="J26" s="585"/>
      <c r="K26" s="595"/>
      <c r="L26" s="587"/>
      <c r="M26" s="589"/>
      <c r="N26" s="576"/>
      <c r="O26" s="577"/>
      <c r="P26" s="577"/>
      <c r="Q26" s="577"/>
      <c r="R26" s="577"/>
      <c r="S26" s="577"/>
      <c r="T26" s="577"/>
      <c r="U26" s="577"/>
    </row>
    <row r="27" spans="1:22" s="571" customFormat="1">
      <c r="A27" s="568"/>
      <c r="B27" s="568"/>
      <c r="C27" s="569"/>
      <c r="D27" s="570"/>
      <c r="E27" s="568"/>
      <c r="F27" s="568"/>
      <c r="G27" s="568"/>
      <c r="I27" s="568"/>
      <c r="J27" s="585"/>
      <c r="K27" s="596"/>
      <c r="L27" s="587">
        <f>L24-GERAL!N25</f>
        <v>0</v>
      </c>
      <c r="M27" s="589"/>
      <c r="N27" s="576"/>
      <c r="O27" s="577"/>
      <c r="P27" s="577"/>
      <c r="Q27" s="577"/>
      <c r="R27" s="577"/>
      <c r="S27" s="577"/>
      <c r="T27" s="577"/>
      <c r="U27" s="577"/>
    </row>
    <row r="28" spans="1:22" s="571" customFormat="1">
      <c r="A28" s="568"/>
      <c r="B28" s="568"/>
      <c r="C28" s="569"/>
      <c r="D28" s="570"/>
      <c r="E28" s="568"/>
      <c r="F28" s="568"/>
      <c r="G28" s="568"/>
      <c r="I28" s="568"/>
      <c r="J28" s="572"/>
      <c r="K28" s="573"/>
      <c r="L28" s="574"/>
      <c r="M28" s="575"/>
      <c r="N28" s="576"/>
      <c r="O28" s="577"/>
      <c r="P28" s="577"/>
      <c r="Q28" s="577"/>
      <c r="R28" s="577"/>
      <c r="S28" s="577"/>
      <c r="T28" s="577"/>
      <c r="U28" s="577"/>
    </row>
    <row r="29" spans="1:22" s="571" customFormat="1">
      <c r="A29" s="568"/>
      <c r="B29" s="568"/>
      <c r="C29" s="569"/>
      <c r="D29" s="570"/>
      <c r="E29" s="568"/>
      <c r="F29" s="568"/>
      <c r="G29" s="568"/>
      <c r="I29" s="568"/>
      <c r="J29" s="572"/>
      <c r="K29" s="573"/>
      <c r="L29" s="574">
        <f>L24*12</f>
        <v>0</v>
      </c>
      <c r="M29" s="575"/>
      <c r="N29" s="576"/>
      <c r="O29" s="577"/>
      <c r="P29" s="577"/>
      <c r="Q29" s="577"/>
      <c r="R29" s="577"/>
      <c r="S29" s="577"/>
      <c r="T29" s="577"/>
      <c r="U29" s="577"/>
    </row>
    <row r="30" spans="1:22" s="571" customFormat="1">
      <c r="A30" s="568"/>
      <c r="B30" s="568"/>
      <c r="C30" s="569"/>
      <c r="D30" s="570"/>
      <c r="E30" s="568"/>
      <c r="F30" s="568"/>
      <c r="G30" s="568"/>
      <c r="I30" s="568"/>
      <c r="J30" s="572"/>
      <c r="K30" s="573"/>
      <c r="L30" s="574"/>
      <c r="M30" s="575"/>
      <c r="N30" s="576"/>
      <c r="O30" s="577"/>
      <c r="P30" s="577"/>
      <c r="Q30" s="577"/>
      <c r="R30" s="577"/>
      <c r="S30" s="577"/>
      <c r="T30" s="577"/>
      <c r="U30" s="577"/>
    </row>
    <row r="31" spans="1:22" s="571" customFormat="1">
      <c r="A31" s="568"/>
      <c r="B31" s="568"/>
      <c r="C31" s="569"/>
      <c r="D31" s="570"/>
      <c r="E31" s="568"/>
      <c r="F31" s="568"/>
      <c r="G31" s="568"/>
      <c r="I31" s="568"/>
      <c r="J31" s="572"/>
      <c r="K31" s="573"/>
      <c r="L31" s="574">
        <f>L29-GERAL!O25</f>
        <v>0</v>
      </c>
      <c r="M31" s="575"/>
      <c r="N31" s="576"/>
      <c r="O31" s="577"/>
      <c r="P31" s="577"/>
      <c r="Q31" s="577"/>
      <c r="R31" s="577"/>
      <c r="S31" s="577"/>
      <c r="T31" s="577"/>
      <c r="U31" s="577"/>
    </row>
    <row r="32" spans="1:22" s="571" customFormat="1">
      <c r="A32" s="568"/>
      <c r="B32" s="568"/>
      <c r="C32" s="569"/>
      <c r="D32" s="570"/>
      <c r="E32" s="568"/>
      <c r="F32" s="568"/>
      <c r="G32" s="568"/>
      <c r="I32" s="568"/>
      <c r="J32" s="572"/>
      <c r="K32" s="573"/>
      <c r="L32" s="574"/>
      <c r="M32" s="575"/>
      <c r="N32" s="576"/>
      <c r="O32" s="577"/>
      <c r="P32" s="577"/>
      <c r="Q32" s="577"/>
      <c r="R32" s="577"/>
      <c r="S32" s="577"/>
      <c r="T32" s="577"/>
      <c r="U32" s="577"/>
    </row>
    <row r="33" spans="1:21" s="571" customFormat="1">
      <c r="A33" s="568"/>
      <c r="B33" s="568"/>
      <c r="C33" s="569"/>
      <c r="D33" s="570"/>
      <c r="E33" s="568"/>
      <c r="F33" s="568"/>
      <c r="G33" s="568"/>
      <c r="I33" s="568"/>
      <c r="J33" s="572"/>
      <c r="K33" s="573"/>
      <c r="L33" s="574"/>
      <c r="M33" s="575"/>
      <c r="N33" s="576"/>
      <c r="O33" s="577"/>
      <c r="P33" s="577"/>
      <c r="Q33" s="577"/>
      <c r="R33" s="577"/>
      <c r="S33" s="577"/>
      <c r="T33" s="577"/>
      <c r="U33" s="577"/>
    </row>
    <row r="34" spans="1:21" s="571" customFormat="1">
      <c r="A34" s="568"/>
      <c r="B34" s="568"/>
      <c r="C34" s="569"/>
      <c r="D34" s="570"/>
      <c r="E34" s="568"/>
      <c r="F34" s="568"/>
      <c r="G34" s="568"/>
      <c r="I34" s="568"/>
      <c r="J34" s="572"/>
      <c r="K34" s="573"/>
      <c r="L34" s="574"/>
      <c r="M34" s="575"/>
      <c r="N34" s="576"/>
      <c r="O34" s="577"/>
      <c r="P34" s="577"/>
      <c r="Q34" s="577"/>
      <c r="R34" s="577"/>
      <c r="S34" s="577"/>
      <c r="T34" s="577"/>
      <c r="U34" s="577"/>
    </row>
    <row r="35" spans="1:21" s="571" customFormat="1">
      <c r="A35" s="568"/>
      <c r="B35" s="568"/>
      <c r="C35" s="569"/>
      <c r="D35" s="570"/>
      <c r="E35" s="568"/>
      <c r="F35" s="568"/>
      <c r="G35" s="568"/>
      <c r="I35" s="568"/>
      <c r="J35" s="572"/>
      <c r="K35" s="573"/>
      <c r="L35" s="574"/>
      <c r="M35" s="575"/>
      <c r="N35" s="576"/>
      <c r="O35" s="577"/>
      <c r="P35" s="577"/>
      <c r="Q35" s="577"/>
      <c r="R35" s="577"/>
      <c r="S35" s="577"/>
      <c r="T35" s="577"/>
      <c r="U35" s="577"/>
    </row>
    <row r="36" spans="1:21" s="571" customFormat="1">
      <c r="A36" s="568"/>
      <c r="B36" s="568"/>
      <c r="C36" s="569"/>
      <c r="D36" s="570"/>
      <c r="E36" s="568"/>
      <c r="F36" s="568"/>
      <c r="G36" s="568"/>
      <c r="I36" s="568"/>
      <c r="J36" s="572"/>
      <c r="K36" s="573"/>
      <c r="L36" s="599"/>
      <c r="M36" s="575"/>
      <c r="N36" s="576"/>
      <c r="O36" s="577"/>
      <c r="P36" s="577"/>
      <c r="Q36" s="577"/>
      <c r="R36" s="577"/>
      <c r="S36" s="577"/>
      <c r="T36" s="577"/>
      <c r="U36" s="577"/>
    </row>
    <row r="37" spans="1:21" s="571" customFormat="1">
      <c r="A37" s="568"/>
      <c r="B37" s="568"/>
      <c r="C37" s="569"/>
      <c r="D37" s="570"/>
      <c r="E37" s="568"/>
      <c r="F37" s="568"/>
      <c r="G37" s="568"/>
      <c r="I37" s="568"/>
      <c r="J37" s="572"/>
      <c r="K37" s="573"/>
      <c r="L37" s="592"/>
      <c r="M37" s="591"/>
      <c r="N37" s="576"/>
      <c r="O37" s="577"/>
      <c r="P37" s="577"/>
      <c r="Q37" s="577"/>
      <c r="R37" s="577"/>
      <c r="S37" s="577"/>
      <c r="T37" s="577"/>
      <c r="U37" s="577"/>
    </row>
    <row r="38" spans="1:21" s="571" customFormat="1">
      <c r="A38" s="568"/>
      <c r="B38" s="568"/>
      <c r="C38" s="569"/>
      <c r="D38" s="570"/>
      <c r="E38" s="568"/>
      <c r="F38" s="568"/>
      <c r="G38" s="568"/>
      <c r="I38" s="568"/>
      <c r="J38" s="572"/>
      <c r="K38" s="573"/>
      <c r="L38" s="592"/>
      <c r="M38" s="591"/>
      <c r="N38" s="576"/>
      <c r="O38" s="577"/>
      <c r="P38" s="577"/>
      <c r="Q38" s="577"/>
      <c r="R38" s="577"/>
      <c r="S38" s="577"/>
      <c r="T38" s="577"/>
      <c r="U38" s="577"/>
    </row>
    <row r="39" spans="1:21" s="571" customFormat="1">
      <c r="A39" s="568"/>
      <c r="B39" s="568"/>
      <c r="C39" s="569"/>
      <c r="D39" s="570"/>
      <c r="E39" s="568"/>
      <c r="F39" s="568"/>
      <c r="G39" s="568"/>
      <c r="I39" s="568"/>
      <c r="J39" s="572"/>
      <c r="K39" s="573"/>
      <c r="L39" s="592"/>
      <c r="M39" s="591"/>
      <c r="N39" s="576"/>
      <c r="O39" s="577"/>
      <c r="P39" s="577"/>
      <c r="Q39" s="577"/>
      <c r="R39" s="577"/>
      <c r="S39" s="577"/>
      <c r="T39" s="577"/>
      <c r="U39" s="577"/>
    </row>
    <row r="40" spans="1:21" s="571" customFormat="1">
      <c r="A40" s="568"/>
      <c r="B40" s="568"/>
      <c r="C40" s="569"/>
      <c r="D40" s="570"/>
      <c r="E40" s="568"/>
      <c r="F40" s="568"/>
      <c r="G40" s="568"/>
      <c r="I40" s="568"/>
      <c r="J40" s="572"/>
      <c r="K40" s="573"/>
      <c r="L40" s="587"/>
      <c r="M40" s="588"/>
      <c r="N40" s="576"/>
      <c r="O40" s="577"/>
      <c r="P40" s="577"/>
      <c r="Q40" s="577"/>
      <c r="R40" s="577"/>
      <c r="S40" s="577"/>
      <c r="T40" s="577"/>
      <c r="U40" s="577"/>
    </row>
    <row r="41" spans="1:21" s="571" customFormat="1">
      <c r="A41" s="568"/>
      <c r="B41" s="568"/>
      <c r="C41" s="569"/>
      <c r="D41" s="570"/>
      <c r="E41" s="568"/>
      <c r="F41" s="568"/>
      <c r="G41" s="568"/>
      <c r="I41" s="568"/>
      <c r="J41" s="572"/>
      <c r="K41" s="573"/>
      <c r="L41" s="599"/>
      <c r="M41" s="589"/>
      <c r="N41" s="576"/>
      <c r="O41" s="577"/>
      <c r="P41" s="577"/>
      <c r="Q41" s="577"/>
      <c r="R41" s="577"/>
      <c r="S41" s="577"/>
      <c r="T41" s="577"/>
      <c r="U41" s="577"/>
    </row>
    <row r="42" spans="1:21" s="571" customFormat="1">
      <c r="A42" s="568"/>
      <c r="B42" s="568"/>
      <c r="C42" s="569"/>
      <c r="D42" s="570"/>
      <c r="E42" s="568"/>
      <c r="F42" s="568"/>
      <c r="G42" s="568"/>
      <c r="I42" s="568"/>
      <c r="J42" s="572"/>
      <c r="K42" s="573"/>
      <c r="L42" s="599"/>
      <c r="M42" s="589"/>
      <c r="N42" s="576"/>
      <c r="O42" s="577"/>
      <c r="P42" s="577"/>
      <c r="Q42" s="577"/>
      <c r="R42" s="577"/>
      <c r="S42" s="577"/>
      <c r="T42" s="577"/>
      <c r="U42" s="577"/>
    </row>
    <row r="43" spans="1:21" s="571" customFormat="1">
      <c r="A43" s="568"/>
      <c r="B43" s="568"/>
      <c r="C43" s="569"/>
      <c r="D43" s="570"/>
      <c r="E43" s="568"/>
      <c r="F43" s="568"/>
      <c r="G43" s="568"/>
      <c r="I43" s="568"/>
      <c r="J43" s="572"/>
      <c r="K43" s="573"/>
      <c r="L43" s="682"/>
      <c r="M43" s="575"/>
      <c r="N43" s="576"/>
      <c r="O43" s="577"/>
      <c r="P43" s="577"/>
      <c r="Q43" s="577"/>
      <c r="R43" s="577"/>
      <c r="S43" s="577"/>
      <c r="T43" s="577"/>
      <c r="U43" s="577"/>
    </row>
    <row r="44" spans="1:21" s="571" customFormat="1">
      <c r="A44" s="568"/>
      <c r="B44" s="568"/>
      <c r="C44" s="569"/>
      <c r="D44" s="570"/>
      <c r="E44" s="568"/>
      <c r="F44" s="568"/>
      <c r="G44" s="568"/>
      <c r="I44" s="568"/>
      <c r="J44" s="572"/>
      <c r="K44" s="573"/>
      <c r="L44" s="574"/>
      <c r="M44" s="575"/>
      <c r="N44" s="576"/>
      <c r="O44" s="577"/>
      <c r="P44" s="577"/>
      <c r="Q44" s="577"/>
      <c r="R44" s="577"/>
      <c r="S44" s="577"/>
      <c r="T44" s="577"/>
      <c r="U44" s="577"/>
    </row>
    <row r="45" spans="1:21" s="571" customFormat="1">
      <c r="A45" s="568"/>
      <c r="B45" s="568"/>
      <c r="C45" s="569"/>
      <c r="D45" s="570"/>
      <c r="E45" s="568"/>
      <c r="F45" s="568"/>
      <c r="G45" s="568"/>
      <c r="I45" s="568"/>
      <c r="J45" s="572"/>
      <c r="K45" s="573"/>
      <c r="L45" s="574"/>
      <c r="M45" s="575"/>
      <c r="N45" s="576"/>
      <c r="O45" s="577"/>
      <c r="P45" s="577"/>
      <c r="Q45" s="577"/>
      <c r="R45" s="577"/>
      <c r="S45" s="577"/>
      <c r="T45" s="577"/>
      <c r="U45" s="577"/>
    </row>
    <row r="46" spans="1:21" s="571" customFormat="1">
      <c r="A46" s="568"/>
      <c r="B46" s="568"/>
      <c r="C46" s="569"/>
      <c r="D46" s="570"/>
      <c r="E46" s="568"/>
      <c r="F46" s="568"/>
      <c r="G46" s="568"/>
      <c r="I46" s="568"/>
      <c r="J46" s="572"/>
      <c r="K46" s="573"/>
      <c r="L46" s="599"/>
      <c r="M46" s="575"/>
      <c r="N46" s="576"/>
      <c r="O46" s="577"/>
      <c r="P46" s="577"/>
      <c r="Q46" s="577"/>
      <c r="R46" s="577"/>
      <c r="S46" s="577"/>
      <c r="T46" s="577"/>
      <c r="U46" s="577"/>
    </row>
    <row r="47" spans="1:21" s="571" customFormat="1">
      <c r="A47" s="568"/>
      <c r="B47" s="568"/>
      <c r="C47" s="569"/>
      <c r="D47" s="570"/>
      <c r="E47" s="568"/>
      <c r="F47" s="568"/>
      <c r="G47" s="568"/>
      <c r="I47" s="568"/>
      <c r="J47" s="572"/>
      <c r="K47" s="573"/>
      <c r="L47" s="592"/>
      <c r="M47" s="591"/>
      <c r="N47" s="576"/>
      <c r="O47" s="577"/>
      <c r="P47" s="577"/>
      <c r="Q47" s="577"/>
      <c r="R47" s="577"/>
      <c r="S47" s="577"/>
      <c r="T47" s="577"/>
      <c r="U47" s="577"/>
    </row>
    <row r="48" spans="1:21" s="571" customFormat="1">
      <c r="A48" s="568"/>
      <c r="B48" s="568"/>
      <c r="C48" s="569"/>
      <c r="D48" s="570"/>
      <c r="E48" s="568"/>
      <c r="F48" s="568"/>
      <c r="G48" s="568"/>
      <c r="I48" s="568"/>
      <c r="J48" s="572"/>
      <c r="K48" s="573"/>
      <c r="L48" s="592"/>
      <c r="M48" s="591"/>
      <c r="N48" s="576"/>
      <c r="O48" s="577"/>
      <c r="P48" s="577"/>
      <c r="Q48" s="577"/>
      <c r="R48" s="577"/>
      <c r="S48" s="577"/>
      <c r="T48" s="577"/>
      <c r="U48" s="577"/>
    </row>
    <row r="49" spans="1:21" s="571" customFormat="1">
      <c r="A49" s="568"/>
      <c r="B49" s="568"/>
      <c r="C49" s="569"/>
      <c r="D49" s="570"/>
      <c r="E49" s="568"/>
      <c r="F49" s="568"/>
      <c r="G49" s="568"/>
      <c r="I49" s="568"/>
      <c r="J49" s="572"/>
      <c r="K49" s="573"/>
      <c r="L49" s="592"/>
      <c r="M49" s="591"/>
      <c r="N49" s="576"/>
      <c r="O49" s="577"/>
      <c r="P49" s="577"/>
      <c r="Q49" s="577"/>
      <c r="R49" s="577"/>
      <c r="S49" s="577"/>
      <c r="T49" s="577"/>
      <c r="U49" s="577"/>
    </row>
    <row r="50" spans="1:21" s="571" customFormat="1">
      <c r="A50" s="568"/>
      <c r="B50" s="568"/>
      <c r="C50" s="569"/>
      <c r="D50" s="570"/>
      <c r="E50" s="568"/>
      <c r="F50" s="568"/>
      <c r="G50" s="568"/>
      <c r="I50" s="568"/>
      <c r="J50" s="572"/>
      <c r="K50" s="573"/>
      <c r="L50" s="587"/>
      <c r="M50" s="588"/>
      <c r="N50" s="576"/>
      <c r="O50" s="577"/>
      <c r="P50" s="577"/>
      <c r="Q50" s="577"/>
      <c r="R50" s="577"/>
      <c r="S50" s="577"/>
      <c r="T50" s="577"/>
      <c r="U50" s="577"/>
    </row>
    <row r="51" spans="1:21" s="571" customFormat="1">
      <c r="A51" s="568"/>
      <c r="B51" s="568"/>
      <c r="C51" s="569"/>
      <c r="D51" s="570"/>
      <c r="E51" s="568"/>
      <c r="F51" s="568"/>
      <c r="G51" s="568"/>
      <c r="I51" s="568"/>
      <c r="J51" s="572"/>
      <c r="K51" s="573"/>
      <c r="L51" s="599"/>
      <c r="M51" s="589"/>
      <c r="N51" s="576"/>
      <c r="O51" s="577"/>
      <c r="P51" s="577"/>
      <c r="Q51" s="577"/>
      <c r="R51" s="577"/>
      <c r="S51" s="577"/>
      <c r="T51" s="577"/>
      <c r="U51" s="577"/>
    </row>
    <row r="52" spans="1:21" s="571" customFormat="1">
      <c r="A52" s="568"/>
      <c r="B52" s="568"/>
      <c r="C52" s="569"/>
      <c r="D52" s="570"/>
      <c r="E52" s="568"/>
      <c r="F52" s="568"/>
      <c r="G52" s="568"/>
      <c r="I52" s="568"/>
      <c r="J52" s="572"/>
      <c r="K52" s="573"/>
      <c r="L52" s="599"/>
      <c r="M52" s="589"/>
      <c r="N52" s="576"/>
      <c r="O52" s="577"/>
      <c r="P52" s="577"/>
      <c r="Q52" s="577"/>
      <c r="R52" s="577"/>
      <c r="S52" s="577"/>
      <c r="T52" s="577"/>
      <c r="U52" s="577"/>
    </row>
    <row r="53" spans="1:21" s="571" customFormat="1">
      <c r="A53" s="568"/>
      <c r="B53" s="568"/>
      <c r="C53" s="569"/>
      <c r="D53" s="570"/>
      <c r="E53" s="568"/>
      <c r="F53" s="568"/>
      <c r="G53" s="568"/>
      <c r="I53" s="568"/>
      <c r="J53" s="572"/>
      <c r="K53" s="573"/>
      <c r="L53" s="682"/>
      <c r="M53" s="575"/>
      <c r="N53" s="576"/>
      <c r="O53" s="577"/>
      <c r="P53" s="577"/>
      <c r="Q53" s="577"/>
      <c r="R53" s="577"/>
      <c r="S53" s="577"/>
      <c r="T53" s="577"/>
      <c r="U53" s="577"/>
    </row>
    <row r="54" spans="1:21" s="571" customFormat="1">
      <c r="A54" s="568"/>
      <c r="B54" s="568"/>
      <c r="C54" s="569"/>
      <c r="D54" s="570"/>
      <c r="E54" s="568"/>
      <c r="F54" s="568"/>
      <c r="G54" s="568"/>
      <c r="I54" s="568"/>
      <c r="J54" s="572"/>
      <c r="K54" s="573"/>
      <c r="L54" s="574"/>
      <c r="M54" s="575"/>
      <c r="N54" s="576"/>
      <c r="O54" s="577"/>
      <c r="P54" s="577"/>
      <c r="Q54" s="577"/>
      <c r="R54" s="577"/>
      <c r="S54" s="577"/>
      <c r="T54" s="577"/>
      <c r="U54" s="577"/>
    </row>
    <row r="55" spans="1:21" s="571" customFormat="1">
      <c r="A55" s="568"/>
      <c r="B55" s="568"/>
      <c r="C55" s="569"/>
      <c r="D55" s="570"/>
      <c r="E55" s="568"/>
      <c r="F55" s="568"/>
      <c r="G55" s="568"/>
      <c r="I55" s="568"/>
      <c r="J55" s="572"/>
      <c r="K55" s="573"/>
      <c r="L55" s="574"/>
      <c r="M55" s="575"/>
      <c r="N55" s="576"/>
      <c r="O55" s="577"/>
      <c r="P55" s="577"/>
      <c r="Q55" s="577"/>
      <c r="R55" s="577"/>
      <c r="S55" s="577"/>
      <c r="T55" s="577"/>
      <c r="U55" s="577"/>
    </row>
    <row r="56" spans="1:21" s="571" customFormat="1">
      <c r="A56" s="568"/>
      <c r="B56" s="568"/>
      <c r="C56" s="569"/>
      <c r="D56" s="570"/>
      <c r="E56" s="568"/>
      <c r="F56" s="568"/>
      <c r="G56" s="568"/>
      <c r="I56" s="568"/>
      <c r="J56" s="572"/>
      <c r="K56" s="573"/>
      <c r="L56" s="599"/>
      <c r="M56" s="575"/>
      <c r="N56" s="576"/>
      <c r="O56" s="577"/>
      <c r="P56" s="577"/>
      <c r="Q56" s="577"/>
      <c r="R56" s="577"/>
      <c r="S56" s="577"/>
      <c r="T56" s="577"/>
      <c r="U56" s="577"/>
    </row>
    <row r="57" spans="1:21" s="571" customFormat="1">
      <c r="A57" s="568"/>
      <c r="B57" s="568"/>
      <c r="C57" s="569"/>
      <c r="D57" s="570"/>
      <c r="E57" s="568"/>
      <c r="F57" s="568"/>
      <c r="G57" s="568"/>
      <c r="I57" s="568"/>
      <c r="J57" s="572"/>
      <c r="K57" s="573"/>
      <c r="L57" s="574"/>
      <c r="M57" s="575"/>
      <c r="N57" s="576"/>
      <c r="O57" s="577"/>
      <c r="P57" s="577"/>
      <c r="Q57" s="577"/>
      <c r="R57" s="577"/>
      <c r="S57" s="577"/>
      <c r="T57" s="577"/>
      <c r="U57" s="577"/>
    </row>
    <row r="58" spans="1:21" s="571" customFormat="1">
      <c r="A58" s="568"/>
      <c r="B58" s="568"/>
      <c r="C58" s="569"/>
      <c r="D58" s="570"/>
      <c r="E58" s="568"/>
      <c r="F58" s="568"/>
      <c r="G58" s="568"/>
      <c r="I58" s="568"/>
      <c r="J58" s="572"/>
      <c r="K58" s="573"/>
      <c r="L58" s="574"/>
      <c r="M58" s="575"/>
      <c r="N58" s="576"/>
      <c r="O58" s="577"/>
      <c r="P58" s="577"/>
      <c r="Q58" s="577"/>
      <c r="R58" s="577"/>
      <c r="S58" s="577"/>
      <c r="T58" s="577"/>
      <c r="U58" s="577"/>
    </row>
    <row r="59" spans="1:21" s="571" customFormat="1">
      <c r="A59" s="568"/>
      <c r="B59" s="568"/>
      <c r="C59" s="569"/>
      <c r="D59" s="570"/>
      <c r="E59" s="568"/>
      <c r="F59" s="568"/>
      <c r="G59" s="568"/>
      <c r="I59" s="568"/>
      <c r="J59" s="572"/>
      <c r="K59" s="573"/>
      <c r="L59" s="574"/>
      <c r="M59" s="575"/>
      <c r="N59" s="576"/>
      <c r="O59" s="577"/>
      <c r="P59" s="577"/>
      <c r="Q59" s="577"/>
      <c r="R59" s="577"/>
      <c r="S59" s="577"/>
      <c r="T59" s="577"/>
      <c r="U59" s="577"/>
    </row>
    <row r="60" spans="1:21" s="571" customFormat="1">
      <c r="A60" s="568"/>
      <c r="B60" s="568"/>
      <c r="C60" s="569"/>
      <c r="D60" s="570"/>
      <c r="E60" s="568"/>
      <c r="F60" s="568"/>
      <c r="G60" s="568"/>
      <c r="I60" s="568"/>
      <c r="J60" s="572"/>
      <c r="K60" s="573"/>
      <c r="L60" s="587"/>
      <c r="M60" s="588"/>
      <c r="N60" s="576"/>
      <c r="O60" s="577"/>
      <c r="P60" s="577"/>
      <c r="Q60" s="577"/>
      <c r="R60" s="577"/>
      <c r="S60" s="577"/>
      <c r="T60" s="577"/>
      <c r="U60" s="577"/>
    </row>
    <row r="61" spans="1:21" s="571" customFormat="1">
      <c r="A61" s="568"/>
      <c r="B61" s="568"/>
      <c r="C61" s="569"/>
      <c r="D61" s="570"/>
      <c r="E61" s="568"/>
      <c r="F61" s="568"/>
      <c r="G61" s="568"/>
      <c r="I61" s="568"/>
      <c r="J61" s="572"/>
      <c r="K61" s="573"/>
      <c r="L61" s="599"/>
      <c r="M61" s="589"/>
      <c r="N61" s="576"/>
      <c r="O61" s="577"/>
      <c r="P61" s="577"/>
      <c r="Q61" s="577"/>
      <c r="R61" s="577"/>
      <c r="S61" s="577"/>
      <c r="T61" s="577"/>
      <c r="U61" s="577"/>
    </row>
    <row r="62" spans="1:21" s="571" customFormat="1">
      <c r="A62" s="568"/>
      <c r="B62" s="568"/>
      <c r="C62" s="569"/>
      <c r="D62" s="570"/>
      <c r="E62" s="568"/>
      <c r="F62" s="568"/>
      <c r="G62" s="568"/>
      <c r="I62" s="568"/>
      <c r="J62" s="572"/>
      <c r="K62" s="573"/>
      <c r="L62" s="599"/>
      <c r="M62" s="589"/>
      <c r="N62" s="576"/>
      <c r="O62" s="577"/>
      <c r="P62" s="577"/>
      <c r="Q62" s="577"/>
      <c r="R62" s="577"/>
      <c r="S62" s="577"/>
      <c r="T62" s="577"/>
      <c r="U62" s="577"/>
    </row>
    <row r="63" spans="1:21" s="571" customFormat="1">
      <c r="A63" s="568"/>
      <c r="B63" s="568"/>
      <c r="C63" s="569"/>
      <c r="D63" s="570"/>
      <c r="E63" s="568"/>
      <c r="F63" s="568"/>
      <c r="G63" s="568"/>
      <c r="I63" s="568"/>
      <c r="J63" s="572"/>
      <c r="K63" s="573"/>
      <c r="L63" s="682"/>
      <c r="M63" s="575"/>
      <c r="N63" s="576"/>
      <c r="O63" s="577"/>
      <c r="P63" s="577"/>
      <c r="Q63" s="577"/>
      <c r="R63" s="577"/>
      <c r="S63" s="577"/>
      <c r="T63" s="577"/>
      <c r="U63" s="577"/>
    </row>
    <row r="64" spans="1:21" s="571" customFormat="1">
      <c r="A64" s="568"/>
      <c r="B64" s="568"/>
      <c r="C64" s="569"/>
      <c r="D64" s="570"/>
      <c r="E64" s="568"/>
      <c r="F64" s="568"/>
      <c r="G64" s="568"/>
      <c r="I64" s="568"/>
      <c r="J64" s="572"/>
      <c r="K64" s="573"/>
      <c r="L64" s="574"/>
      <c r="M64" s="575"/>
      <c r="N64" s="576"/>
      <c r="O64" s="577"/>
      <c r="P64" s="577"/>
      <c r="Q64" s="577"/>
      <c r="R64" s="577"/>
      <c r="S64" s="577"/>
      <c r="T64" s="577"/>
      <c r="U64" s="577"/>
    </row>
    <row r="65" spans="1:21" s="571" customFormat="1">
      <c r="A65" s="568"/>
      <c r="B65" s="568"/>
      <c r="C65" s="569"/>
      <c r="D65" s="570"/>
      <c r="E65" s="568"/>
      <c r="F65" s="568"/>
      <c r="G65" s="568"/>
      <c r="I65" s="568"/>
      <c r="J65" s="572"/>
      <c r="K65" s="573"/>
      <c r="L65" s="574"/>
      <c r="M65" s="575"/>
      <c r="N65" s="576"/>
      <c r="O65" s="577"/>
      <c r="P65" s="577"/>
      <c r="Q65" s="577"/>
      <c r="R65" s="577"/>
      <c r="S65" s="577"/>
      <c r="T65" s="577"/>
      <c r="U65" s="577"/>
    </row>
    <row r="66" spans="1:21" s="571" customFormat="1">
      <c r="A66" s="568"/>
      <c r="B66" s="568"/>
      <c r="C66" s="569"/>
      <c r="D66" s="570"/>
      <c r="E66" s="568"/>
      <c r="F66" s="568"/>
      <c r="G66" s="568"/>
      <c r="I66" s="568"/>
      <c r="J66" s="572"/>
      <c r="K66" s="573"/>
      <c r="L66" s="599"/>
      <c r="M66" s="575"/>
      <c r="N66" s="576"/>
      <c r="O66" s="577"/>
      <c r="P66" s="577"/>
      <c r="Q66" s="577"/>
      <c r="R66" s="577"/>
      <c r="S66" s="577"/>
      <c r="T66" s="577"/>
      <c r="U66" s="577"/>
    </row>
    <row r="67" spans="1:21" s="571" customFormat="1">
      <c r="A67" s="568"/>
      <c r="B67" s="568"/>
      <c r="C67" s="569"/>
      <c r="D67" s="570"/>
      <c r="E67" s="568"/>
      <c r="F67" s="568"/>
      <c r="G67" s="568"/>
      <c r="I67" s="568"/>
      <c r="J67" s="572"/>
      <c r="K67" s="573"/>
      <c r="L67" s="592"/>
      <c r="M67" s="591"/>
      <c r="N67" s="576"/>
      <c r="O67" s="577"/>
      <c r="P67" s="577"/>
      <c r="Q67" s="577"/>
      <c r="R67" s="577"/>
      <c r="S67" s="577"/>
      <c r="T67" s="577"/>
      <c r="U67" s="577"/>
    </row>
    <row r="68" spans="1:21" s="571" customFormat="1">
      <c r="A68" s="568"/>
      <c r="B68" s="568"/>
      <c r="C68" s="569"/>
      <c r="D68" s="570"/>
      <c r="E68" s="568"/>
      <c r="F68" s="568"/>
      <c r="G68" s="568"/>
      <c r="I68" s="568"/>
      <c r="J68" s="572"/>
      <c r="K68" s="573"/>
      <c r="L68" s="592"/>
      <c r="M68" s="591"/>
      <c r="N68" s="576"/>
      <c r="O68" s="577"/>
      <c r="P68" s="577"/>
      <c r="Q68" s="577"/>
      <c r="R68" s="577"/>
      <c r="S68" s="577"/>
      <c r="T68" s="577"/>
      <c r="U68" s="577"/>
    </row>
    <row r="69" spans="1:21" s="571" customFormat="1">
      <c r="A69" s="568"/>
      <c r="B69" s="568"/>
      <c r="C69" s="569"/>
      <c r="D69" s="570"/>
      <c r="E69" s="568"/>
      <c r="F69" s="568"/>
      <c r="G69" s="568"/>
      <c r="I69" s="568"/>
      <c r="J69" s="572"/>
      <c r="K69" s="573"/>
      <c r="L69" s="592"/>
      <c r="M69" s="591"/>
      <c r="N69" s="576"/>
      <c r="O69" s="577"/>
      <c r="P69" s="577"/>
      <c r="Q69" s="577"/>
      <c r="R69" s="577"/>
      <c r="S69" s="577"/>
      <c r="T69" s="577"/>
      <c r="U69" s="577"/>
    </row>
    <row r="70" spans="1:21" s="571" customFormat="1">
      <c r="A70" s="568"/>
      <c r="B70" s="568"/>
      <c r="C70" s="569"/>
      <c r="D70" s="570"/>
      <c r="E70" s="568"/>
      <c r="F70" s="568"/>
      <c r="G70" s="568"/>
      <c r="I70" s="568"/>
      <c r="J70" s="572"/>
      <c r="K70" s="573"/>
      <c r="L70" s="587"/>
      <c r="M70" s="588"/>
      <c r="N70" s="576"/>
      <c r="O70" s="577"/>
      <c r="P70" s="577"/>
      <c r="Q70" s="577"/>
      <c r="R70" s="577"/>
      <c r="S70" s="577"/>
      <c r="T70" s="577"/>
      <c r="U70" s="577"/>
    </row>
    <row r="71" spans="1:21" s="571" customFormat="1">
      <c r="A71" s="568"/>
      <c r="B71" s="568"/>
      <c r="C71" s="569"/>
      <c r="D71" s="570"/>
      <c r="E71" s="568"/>
      <c r="F71" s="568"/>
      <c r="G71" s="568"/>
      <c r="I71" s="568"/>
      <c r="J71" s="572"/>
      <c r="K71" s="573"/>
      <c r="L71" s="599"/>
      <c r="M71" s="589"/>
      <c r="N71" s="576"/>
      <c r="O71" s="577"/>
      <c r="P71" s="577"/>
      <c r="Q71" s="577"/>
      <c r="R71" s="577"/>
      <c r="S71" s="577"/>
      <c r="T71" s="577"/>
      <c r="U71" s="577"/>
    </row>
    <row r="72" spans="1:21" s="571" customFormat="1">
      <c r="A72" s="568"/>
      <c r="B72" s="568"/>
      <c r="C72" s="569"/>
      <c r="D72" s="570"/>
      <c r="E72" s="568"/>
      <c r="F72" s="568"/>
      <c r="G72" s="568"/>
      <c r="I72" s="568"/>
      <c r="J72" s="572"/>
      <c r="K72" s="573"/>
      <c r="L72" s="599"/>
      <c r="M72" s="589"/>
      <c r="N72" s="576"/>
      <c r="O72" s="577"/>
      <c r="P72" s="577"/>
      <c r="Q72" s="577"/>
      <c r="R72" s="577"/>
      <c r="S72" s="577"/>
      <c r="T72" s="577"/>
      <c r="U72" s="577"/>
    </row>
    <row r="73" spans="1:21" s="571" customFormat="1">
      <c r="A73" s="568"/>
      <c r="B73" s="568"/>
      <c r="C73" s="569"/>
      <c r="D73" s="570"/>
      <c r="E73" s="568"/>
      <c r="F73" s="568"/>
      <c r="G73" s="568"/>
      <c r="I73" s="568"/>
      <c r="J73" s="572"/>
      <c r="K73" s="573"/>
      <c r="L73" s="682"/>
      <c r="M73" s="575"/>
      <c r="N73" s="576"/>
      <c r="O73" s="577"/>
      <c r="P73" s="577"/>
      <c r="Q73" s="577"/>
      <c r="R73" s="577"/>
      <c r="S73" s="577"/>
      <c r="T73" s="577"/>
      <c r="U73" s="577"/>
    </row>
    <row r="74" spans="1:21" s="571" customFormat="1">
      <c r="A74" s="568"/>
      <c r="B74" s="568"/>
      <c r="C74" s="569"/>
      <c r="D74" s="570"/>
      <c r="E74" s="568"/>
      <c r="F74" s="568"/>
      <c r="G74" s="568"/>
      <c r="I74" s="568"/>
      <c r="J74" s="572"/>
      <c r="K74" s="573"/>
      <c r="L74" s="574"/>
      <c r="M74" s="575"/>
      <c r="N74" s="576"/>
      <c r="O74" s="577"/>
      <c r="P74" s="577"/>
      <c r="Q74" s="577"/>
      <c r="R74" s="577"/>
      <c r="S74" s="577"/>
      <c r="T74" s="577"/>
      <c r="U74" s="577"/>
    </row>
    <row r="75" spans="1:21" s="571" customFormat="1">
      <c r="A75" s="568"/>
      <c r="B75" s="568"/>
      <c r="C75" s="569"/>
      <c r="D75" s="570"/>
      <c r="E75" s="568"/>
      <c r="F75" s="568"/>
      <c r="G75" s="568"/>
      <c r="I75" s="568"/>
      <c r="J75" s="572"/>
      <c r="K75" s="573"/>
      <c r="L75" s="574"/>
      <c r="M75" s="575"/>
      <c r="N75" s="576"/>
      <c r="O75" s="577"/>
      <c r="P75" s="577"/>
      <c r="Q75" s="577"/>
      <c r="R75" s="577"/>
      <c r="S75" s="577"/>
      <c r="T75" s="577"/>
      <c r="U75" s="577"/>
    </row>
    <row r="76" spans="1:21" s="571" customFormat="1">
      <c r="A76" s="568"/>
      <c r="B76" s="568"/>
      <c r="C76" s="569"/>
      <c r="D76" s="570"/>
      <c r="E76" s="568"/>
      <c r="F76" s="568"/>
      <c r="G76" s="568"/>
      <c r="I76" s="568"/>
      <c r="J76" s="572"/>
      <c r="K76" s="573"/>
      <c r="L76" s="574"/>
      <c r="M76" s="575"/>
      <c r="N76" s="576"/>
      <c r="O76" s="577"/>
      <c r="P76" s="577"/>
      <c r="Q76" s="577"/>
      <c r="R76" s="577"/>
      <c r="S76" s="577"/>
      <c r="T76" s="577"/>
      <c r="U76" s="577"/>
    </row>
    <row r="77" spans="1:21" s="571" customFormat="1">
      <c r="A77" s="568"/>
      <c r="B77" s="568"/>
      <c r="C77" s="569"/>
      <c r="D77" s="570"/>
      <c r="E77" s="568"/>
      <c r="F77" s="568"/>
      <c r="G77" s="568"/>
      <c r="I77" s="568"/>
      <c r="J77" s="572"/>
      <c r="K77" s="573"/>
      <c r="L77" s="574"/>
      <c r="M77" s="575"/>
      <c r="N77" s="576"/>
      <c r="O77" s="577"/>
      <c r="P77" s="577"/>
      <c r="Q77" s="577"/>
      <c r="R77" s="577"/>
      <c r="S77" s="577"/>
      <c r="T77" s="577"/>
      <c r="U77" s="577"/>
    </row>
    <row r="78" spans="1:21" s="571" customFormat="1">
      <c r="A78" s="568"/>
      <c r="B78" s="568"/>
      <c r="C78" s="569"/>
      <c r="D78" s="570"/>
      <c r="E78" s="568"/>
      <c r="F78" s="568"/>
      <c r="G78" s="568"/>
      <c r="I78" s="568"/>
      <c r="J78" s="572"/>
      <c r="K78" s="573"/>
      <c r="L78" s="574"/>
      <c r="M78" s="575"/>
      <c r="N78" s="576"/>
      <c r="O78" s="577"/>
      <c r="P78" s="577"/>
      <c r="Q78" s="577"/>
      <c r="R78" s="577"/>
      <c r="S78" s="577"/>
      <c r="T78" s="577"/>
      <c r="U78" s="577"/>
    </row>
    <row r="79" spans="1:21" s="571" customFormat="1">
      <c r="A79" s="568"/>
      <c r="B79" s="568"/>
      <c r="C79" s="569"/>
      <c r="D79" s="570"/>
      <c r="E79" s="568"/>
      <c r="F79" s="568"/>
      <c r="G79" s="568"/>
      <c r="I79" s="568"/>
      <c r="J79" s="572"/>
      <c r="K79" s="573"/>
      <c r="L79" s="574"/>
      <c r="M79" s="575"/>
      <c r="N79" s="576"/>
      <c r="O79" s="577"/>
      <c r="P79" s="577"/>
      <c r="Q79" s="577"/>
      <c r="R79" s="577"/>
      <c r="S79" s="577"/>
      <c r="T79" s="577"/>
      <c r="U79" s="577"/>
    </row>
    <row r="80" spans="1:21" s="571" customFormat="1">
      <c r="A80" s="568"/>
      <c r="B80" s="568"/>
      <c r="C80" s="569"/>
      <c r="D80" s="570"/>
      <c r="E80" s="568"/>
      <c r="F80" s="568"/>
      <c r="G80" s="568"/>
      <c r="I80" s="568"/>
      <c r="J80" s="572"/>
      <c r="K80" s="573"/>
      <c r="L80" s="574"/>
      <c r="M80" s="575"/>
      <c r="N80" s="576"/>
      <c r="O80" s="577"/>
      <c r="P80" s="577"/>
      <c r="Q80" s="577"/>
      <c r="R80" s="577"/>
      <c r="S80" s="577"/>
      <c r="T80" s="577"/>
      <c r="U80" s="577"/>
    </row>
    <row r="81" spans="1:21" s="571" customFormat="1">
      <c r="A81" s="568"/>
      <c r="B81" s="568"/>
      <c r="C81" s="569"/>
      <c r="D81" s="570"/>
      <c r="E81" s="568"/>
      <c r="F81" s="568"/>
      <c r="G81" s="568"/>
      <c r="I81" s="568"/>
      <c r="J81" s="572"/>
      <c r="K81" s="573"/>
      <c r="L81" s="574"/>
      <c r="M81" s="575"/>
      <c r="N81" s="576"/>
      <c r="O81" s="577"/>
      <c r="P81" s="577"/>
      <c r="Q81" s="577"/>
      <c r="R81" s="577"/>
      <c r="S81" s="577"/>
      <c r="T81" s="577"/>
      <c r="U81" s="577"/>
    </row>
    <row r="82" spans="1:21" s="571" customFormat="1">
      <c r="A82" s="568"/>
      <c r="B82" s="568"/>
      <c r="C82" s="569"/>
      <c r="D82" s="570"/>
      <c r="E82" s="568"/>
      <c r="F82" s="568"/>
      <c r="G82" s="568"/>
      <c r="I82" s="568"/>
      <c r="J82" s="572"/>
      <c r="K82" s="573"/>
      <c r="L82" s="574"/>
      <c r="M82" s="575"/>
      <c r="N82" s="576"/>
      <c r="O82" s="577"/>
      <c r="P82" s="577"/>
      <c r="Q82" s="577"/>
      <c r="R82" s="577"/>
      <c r="S82" s="577"/>
      <c r="T82" s="577"/>
      <c r="U82" s="577"/>
    </row>
    <row r="83" spans="1:21" s="571" customFormat="1">
      <c r="A83" s="568"/>
      <c r="B83" s="568"/>
      <c r="C83" s="569"/>
      <c r="D83" s="570"/>
      <c r="E83" s="568"/>
      <c r="F83" s="568"/>
      <c r="G83" s="568"/>
      <c r="I83" s="568"/>
      <c r="J83" s="572"/>
      <c r="K83" s="573"/>
      <c r="L83" s="574"/>
      <c r="M83" s="575"/>
      <c r="N83" s="576"/>
      <c r="O83" s="577"/>
      <c r="P83" s="577"/>
      <c r="Q83" s="577"/>
      <c r="R83" s="577"/>
      <c r="S83" s="577"/>
      <c r="T83" s="577"/>
      <c r="U83" s="577"/>
    </row>
    <row r="84" spans="1:21" s="571" customFormat="1">
      <c r="A84" s="568"/>
      <c r="B84" s="568"/>
      <c r="C84" s="569"/>
      <c r="D84" s="570"/>
      <c r="E84" s="568"/>
      <c r="F84" s="568"/>
      <c r="G84" s="568"/>
      <c r="I84" s="568"/>
      <c r="J84" s="572"/>
      <c r="K84" s="573"/>
      <c r="L84" s="574"/>
      <c r="M84" s="575"/>
      <c r="N84" s="576"/>
      <c r="O84" s="577"/>
      <c r="P84" s="577"/>
      <c r="Q84" s="577"/>
      <c r="R84" s="577"/>
      <c r="S84" s="577"/>
      <c r="T84" s="577"/>
      <c r="U84" s="577"/>
    </row>
    <row r="85" spans="1:21" s="571" customFormat="1">
      <c r="A85" s="568"/>
      <c r="B85" s="568"/>
      <c r="C85" s="569"/>
      <c r="D85" s="570"/>
      <c r="E85" s="568"/>
      <c r="F85" s="568"/>
      <c r="G85" s="568"/>
      <c r="I85" s="568"/>
      <c r="J85" s="572"/>
      <c r="K85" s="573"/>
      <c r="L85" s="574"/>
      <c r="M85" s="575"/>
      <c r="N85" s="576"/>
      <c r="O85" s="577"/>
      <c r="P85" s="577"/>
      <c r="Q85" s="577"/>
      <c r="R85" s="577"/>
      <c r="S85" s="577"/>
      <c r="T85" s="577"/>
      <c r="U85" s="577"/>
    </row>
    <row r="86" spans="1:21" s="571" customFormat="1">
      <c r="A86" s="568"/>
      <c r="B86" s="568"/>
      <c r="C86" s="569"/>
      <c r="D86" s="570"/>
      <c r="E86" s="568"/>
      <c r="F86" s="568"/>
      <c r="G86" s="568"/>
      <c r="I86" s="568"/>
      <c r="J86" s="572"/>
      <c r="K86" s="573"/>
      <c r="L86" s="574"/>
      <c r="M86" s="575"/>
      <c r="N86" s="576"/>
      <c r="O86" s="577"/>
      <c r="P86" s="577"/>
      <c r="Q86" s="577"/>
      <c r="R86" s="577"/>
      <c r="S86" s="577"/>
      <c r="T86" s="577"/>
      <c r="U86" s="577"/>
    </row>
    <row r="87" spans="1:21" s="571" customFormat="1">
      <c r="A87" s="568"/>
      <c r="B87" s="568"/>
      <c r="C87" s="569"/>
      <c r="D87" s="570"/>
      <c r="E87" s="568"/>
      <c r="F87" s="568"/>
      <c r="G87" s="568"/>
      <c r="I87" s="568"/>
      <c r="J87" s="572"/>
      <c r="K87" s="573"/>
      <c r="L87" s="574"/>
      <c r="M87" s="575"/>
      <c r="N87" s="576"/>
      <c r="O87" s="577"/>
      <c r="P87" s="577"/>
      <c r="Q87" s="577"/>
      <c r="R87" s="577"/>
      <c r="S87" s="577"/>
      <c r="T87" s="577"/>
      <c r="U87" s="577"/>
    </row>
    <row r="88" spans="1:21" s="571" customFormat="1">
      <c r="A88" s="568"/>
      <c r="B88" s="568"/>
      <c r="C88" s="569"/>
      <c r="D88" s="570"/>
      <c r="E88" s="568"/>
      <c r="F88" s="568"/>
      <c r="G88" s="568"/>
      <c r="I88" s="568"/>
      <c r="J88" s="572"/>
      <c r="K88" s="573"/>
      <c r="L88" s="574"/>
      <c r="M88" s="575"/>
      <c r="N88" s="576"/>
      <c r="O88" s="577"/>
      <c r="P88" s="577"/>
      <c r="Q88" s="577"/>
      <c r="R88" s="577"/>
      <c r="S88" s="577"/>
      <c r="T88" s="577"/>
      <c r="U88" s="577"/>
    </row>
    <row r="89" spans="1:21" s="571" customFormat="1">
      <c r="A89" s="568"/>
      <c r="B89" s="568"/>
      <c r="C89" s="569"/>
      <c r="D89" s="570"/>
      <c r="E89" s="568"/>
      <c r="F89" s="568"/>
      <c r="G89" s="568"/>
      <c r="I89" s="568"/>
      <c r="J89" s="572"/>
      <c r="K89" s="573"/>
      <c r="L89" s="574"/>
      <c r="M89" s="575"/>
      <c r="N89" s="576"/>
      <c r="O89" s="577"/>
      <c r="P89" s="577"/>
      <c r="Q89" s="577"/>
      <c r="R89" s="577"/>
      <c r="S89" s="577"/>
      <c r="T89" s="577"/>
      <c r="U89" s="577"/>
    </row>
    <row r="90" spans="1:21" s="571" customFormat="1">
      <c r="A90" s="568"/>
      <c r="B90" s="568"/>
      <c r="C90" s="569"/>
      <c r="D90" s="570"/>
      <c r="E90" s="568"/>
      <c r="F90" s="568"/>
      <c r="G90" s="568"/>
      <c r="I90" s="568"/>
      <c r="J90" s="572"/>
      <c r="K90" s="573"/>
      <c r="L90" s="574"/>
      <c r="M90" s="575"/>
      <c r="N90" s="576"/>
      <c r="O90" s="577"/>
      <c r="P90" s="577"/>
      <c r="Q90" s="577"/>
      <c r="R90" s="577"/>
      <c r="S90" s="577"/>
      <c r="T90" s="577"/>
      <c r="U90" s="577"/>
    </row>
    <row r="91" spans="1:21" s="571" customFormat="1">
      <c r="A91" s="568"/>
      <c r="B91" s="568"/>
      <c r="C91" s="569"/>
      <c r="D91" s="570"/>
      <c r="E91" s="568"/>
      <c r="F91" s="568"/>
      <c r="G91" s="568"/>
      <c r="I91" s="568"/>
      <c r="J91" s="572"/>
      <c r="K91" s="573"/>
      <c r="L91" s="574"/>
      <c r="M91" s="575"/>
      <c r="N91" s="576"/>
      <c r="O91" s="577"/>
      <c r="P91" s="577"/>
      <c r="Q91" s="577"/>
      <c r="R91" s="577"/>
      <c r="S91" s="577"/>
      <c r="T91" s="577"/>
      <c r="U91" s="577"/>
    </row>
    <row r="92" spans="1:21" s="571" customFormat="1">
      <c r="A92" s="568"/>
      <c r="B92" s="568"/>
      <c r="C92" s="569"/>
      <c r="D92" s="570"/>
      <c r="E92" s="568"/>
      <c r="F92" s="568"/>
      <c r="G92" s="568"/>
      <c r="I92" s="568"/>
      <c r="J92" s="572"/>
      <c r="K92" s="573"/>
      <c r="L92" s="574"/>
      <c r="M92" s="575"/>
      <c r="N92" s="576"/>
      <c r="O92" s="577"/>
      <c r="P92" s="577"/>
      <c r="Q92" s="577"/>
      <c r="R92" s="577"/>
      <c r="S92" s="577"/>
      <c r="T92" s="577"/>
      <c r="U92" s="577"/>
    </row>
    <row r="93" spans="1:21" s="571" customFormat="1">
      <c r="A93" s="568"/>
      <c r="B93" s="568"/>
      <c r="C93" s="569"/>
      <c r="D93" s="570"/>
      <c r="E93" s="568"/>
      <c r="F93" s="568"/>
      <c r="G93" s="568"/>
      <c r="I93" s="568"/>
      <c r="J93" s="572"/>
      <c r="K93" s="573"/>
      <c r="L93" s="574"/>
      <c r="M93" s="575"/>
      <c r="N93" s="576"/>
      <c r="O93" s="577"/>
      <c r="P93" s="577"/>
      <c r="Q93" s="577"/>
      <c r="R93" s="577"/>
      <c r="S93" s="577"/>
      <c r="T93" s="577"/>
      <c r="U93" s="577"/>
    </row>
    <row r="94" spans="1:21" s="571" customFormat="1">
      <c r="A94" s="568"/>
      <c r="B94" s="568"/>
      <c r="C94" s="569"/>
      <c r="D94" s="570"/>
      <c r="E94" s="568"/>
      <c r="F94" s="568"/>
      <c r="G94" s="568"/>
      <c r="I94" s="568"/>
      <c r="J94" s="572"/>
      <c r="K94" s="573"/>
      <c r="L94" s="574"/>
      <c r="M94" s="575"/>
      <c r="N94" s="576"/>
      <c r="O94" s="577"/>
      <c r="P94" s="577"/>
      <c r="Q94" s="577"/>
      <c r="R94" s="577"/>
      <c r="S94" s="577"/>
      <c r="T94" s="577"/>
      <c r="U94" s="577"/>
    </row>
    <row r="95" spans="1:21" s="571" customFormat="1">
      <c r="A95" s="568"/>
      <c r="B95" s="568"/>
      <c r="C95" s="569"/>
      <c r="D95" s="570"/>
      <c r="E95" s="568"/>
      <c r="F95" s="568"/>
      <c r="G95" s="568"/>
      <c r="I95" s="568"/>
      <c r="J95" s="572"/>
      <c r="K95" s="573"/>
      <c r="L95" s="574"/>
      <c r="M95" s="575"/>
      <c r="N95" s="576"/>
      <c r="O95" s="577"/>
      <c r="P95" s="577"/>
      <c r="Q95" s="577"/>
      <c r="R95" s="577"/>
      <c r="S95" s="577"/>
      <c r="T95" s="577"/>
      <c r="U95" s="577"/>
    </row>
    <row r="96" spans="1:21" s="571" customFormat="1">
      <c r="A96" s="568"/>
      <c r="B96" s="568"/>
      <c r="C96" s="569"/>
      <c r="D96" s="570"/>
      <c r="E96" s="568"/>
      <c r="F96" s="568"/>
      <c r="G96" s="568"/>
      <c r="I96" s="568"/>
      <c r="J96" s="572"/>
      <c r="K96" s="573"/>
      <c r="L96" s="574"/>
      <c r="M96" s="575"/>
      <c r="N96" s="576"/>
      <c r="O96" s="577"/>
      <c r="P96" s="577"/>
      <c r="Q96" s="577"/>
      <c r="R96" s="577"/>
      <c r="S96" s="577"/>
      <c r="T96" s="577"/>
      <c r="U96" s="577"/>
    </row>
    <row r="97" spans="1:21" s="571" customFormat="1">
      <c r="A97" s="568"/>
      <c r="B97" s="568"/>
      <c r="C97" s="569"/>
      <c r="D97" s="570"/>
      <c r="E97" s="568"/>
      <c r="F97" s="568"/>
      <c r="G97" s="568"/>
      <c r="I97" s="568"/>
      <c r="J97" s="572"/>
      <c r="K97" s="573"/>
      <c r="L97" s="574"/>
      <c r="M97" s="575"/>
      <c r="N97" s="576"/>
      <c r="O97" s="577"/>
      <c r="P97" s="577"/>
      <c r="Q97" s="577"/>
      <c r="R97" s="577"/>
      <c r="S97" s="577"/>
      <c r="T97" s="577"/>
      <c r="U97" s="577"/>
    </row>
    <row r="98" spans="1:21" s="571" customFormat="1">
      <c r="A98" s="568"/>
      <c r="B98" s="568"/>
      <c r="C98" s="569"/>
      <c r="D98" s="570"/>
      <c r="E98" s="568"/>
      <c r="F98" s="568"/>
      <c r="G98" s="568"/>
      <c r="I98" s="568"/>
      <c r="J98" s="572"/>
      <c r="K98" s="573"/>
      <c r="L98" s="574"/>
      <c r="M98" s="575"/>
      <c r="N98" s="576"/>
      <c r="O98" s="577"/>
      <c r="P98" s="577"/>
      <c r="Q98" s="577"/>
      <c r="R98" s="577"/>
      <c r="S98" s="577"/>
      <c r="T98" s="577"/>
      <c r="U98" s="577"/>
    </row>
    <row r="99" spans="1:21" s="571" customFormat="1">
      <c r="A99" s="568"/>
      <c r="B99" s="568"/>
      <c r="C99" s="569"/>
      <c r="D99" s="570"/>
      <c r="E99" s="568"/>
      <c r="F99" s="568"/>
      <c r="G99" s="568"/>
      <c r="I99" s="568"/>
      <c r="J99" s="572"/>
      <c r="K99" s="573"/>
      <c r="L99" s="574"/>
      <c r="M99" s="575"/>
      <c r="N99" s="576"/>
      <c r="O99" s="577"/>
      <c r="P99" s="577"/>
      <c r="Q99" s="577"/>
      <c r="R99" s="577"/>
      <c r="S99" s="577"/>
      <c r="T99" s="577"/>
      <c r="U99" s="577"/>
    </row>
    <row r="100" spans="1:21" s="571" customFormat="1">
      <c r="A100" s="568"/>
      <c r="B100" s="568"/>
      <c r="C100" s="569"/>
      <c r="D100" s="570"/>
      <c r="E100" s="568"/>
      <c r="F100" s="568"/>
      <c r="G100" s="568"/>
      <c r="I100" s="568"/>
      <c r="J100" s="572"/>
      <c r="K100" s="573"/>
      <c r="L100" s="574"/>
      <c r="M100" s="575"/>
      <c r="N100" s="576"/>
      <c r="O100" s="577"/>
      <c r="P100" s="577"/>
      <c r="Q100" s="577"/>
      <c r="R100" s="577"/>
      <c r="S100" s="577"/>
      <c r="T100" s="577"/>
      <c r="U100" s="577"/>
    </row>
    <row r="101" spans="1:21" s="571" customFormat="1">
      <c r="A101" s="568"/>
      <c r="B101" s="568"/>
      <c r="C101" s="569"/>
      <c r="D101" s="570"/>
      <c r="E101" s="568"/>
      <c r="F101" s="568"/>
      <c r="G101" s="568"/>
      <c r="I101" s="568"/>
      <c r="J101" s="572"/>
      <c r="K101" s="573"/>
      <c r="L101" s="574"/>
      <c r="M101" s="575"/>
      <c r="N101" s="576"/>
      <c r="O101" s="577"/>
      <c r="P101" s="577"/>
      <c r="Q101" s="577"/>
      <c r="R101" s="577"/>
      <c r="S101" s="577"/>
      <c r="T101" s="577"/>
      <c r="U101" s="577"/>
    </row>
    <row r="102" spans="1:21" s="571" customFormat="1">
      <c r="A102" s="568"/>
      <c r="B102" s="568"/>
      <c r="C102" s="569"/>
      <c r="D102" s="570"/>
      <c r="E102" s="568"/>
      <c r="F102" s="568"/>
      <c r="G102" s="568"/>
      <c r="I102" s="568"/>
      <c r="J102" s="572"/>
      <c r="K102" s="573"/>
      <c r="L102" s="574"/>
      <c r="M102" s="575"/>
      <c r="N102" s="576"/>
      <c r="O102" s="577"/>
      <c r="P102" s="577"/>
      <c r="Q102" s="577"/>
      <c r="R102" s="577"/>
      <c r="S102" s="577"/>
      <c r="T102" s="577"/>
      <c r="U102" s="577"/>
    </row>
    <row r="103" spans="1:21" s="571" customFormat="1">
      <c r="A103" s="568"/>
      <c r="B103" s="568"/>
      <c r="C103" s="569"/>
      <c r="D103" s="570"/>
      <c r="E103" s="568"/>
      <c r="F103" s="568"/>
      <c r="G103" s="568"/>
      <c r="I103" s="568"/>
      <c r="J103" s="572"/>
      <c r="K103" s="573"/>
      <c r="L103" s="574"/>
      <c r="M103" s="575"/>
      <c r="N103" s="576"/>
      <c r="O103" s="577"/>
      <c r="P103" s="577"/>
      <c r="Q103" s="577"/>
      <c r="R103" s="577"/>
      <c r="S103" s="577"/>
      <c r="T103" s="577"/>
      <c r="U103" s="577"/>
    </row>
    <row r="104" spans="1:21" s="571" customFormat="1">
      <c r="A104" s="568"/>
      <c r="B104" s="568"/>
      <c r="C104" s="569"/>
      <c r="D104" s="570"/>
      <c r="E104" s="568"/>
      <c r="F104" s="568"/>
      <c r="G104" s="568"/>
      <c r="I104" s="568"/>
      <c r="J104" s="572"/>
      <c r="K104" s="573"/>
      <c r="L104" s="574"/>
      <c r="M104" s="575"/>
      <c r="N104" s="576"/>
      <c r="O104" s="577"/>
      <c r="P104" s="577"/>
      <c r="Q104" s="577"/>
      <c r="R104" s="577"/>
      <c r="S104" s="577"/>
      <c r="T104" s="577"/>
      <c r="U104" s="577"/>
    </row>
    <row r="105" spans="1:21" s="571" customFormat="1">
      <c r="A105" s="568"/>
      <c r="B105" s="568"/>
      <c r="C105" s="569"/>
      <c r="D105" s="570"/>
      <c r="E105" s="568"/>
      <c r="F105" s="568"/>
      <c r="G105" s="568"/>
      <c r="I105" s="568"/>
      <c r="J105" s="572"/>
      <c r="K105" s="573"/>
      <c r="L105" s="574"/>
      <c r="M105" s="575"/>
      <c r="N105" s="576"/>
      <c r="O105" s="577"/>
      <c r="P105" s="577"/>
      <c r="Q105" s="577"/>
      <c r="R105" s="577"/>
      <c r="S105" s="577"/>
      <c r="T105" s="577"/>
      <c r="U105" s="577"/>
    </row>
    <row r="106" spans="1:21" s="571" customFormat="1">
      <c r="A106" s="568"/>
      <c r="B106" s="568"/>
      <c r="C106" s="569"/>
      <c r="D106" s="570"/>
      <c r="E106" s="568"/>
      <c r="F106" s="568"/>
      <c r="G106" s="568"/>
      <c r="I106" s="568"/>
      <c r="J106" s="572"/>
      <c r="K106" s="573"/>
      <c r="L106" s="574"/>
      <c r="M106" s="575"/>
      <c r="N106" s="576"/>
      <c r="O106" s="577"/>
      <c r="P106" s="577"/>
      <c r="Q106" s="577"/>
      <c r="R106" s="577"/>
      <c r="S106" s="577"/>
      <c r="T106" s="577"/>
      <c r="U106" s="577"/>
    </row>
    <row r="107" spans="1:21" s="571" customFormat="1">
      <c r="A107" s="568"/>
      <c r="B107" s="568"/>
      <c r="C107" s="569"/>
      <c r="D107" s="570"/>
      <c r="E107" s="568"/>
      <c r="F107" s="568"/>
      <c r="G107" s="568"/>
      <c r="I107" s="568"/>
      <c r="J107" s="572"/>
      <c r="K107" s="573"/>
      <c r="L107" s="574"/>
      <c r="M107" s="575"/>
      <c r="N107" s="576"/>
      <c r="O107" s="577"/>
      <c r="P107" s="577"/>
      <c r="Q107" s="577"/>
      <c r="R107" s="577"/>
      <c r="S107" s="577"/>
      <c r="T107" s="577"/>
      <c r="U107" s="577"/>
    </row>
    <row r="108" spans="1:21" s="571" customFormat="1">
      <c r="A108" s="568"/>
      <c r="B108" s="568"/>
      <c r="C108" s="569"/>
      <c r="D108" s="570"/>
      <c r="E108" s="568"/>
      <c r="F108" s="568"/>
      <c r="G108" s="568"/>
      <c r="I108" s="568"/>
      <c r="J108" s="572"/>
      <c r="K108" s="573"/>
      <c r="L108" s="574"/>
      <c r="M108" s="575"/>
      <c r="N108" s="576"/>
      <c r="O108" s="577"/>
      <c r="P108" s="577"/>
      <c r="Q108" s="577"/>
      <c r="R108" s="577"/>
      <c r="S108" s="577"/>
      <c r="T108" s="577"/>
      <c r="U108" s="577"/>
    </row>
    <row r="109" spans="1:21" s="571" customFormat="1">
      <c r="A109" s="568"/>
      <c r="B109" s="568"/>
      <c r="C109" s="569"/>
      <c r="D109" s="570"/>
      <c r="E109" s="568"/>
      <c r="F109" s="568"/>
      <c r="G109" s="568"/>
      <c r="I109" s="568"/>
      <c r="J109" s="572"/>
      <c r="K109" s="573"/>
      <c r="L109" s="574"/>
      <c r="M109" s="575"/>
      <c r="N109" s="576"/>
      <c r="O109" s="577"/>
      <c r="P109" s="577"/>
      <c r="Q109" s="577"/>
      <c r="R109" s="577"/>
      <c r="S109" s="577"/>
      <c r="T109" s="577"/>
      <c r="U109" s="577"/>
    </row>
    <row r="110" spans="1:21" s="571" customFormat="1">
      <c r="A110" s="568"/>
      <c r="B110" s="568"/>
      <c r="C110" s="569"/>
      <c r="D110" s="570"/>
      <c r="E110" s="568"/>
      <c r="F110" s="568"/>
      <c r="G110" s="568"/>
      <c r="I110" s="568"/>
      <c r="J110" s="572"/>
      <c r="K110" s="573"/>
      <c r="L110" s="574"/>
      <c r="M110" s="575"/>
      <c r="N110" s="576"/>
      <c r="O110" s="577"/>
      <c r="P110" s="577"/>
      <c r="Q110" s="577"/>
      <c r="R110" s="577"/>
      <c r="S110" s="577"/>
      <c r="T110" s="577"/>
      <c r="U110" s="577"/>
    </row>
    <row r="111" spans="1:21" s="571" customFormat="1">
      <c r="A111" s="568"/>
      <c r="B111" s="568"/>
      <c r="C111" s="569"/>
      <c r="D111" s="570"/>
      <c r="E111" s="568"/>
      <c r="F111" s="568"/>
      <c r="G111" s="568"/>
      <c r="I111" s="568"/>
      <c r="J111" s="572"/>
      <c r="K111" s="573"/>
      <c r="L111" s="574"/>
      <c r="M111" s="575"/>
      <c r="N111" s="576"/>
      <c r="O111" s="577"/>
      <c r="P111" s="577"/>
      <c r="Q111" s="577"/>
      <c r="R111" s="577"/>
      <c r="S111" s="577"/>
      <c r="T111" s="577"/>
      <c r="U111" s="577"/>
    </row>
    <row r="112" spans="1:21" s="571" customFormat="1">
      <c r="A112" s="568"/>
      <c r="B112" s="568"/>
      <c r="C112" s="569"/>
      <c r="D112" s="570"/>
      <c r="E112" s="568"/>
      <c r="F112" s="568"/>
      <c r="G112" s="568"/>
      <c r="I112" s="568"/>
      <c r="J112" s="572"/>
      <c r="K112" s="573"/>
      <c r="L112" s="574"/>
      <c r="M112" s="575"/>
      <c r="N112" s="576"/>
      <c r="O112" s="577"/>
      <c r="P112" s="577"/>
      <c r="Q112" s="577"/>
      <c r="R112" s="577"/>
      <c r="S112" s="577"/>
      <c r="T112" s="577"/>
      <c r="U112" s="577"/>
    </row>
    <row r="113" spans="1:21" s="571" customFormat="1">
      <c r="A113" s="568"/>
      <c r="B113" s="568"/>
      <c r="C113" s="569"/>
      <c r="D113" s="570"/>
      <c r="E113" s="568"/>
      <c r="F113" s="568"/>
      <c r="G113" s="568"/>
      <c r="I113" s="568"/>
      <c r="J113" s="572"/>
      <c r="K113" s="573"/>
      <c r="L113" s="574"/>
      <c r="M113" s="575"/>
      <c r="N113" s="576"/>
      <c r="O113" s="577"/>
      <c r="P113" s="577"/>
      <c r="Q113" s="577"/>
      <c r="R113" s="577"/>
      <c r="S113" s="577"/>
      <c r="T113" s="577"/>
      <c r="U113" s="577"/>
    </row>
    <row r="114" spans="1:21" s="571" customFormat="1">
      <c r="A114" s="568"/>
      <c r="B114" s="568"/>
      <c r="C114" s="569"/>
      <c r="D114" s="570"/>
      <c r="E114" s="568"/>
      <c r="F114" s="568"/>
      <c r="G114" s="568"/>
      <c r="I114" s="568"/>
      <c r="J114" s="572"/>
      <c r="K114" s="573"/>
      <c r="L114" s="574"/>
      <c r="M114" s="575"/>
      <c r="N114" s="576"/>
      <c r="O114" s="577"/>
      <c r="P114" s="577"/>
      <c r="Q114" s="577"/>
      <c r="R114" s="577"/>
      <c r="S114" s="577"/>
      <c r="T114" s="577"/>
      <c r="U114" s="577"/>
    </row>
    <row r="115" spans="1:21" s="571" customFormat="1">
      <c r="A115" s="568"/>
      <c r="B115" s="568"/>
      <c r="C115" s="569"/>
      <c r="D115" s="570"/>
      <c r="E115" s="568"/>
      <c r="F115" s="568"/>
      <c r="G115" s="568"/>
      <c r="I115" s="568"/>
      <c r="J115" s="572"/>
      <c r="K115" s="573"/>
      <c r="L115" s="574"/>
      <c r="M115" s="575"/>
      <c r="N115" s="576"/>
      <c r="O115" s="577"/>
      <c r="P115" s="577"/>
      <c r="Q115" s="577"/>
      <c r="R115" s="577"/>
      <c r="S115" s="577"/>
      <c r="T115" s="577"/>
      <c r="U115" s="577"/>
    </row>
    <row r="116" spans="1:21" s="571" customFormat="1">
      <c r="A116" s="568"/>
      <c r="B116" s="568"/>
      <c r="C116" s="569"/>
      <c r="D116" s="570"/>
      <c r="E116" s="568"/>
      <c r="F116" s="568"/>
      <c r="G116" s="568"/>
      <c r="I116" s="568"/>
      <c r="J116" s="572"/>
      <c r="K116" s="573"/>
      <c r="L116" s="574"/>
      <c r="M116" s="575"/>
      <c r="N116" s="576"/>
      <c r="O116" s="577"/>
      <c r="P116" s="577"/>
      <c r="Q116" s="577"/>
      <c r="R116" s="577"/>
      <c r="S116" s="577"/>
      <c r="T116" s="577"/>
      <c r="U116" s="577"/>
    </row>
    <row r="117" spans="1:21" s="571" customFormat="1">
      <c r="A117" s="568"/>
      <c r="B117" s="568"/>
      <c r="C117" s="569"/>
      <c r="D117" s="570"/>
      <c r="E117" s="568"/>
      <c r="F117" s="568"/>
      <c r="G117" s="568"/>
      <c r="I117" s="568"/>
      <c r="J117" s="572"/>
      <c r="K117" s="573"/>
      <c r="L117" s="574"/>
      <c r="M117" s="575"/>
      <c r="N117" s="576"/>
      <c r="O117" s="577"/>
      <c r="P117" s="577"/>
      <c r="Q117" s="577"/>
      <c r="R117" s="577"/>
      <c r="S117" s="577"/>
      <c r="T117" s="577"/>
      <c r="U117" s="577"/>
    </row>
    <row r="118" spans="1:21" s="571" customFormat="1">
      <c r="A118" s="568"/>
      <c r="B118" s="568"/>
      <c r="C118" s="569"/>
      <c r="D118" s="570"/>
      <c r="E118" s="568"/>
      <c r="F118" s="568"/>
      <c r="G118" s="568"/>
      <c r="I118" s="568"/>
      <c r="J118" s="572"/>
      <c r="K118" s="573"/>
      <c r="L118" s="574"/>
      <c r="M118" s="575"/>
      <c r="N118" s="576"/>
      <c r="O118" s="577"/>
      <c r="P118" s="577"/>
      <c r="Q118" s="577"/>
      <c r="R118" s="577"/>
      <c r="S118" s="577"/>
      <c r="T118" s="577"/>
      <c r="U118" s="577"/>
    </row>
    <row r="119" spans="1:21" s="571" customFormat="1">
      <c r="A119" s="568"/>
      <c r="B119" s="568"/>
      <c r="C119" s="569"/>
      <c r="D119" s="570"/>
      <c r="E119" s="568"/>
      <c r="F119" s="568"/>
      <c r="G119" s="568"/>
      <c r="I119" s="568"/>
      <c r="J119" s="572"/>
      <c r="K119" s="573"/>
      <c r="L119" s="574"/>
      <c r="M119" s="575"/>
      <c r="N119" s="576"/>
      <c r="O119" s="577"/>
      <c r="P119" s="577"/>
      <c r="Q119" s="577"/>
      <c r="R119" s="577"/>
      <c r="S119" s="577"/>
      <c r="T119" s="577"/>
      <c r="U119" s="577"/>
    </row>
    <row r="120" spans="1:21" s="571" customFormat="1">
      <c r="A120" s="568"/>
      <c r="B120" s="568"/>
      <c r="C120" s="569"/>
      <c r="D120" s="570"/>
      <c r="E120" s="568"/>
      <c r="F120" s="568"/>
      <c r="G120" s="568"/>
      <c r="I120" s="568"/>
      <c r="J120" s="572"/>
      <c r="K120" s="573"/>
      <c r="L120" s="574"/>
      <c r="M120" s="575"/>
      <c r="N120" s="576"/>
      <c r="O120" s="577"/>
      <c r="P120" s="577"/>
      <c r="Q120" s="577"/>
      <c r="R120" s="577"/>
      <c r="S120" s="577"/>
      <c r="T120" s="577"/>
      <c r="U120" s="577"/>
    </row>
    <row r="121" spans="1:21" s="571" customFormat="1">
      <c r="A121" s="568"/>
      <c r="B121" s="568"/>
      <c r="C121" s="569"/>
      <c r="D121" s="570"/>
      <c r="E121" s="568"/>
      <c r="F121" s="568"/>
      <c r="G121" s="568"/>
      <c r="I121" s="568"/>
      <c r="J121" s="572"/>
      <c r="K121" s="573"/>
      <c r="L121" s="574"/>
      <c r="M121" s="575"/>
      <c r="N121" s="576"/>
      <c r="O121" s="577"/>
      <c r="P121" s="577"/>
      <c r="Q121" s="577"/>
      <c r="R121" s="577"/>
      <c r="S121" s="577"/>
      <c r="T121" s="577"/>
      <c r="U121" s="577"/>
    </row>
    <row r="122" spans="1:21" s="571" customFormat="1">
      <c r="A122" s="568"/>
      <c r="B122" s="568"/>
      <c r="C122" s="569"/>
      <c r="D122" s="570"/>
      <c r="E122" s="568"/>
      <c r="F122" s="568"/>
      <c r="G122" s="568"/>
      <c r="I122" s="568"/>
      <c r="J122" s="572"/>
      <c r="K122" s="573"/>
      <c r="L122" s="574"/>
      <c r="M122" s="575"/>
      <c r="N122" s="576"/>
      <c r="O122" s="577"/>
      <c r="P122" s="577"/>
      <c r="Q122" s="577"/>
      <c r="R122" s="577"/>
      <c r="S122" s="577"/>
      <c r="T122" s="577"/>
      <c r="U122" s="577"/>
    </row>
    <row r="123" spans="1:21" s="571" customFormat="1">
      <c r="A123" s="568"/>
      <c r="B123" s="568"/>
      <c r="C123" s="569"/>
      <c r="D123" s="570"/>
      <c r="E123" s="568"/>
      <c r="F123" s="568"/>
      <c r="G123" s="568"/>
      <c r="I123" s="568"/>
      <c r="J123" s="572"/>
      <c r="K123" s="573"/>
      <c r="L123" s="574"/>
      <c r="M123" s="575"/>
      <c r="N123" s="576"/>
      <c r="O123" s="577"/>
      <c r="P123" s="577"/>
      <c r="Q123" s="577"/>
      <c r="R123" s="577"/>
      <c r="S123" s="577"/>
      <c r="T123" s="577"/>
      <c r="U123" s="577"/>
    </row>
    <row r="124" spans="1:21" s="571" customFormat="1">
      <c r="A124" s="568"/>
      <c r="B124" s="568"/>
      <c r="C124" s="569"/>
      <c r="D124" s="570"/>
      <c r="E124" s="568"/>
      <c r="F124" s="568"/>
      <c r="G124" s="568"/>
      <c r="I124" s="568"/>
      <c r="J124" s="572"/>
      <c r="K124" s="573"/>
      <c r="L124" s="574"/>
      <c r="M124" s="575"/>
      <c r="N124" s="576"/>
      <c r="O124" s="577"/>
      <c r="P124" s="577"/>
      <c r="Q124" s="577"/>
      <c r="R124" s="577"/>
      <c r="S124" s="577"/>
      <c r="T124" s="577"/>
      <c r="U124" s="577"/>
    </row>
    <row r="125" spans="1:21" s="571" customFormat="1">
      <c r="A125" s="568"/>
      <c r="B125" s="568"/>
      <c r="C125" s="569"/>
      <c r="D125" s="570"/>
      <c r="E125" s="568"/>
      <c r="F125" s="568"/>
      <c r="G125" s="568"/>
      <c r="I125" s="568"/>
      <c r="J125" s="572"/>
      <c r="K125" s="573"/>
      <c r="L125" s="574"/>
      <c r="M125" s="575"/>
      <c r="N125" s="576"/>
      <c r="O125" s="577"/>
      <c r="P125" s="577"/>
      <c r="Q125" s="577"/>
      <c r="R125" s="577"/>
      <c r="S125" s="577"/>
      <c r="T125" s="577"/>
      <c r="U125" s="577"/>
    </row>
    <row r="126" spans="1:21" s="571" customFormat="1">
      <c r="A126" s="568"/>
      <c r="B126" s="568"/>
      <c r="C126" s="569"/>
      <c r="D126" s="570"/>
      <c r="E126" s="568"/>
      <c r="F126" s="568"/>
      <c r="G126" s="568"/>
      <c r="I126" s="568"/>
      <c r="J126" s="572"/>
      <c r="K126" s="573"/>
      <c r="L126" s="574"/>
      <c r="M126" s="575"/>
      <c r="N126" s="576"/>
      <c r="O126" s="577"/>
      <c r="P126" s="577"/>
      <c r="Q126" s="577"/>
      <c r="R126" s="577"/>
      <c r="S126" s="577"/>
      <c r="T126" s="577"/>
      <c r="U126" s="577"/>
    </row>
    <row r="127" spans="1:21" s="571" customFormat="1">
      <c r="A127" s="568"/>
      <c r="B127" s="568"/>
      <c r="C127" s="569"/>
      <c r="D127" s="570"/>
      <c r="E127" s="568"/>
      <c r="F127" s="568"/>
      <c r="G127" s="568"/>
      <c r="I127" s="568"/>
      <c r="J127" s="572"/>
      <c r="K127" s="573"/>
      <c r="L127" s="574"/>
      <c r="M127" s="575"/>
      <c r="N127" s="576"/>
      <c r="O127" s="577"/>
      <c r="P127" s="577"/>
      <c r="Q127" s="577"/>
      <c r="R127" s="577"/>
      <c r="S127" s="577"/>
      <c r="T127" s="577"/>
      <c r="U127" s="577"/>
    </row>
    <row r="128" spans="1:21" s="571" customFormat="1">
      <c r="A128" s="568"/>
      <c r="B128" s="568"/>
      <c r="C128" s="569"/>
      <c r="D128" s="570"/>
      <c r="E128" s="568"/>
      <c r="F128" s="568"/>
      <c r="G128" s="568"/>
      <c r="I128" s="568"/>
      <c r="J128" s="572"/>
      <c r="K128" s="573"/>
      <c r="L128" s="574"/>
      <c r="M128" s="575"/>
      <c r="N128" s="576"/>
      <c r="O128" s="577"/>
      <c r="P128" s="577"/>
      <c r="Q128" s="577"/>
      <c r="R128" s="577"/>
      <c r="S128" s="577"/>
      <c r="T128" s="577"/>
      <c r="U128" s="577"/>
    </row>
    <row r="129" spans="1:21" s="571" customFormat="1">
      <c r="A129" s="568"/>
      <c r="B129" s="568"/>
      <c r="C129" s="569"/>
      <c r="D129" s="570"/>
      <c r="E129" s="568"/>
      <c r="F129" s="568"/>
      <c r="G129" s="568"/>
      <c r="I129" s="568"/>
      <c r="J129" s="572"/>
      <c r="K129" s="573"/>
      <c r="L129" s="574"/>
      <c r="M129" s="575"/>
      <c r="N129" s="576"/>
      <c r="O129" s="577"/>
      <c r="P129" s="577"/>
      <c r="Q129" s="577"/>
      <c r="R129" s="577"/>
      <c r="S129" s="577"/>
      <c r="T129" s="577"/>
      <c r="U129" s="577"/>
    </row>
    <row r="130" spans="1:21" s="571" customFormat="1">
      <c r="A130" s="568"/>
      <c r="B130" s="568"/>
      <c r="C130" s="569"/>
      <c r="D130" s="570"/>
      <c r="E130" s="568"/>
      <c r="F130" s="568"/>
      <c r="G130" s="568"/>
      <c r="I130" s="568"/>
      <c r="J130" s="572"/>
      <c r="K130" s="573"/>
      <c r="L130" s="574"/>
      <c r="M130" s="575"/>
      <c r="N130" s="576"/>
      <c r="O130" s="577"/>
      <c r="P130" s="577"/>
      <c r="Q130" s="577"/>
      <c r="R130" s="577"/>
      <c r="S130" s="577"/>
      <c r="T130" s="577"/>
      <c r="U130" s="577"/>
    </row>
    <row r="131" spans="1:21" s="571" customFormat="1">
      <c r="A131" s="568"/>
      <c r="B131" s="568"/>
      <c r="C131" s="569"/>
      <c r="D131" s="570"/>
      <c r="E131" s="568"/>
      <c r="F131" s="568"/>
      <c r="G131" s="568"/>
      <c r="I131" s="568"/>
      <c r="J131" s="572"/>
      <c r="K131" s="573"/>
      <c r="L131" s="574"/>
      <c r="M131" s="575"/>
      <c r="N131" s="576"/>
      <c r="O131" s="577"/>
      <c r="P131" s="577"/>
      <c r="Q131" s="577"/>
      <c r="R131" s="577"/>
      <c r="S131" s="577"/>
      <c r="T131" s="577"/>
      <c r="U131" s="577"/>
    </row>
    <row r="132" spans="1:21" s="577" customFormat="1">
      <c r="A132" s="578"/>
      <c r="B132" s="578"/>
      <c r="C132" s="569"/>
      <c r="D132" s="579"/>
      <c r="E132" s="568"/>
      <c r="F132" s="568"/>
      <c r="G132" s="568"/>
      <c r="H132" s="571"/>
      <c r="I132" s="568"/>
      <c r="J132" s="572"/>
      <c r="K132" s="573"/>
      <c r="L132" s="587"/>
      <c r="M132" s="588"/>
      <c r="N132" s="576"/>
    </row>
    <row r="133" spans="1:21">
      <c r="K133" s="586"/>
    </row>
    <row r="134" spans="1:21">
      <c r="L134" s="591"/>
    </row>
    <row r="135" spans="1:21" s="589" customFormat="1">
      <c r="C135" s="581"/>
      <c r="D135" s="582"/>
      <c r="E135" s="582"/>
      <c r="F135" s="583"/>
      <c r="G135" s="583"/>
      <c r="H135" s="584"/>
      <c r="I135" s="581"/>
      <c r="J135" s="585"/>
      <c r="K135" s="590"/>
      <c r="L135" s="592"/>
      <c r="O135" s="581"/>
      <c r="P135" s="581"/>
      <c r="Q135" s="581"/>
      <c r="R135" s="581"/>
      <c r="S135" s="581"/>
      <c r="T135" s="581"/>
      <c r="U135" s="581"/>
    </row>
    <row r="136" spans="1:21" s="589" customFormat="1">
      <c r="C136" s="581"/>
      <c r="D136" s="582"/>
      <c r="E136" s="582"/>
      <c r="F136" s="583"/>
      <c r="G136" s="583"/>
      <c r="H136" s="584"/>
      <c r="I136" s="581"/>
      <c r="J136" s="585"/>
      <c r="K136" s="590"/>
      <c r="L136" s="594"/>
      <c r="O136" s="581"/>
      <c r="P136" s="581"/>
      <c r="Q136" s="581"/>
      <c r="R136" s="581"/>
      <c r="S136" s="581"/>
      <c r="T136" s="581"/>
      <c r="U136" s="581"/>
    </row>
    <row r="137" spans="1:21" s="589" customFormat="1">
      <c r="C137" s="581"/>
      <c r="D137" s="582"/>
      <c r="E137" s="582"/>
      <c r="F137" s="583"/>
      <c r="G137" s="583"/>
      <c r="H137" s="584"/>
      <c r="I137" s="581"/>
      <c r="J137" s="585"/>
      <c r="K137" s="593"/>
      <c r="L137" s="587"/>
      <c r="O137" s="581"/>
      <c r="P137" s="581"/>
      <c r="Q137" s="581"/>
      <c r="R137" s="581"/>
      <c r="S137" s="581"/>
      <c r="T137" s="581"/>
      <c r="U137" s="581"/>
    </row>
    <row r="138" spans="1:21" s="589" customFormat="1">
      <c r="C138" s="581"/>
      <c r="D138" s="582"/>
      <c r="E138" s="582"/>
      <c r="F138" s="583"/>
      <c r="G138" s="583"/>
      <c r="H138" s="584"/>
      <c r="I138" s="581"/>
      <c r="J138" s="585"/>
      <c r="K138" s="595"/>
      <c r="L138" s="596"/>
      <c r="O138" s="581"/>
      <c r="P138" s="581"/>
      <c r="Q138" s="581"/>
      <c r="R138" s="581"/>
      <c r="S138" s="581"/>
      <c r="T138" s="581"/>
      <c r="U138" s="581"/>
    </row>
  </sheetData>
  <sheetProtection autoFilter="0"/>
  <autoFilter ref="A8:N15">
    <sortState ref="A9:N15">
      <sortCondition descending="1" ref="M8:M15"/>
    </sortState>
  </autoFilter>
  <sortState ref="B9:N20">
    <sortCondition descending="1" ref="M9:M20"/>
  </sortState>
  <mergeCells count="1">
    <mergeCell ref="C7:N7"/>
  </mergeCells>
  <conditionalFormatting sqref="Q1:Q7">
    <cfRule type="cellIs" dxfId="1" priority="2" operator="lessThan">
      <formula>0</formula>
    </cfRule>
  </conditionalFormatting>
  <hyperlinks>
    <hyperlink ref="P3" location="INÍCIO!A1" display="INÍCIO"/>
  </hyperlinks>
  <printOptions horizontalCentered="1"/>
  <pageMargins left="0.39370078740157483" right="0.39370078740157483" top="0.39370078740157483" bottom="0.98425196850393704" header="0.39370078740157483" footer="0.39370078740157483"/>
  <pageSetup paperSize="9" scale="66" orientation="landscape" r:id="rId1"/>
  <headerFooter>
    <oddFooter>&amp;C&amp;"Courier New,Normal"&amp;8Prefeitura da UFRJ
Praça Jorge Machado Moreira, 100 - Cidade Universitária - Ilha do Fundão
CEP 21941-598 - Rio de Janeiro-RJ - Cx. Postal 68.010
Tel:21 2598-9324&amp;R&amp;"Courier New,Normal"&amp;8Página: &amp;P/&amp;N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5"/>
  <dimension ref="B1:AG86"/>
  <sheetViews>
    <sheetView view="pageBreakPreview" zoomScale="85" zoomScaleNormal="70" zoomScaleSheetLayoutView="85" workbookViewId="0">
      <pane ySplit="8" topLeftCell="A15" activePane="bottomLeft" state="frozenSplit"/>
      <selection activeCell="B14" sqref="B14"/>
      <selection pane="bottomLeft" activeCell="M34" sqref="M34"/>
    </sheetView>
  </sheetViews>
  <sheetFormatPr defaultRowHeight="13.5"/>
  <cols>
    <col min="1" max="1" width="9.140625" style="64"/>
    <col min="2" max="2" width="9.42578125" style="64" customWidth="1"/>
    <col min="3" max="3" width="9.28515625" style="64" customWidth="1"/>
    <col min="4" max="4" width="15.42578125" style="64" customWidth="1"/>
    <col min="5" max="5" width="14.28515625" style="64" customWidth="1"/>
    <col min="6" max="6" width="26.85546875" style="64" customWidth="1"/>
    <col min="7" max="7" width="25.28515625" style="64" customWidth="1"/>
    <col min="8" max="8" width="9.42578125" style="64" customWidth="1"/>
    <col min="9" max="9" width="8.7109375" style="64" bestFit="1" customWidth="1"/>
    <col min="10" max="10" width="16" style="64" customWidth="1"/>
    <col min="11" max="13" width="9.140625" style="64"/>
    <col min="14" max="14" width="49" style="64" customWidth="1"/>
    <col min="15" max="15" width="13.7109375" style="133" bestFit="1" customWidth="1"/>
    <col min="16" max="16" width="9.42578125" style="133" customWidth="1"/>
    <col min="17" max="18" width="13.7109375" style="133" bestFit="1" customWidth="1"/>
    <col min="19" max="19" width="9.42578125" style="133" customWidth="1"/>
    <col min="20" max="21" width="13.7109375" style="133" bestFit="1" customWidth="1"/>
    <col min="22" max="22" width="9.42578125" style="133" customWidth="1"/>
    <col min="23" max="24" width="13.7109375" style="133" bestFit="1" customWidth="1"/>
    <col min="25" max="25" width="9.42578125" style="133" customWidth="1"/>
    <col min="26" max="27" width="13.7109375" style="133" bestFit="1" customWidth="1"/>
    <col min="28" max="28" width="9.42578125" style="133" customWidth="1"/>
    <col min="29" max="30" width="13.7109375" style="133" bestFit="1" customWidth="1"/>
    <col min="31" max="31" width="9.42578125" style="133" customWidth="1"/>
    <col min="32" max="32" width="13.7109375" style="133" bestFit="1" customWidth="1"/>
    <col min="33" max="33" width="9.42578125" style="64" customWidth="1"/>
    <col min="34" max="16384" width="9.140625" style="64"/>
  </cols>
  <sheetData>
    <row r="1" spans="2:33" s="1" customFormat="1">
      <c r="B1" s="171"/>
      <c r="D1" s="61" t="s">
        <v>0</v>
      </c>
      <c r="E1" s="60"/>
      <c r="F1" s="2"/>
      <c r="G1" s="147"/>
      <c r="H1" s="3"/>
      <c r="I1" s="4"/>
      <c r="J1" s="146"/>
      <c r="K1" s="192"/>
      <c r="L1" s="5"/>
      <c r="M1" s="161"/>
    </row>
    <row r="2" spans="2:33" s="1" customFormat="1" ht="14.25" thickBot="1">
      <c r="B2" s="171"/>
      <c r="D2" s="194" t="s">
        <v>1</v>
      </c>
      <c r="E2" s="189"/>
      <c r="F2" s="20"/>
      <c r="G2" s="190"/>
      <c r="H2" s="170"/>
      <c r="I2" s="167"/>
      <c r="J2" s="168"/>
      <c r="K2" s="192"/>
      <c r="L2" s="5"/>
      <c r="M2" s="161"/>
    </row>
    <row r="3" spans="2:33" s="1" customFormat="1" ht="15.75" thickBot="1">
      <c r="B3" s="171"/>
      <c r="D3" s="212" t="str">
        <f>"Objeto:"&amp;" "&amp;INÍCIO!$D$6</f>
        <v>Objeto: COLETA DE RESÍDUOS DE COMÉRCIO E SERVIÇOS (RESÍDUO EXTRAORDINÁRIO) E RESÍDUO INERTE</v>
      </c>
      <c r="E3" s="196"/>
      <c r="F3" s="196"/>
      <c r="G3" s="196"/>
      <c r="H3" s="196"/>
      <c r="I3" s="167"/>
      <c r="J3" s="169"/>
      <c r="K3" s="192"/>
      <c r="L3" s="6" t="s">
        <v>2</v>
      </c>
      <c r="M3" s="161"/>
    </row>
    <row r="4" spans="2:33" s="1" customFormat="1">
      <c r="B4" s="171"/>
      <c r="D4" s="212" t="str">
        <f>"Local:"&amp;" "&amp;INÍCIO!$D$7</f>
        <v>Local: CIDADE UNIVERSITÁRIA, PRAIA VERMELHA, UNIDADES EXTERNAS E STA. CRUZ DA SERRA</v>
      </c>
      <c r="E4" s="196"/>
      <c r="F4" s="196"/>
      <c r="G4" s="196"/>
      <c r="H4" s="196"/>
      <c r="I4" s="7"/>
      <c r="J4" s="146"/>
      <c r="K4" s="192"/>
      <c r="L4" s="161"/>
      <c r="M4" s="161"/>
    </row>
    <row r="5" spans="2:33" s="1" customFormat="1">
      <c r="B5" s="171"/>
      <c r="D5" s="212" t="str">
        <f>"Responsável:"&amp;" "&amp;INÍCIO!$D$8</f>
        <v xml:space="preserve">Responsável: </v>
      </c>
      <c r="E5" s="196"/>
      <c r="F5" s="196"/>
      <c r="G5" s="196"/>
      <c r="H5" s="196"/>
      <c r="I5" s="8"/>
      <c r="J5" s="146"/>
      <c r="K5" s="192"/>
      <c r="L5" s="161"/>
      <c r="M5" s="161"/>
    </row>
    <row r="6" spans="2:33" s="62" customFormat="1">
      <c r="B6" s="834"/>
      <c r="C6" s="834"/>
      <c r="D6" s="132" t="s">
        <v>193</v>
      </c>
      <c r="E6" s="129"/>
      <c r="F6" s="130"/>
      <c r="G6" s="835" t="s">
        <v>194</v>
      </c>
      <c r="H6" s="835"/>
      <c r="I6" s="835"/>
      <c r="J6" s="835"/>
      <c r="K6" s="63"/>
      <c r="L6" s="63"/>
      <c r="M6" s="63"/>
      <c r="N6" s="131"/>
      <c r="O6" s="138"/>
      <c r="P6" s="138"/>
      <c r="Q6" s="138"/>
      <c r="R6" s="138"/>
      <c r="S6" s="138"/>
      <c r="T6" s="138"/>
      <c r="U6" s="138"/>
      <c r="V6" s="138"/>
      <c r="W6" s="138"/>
      <c r="X6" s="138"/>
      <c r="Y6" s="138"/>
      <c r="Z6" s="138"/>
      <c r="AA6" s="138"/>
      <c r="AB6" s="138"/>
      <c r="AC6" s="138"/>
      <c r="AD6" s="138"/>
      <c r="AE6" s="138"/>
      <c r="AF6" s="138"/>
      <c r="AG6" s="131"/>
    </row>
    <row r="7" spans="2:33" ht="30.75" customHeight="1">
      <c r="B7" s="833" t="s">
        <v>212</v>
      </c>
      <c r="C7" s="833"/>
      <c r="D7" s="833"/>
      <c r="E7" s="833"/>
      <c r="F7" s="833"/>
      <c r="G7" s="833"/>
      <c r="H7" s="833"/>
      <c r="I7" s="833"/>
      <c r="J7" s="833"/>
      <c r="K7" s="65"/>
      <c r="L7" s="65"/>
      <c r="M7" s="65"/>
      <c r="N7" s="128"/>
      <c r="O7" s="137"/>
      <c r="P7" s="137"/>
      <c r="Q7" s="137"/>
      <c r="R7" s="137"/>
      <c r="S7" s="137"/>
      <c r="T7" s="137"/>
      <c r="U7" s="137"/>
      <c r="V7" s="137"/>
      <c r="W7" s="137"/>
      <c r="X7" s="137"/>
      <c r="Y7" s="137"/>
      <c r="Z7" s="137"/>
      <c r="AA7" s="137"/>
      <c r="AB7" s="137"/>
      <c r="AC7" s="137"/>
      <c r="AD7" s="137"/>
      <c r="AE7" s="137"/>
      <c r="AF7" s="137"/>
      <c r="AG7" s="128"/>
    </row>
    <row r="8" spans="2:33">
      <c r="B8" s="836" t="s">
        <v>98</v>
      </c>
      <c r="C8" s="836"/>
      <c r="D8" s="837"/>
      <c r="E8" s="837"/>
      <c r="F8" s="837"/>
      <c r="G8" s="837"/>
      <c r="H8" s="837"/>
      <c r="I8" s="837"/>
      <c r="J8" s="837"/>
      <c r="K8" s="65"/>
      <c r="L8" s="65"/>
      <c r="M8" s="65"/>
    </row>
    <row r="9" spans="2:33">
      <c r="B9" s="838" t="s">
        <v>99</v>
      </c>
      <c r="C9" s="838"/>
      <c r="D9" s="838"/>
      <c r="E9" s="838"/>
      <c r="F9" s="838"/>
      <c r="G9" s="838"/>
      <c r="H9" s="838"/>
      <c r="I9" s="838"/>
      <c r="J9" s="838"/>
      <c r="K9" s="65"/>
      <c r="L9" s="65"/>
      <c r="M9" s="65"/>
    </row>
    <row r="10" spans="2:33">
      <c r="B10" s="66"/>
      <c r="C10" s="66"/>
      <c r="D10" s="66"/>
      <c r="E10" s="66"/>
      <c r="F10" s="66"/>
      <c r="G10" s="66"/>
      <c r="H10" s="66"/>
      <c r="I10" s="66"/>
      <c r="J10" s="66"/>
      <c r="K10" s="65"/>
      <c r="L10" s="65"/>
      <c r="M10" s="65"/>
      <c r="N10" s="848" t="s">
        <v>199</v>
      </c>
      <c r="O10" s="832" t="s">
        <v>203</v>
      </c>
      <c r="P10" s="832"/>
      <c r="Q10" s="832"/>
      <c r="R10" s="832" t="s">
        <v>204</v>
      </c>
      <c r="S10" s="832"/>
      <c r="T10" s="832"/>
      <c r="U10" s="832" t="s">
        <v>205</v>
      </c>
      <c r="V10" s="832"/>
      <c r="W10" s="832"/>
      <c r="X10" s="832" t="s">
        <v>206</v>
      </c>
      <c r="Y10" s="832"/>
      <c r="Z10" s="832"/>
      <c r="AA10" s="832" t="s">
        <v>207</v>
      </c>
      <c r="AB10" s="832"/>
      <c r="AC10" s="832"/>
      <c r="AD10" s="845" t="s">
        <v>23</v>
      </c>
      <c r="AE10" s="846"/>
      <c r="AF10" s="847"/>
    </row>
    <row r="11" spans="2:33" ht="16.5">
      <c r="B11" s="67"/>
      <c r="C11" s="68"/>
      <c r="D11" s="68"/>
      <c r="E11" s="68"/>
      <c r="F11" s="68"/>
      <c r="G11" s="69" t="s">
        <v>100</v>
      </c>
      <c r="H11" s="70">
        <f>(1+(J21+J23+J25))*(1+J27)*(1+J29)/(1-J32)</f>
        <v>1.1981813160768662</v>
      </c>
      <c r="I11" s="71" t="s">
        <v>100</v>
      </c>
      <c r="J11" s="72">
        <f>H11-1</f>
        <v>0.19818131607686618</v>
      </c>
      <c r="K11" s="65"/>
      <c r="L11" s="65"/>
      <c r="M11" s="65"/>
      <c r="N11" s="848"/>
      <c r="O11" s="136" t="s">
        <v>200</v>
      </c>
      <c r="P11" s="136" t="s">
        <v>201</v>
      </c>
      <c r="Q11" s="136" t="s">
        <v>202</v>
      </c>
      <c r="R11" s="136" t="s">
        <v>200</v>
      </c>
      <c r="S11" s="136" t="s">
        <v>201</v>
      </c>
      <c r="T11" s="136" t="s">
        <v>202</v>
      </c>
      <c r="U11" s="136" t="s">
        <v>200</v>
      </c>
      <c r="V11" s="136" t="s">
        <v>201</v>
      </c>
      <c r="W11" s="136" t="s">
        <v>202</v>
      </c>
      <c r="X11" s="136" t="s">
        <v>200</v>
      </c>
      <c r="Y11" s="136" t="s">
        <v>201</v>
      </c>
      <c r="Z11" s="136" t="s">
        <v>202</v>
      </c>
      <c r="AA11" s="136" t="s">
        <v>200</v>
      </c>
      <c r="AB11" s="136" t="s">
        <v>201</v>
      </c>
      <c r="AC11" s="136" t="s">
        <v>202</v>
      </c>
      <c r="AD11" s="144" t="s">
        <v>200</v>
      </c>
      <c r="AE11" s="144" t="s">
        <v>201</v>
      </c>
      <c r="AF11" s="144" t="s">
        <v>202</v>
      </c>
    </row>
    <row r="12" spans="2:33" ht="16.5">
      <c r="B12" s="67"/>
      <c r="C12" s="68"/>
      <c r="D12" s="68"/>
      <c r="E12" s="68"/>
      <c r="F12" s="68"/>
      <c r="G12" s="68"/>
      <c r="H12" s="68"/>
      <c r="I12" s="68"/>
      <c r="J12" s="68"/>
      <c r="K12" s="65"/>
      <c r="L12" s="65"/>
      <c r="M12" s="65"/>
      <c r="N12" s="141" t="str">
        <f>G6</f>
        <v>Construção de Edifícios</v>
      </c>
      <c r="O12" s="139">
        <f>IF(N12=N21,O21,IF(N12=N22,O22,IF(N12=N23,O23,IF(N12=N24,O24,IF(N12=N25,O25,IF(N12=N26,O26,0))))))</f>
        <v>0.03</v>
      </c>
      <c r="P12" s="139">
        <f>IF(N12=N21,P21,IF(N12=N22,P22,IF(N12=N23,P23,IF(N12=N24,P24,IF(N12=N25,P25,IF(N12=N26,P26,0))))))</f>
        <v>0.04</v>
      </c>
      <c r="Q12" s="139">
        <f>IF(N12=N21,Q21,IF(N12=N22,Q22,IF(N12=N23,Q23,IF(N12=N24,Q24,IF(N12=N25,Q25,IF(N12=N26,Q26,0))))))</f>
        <v>5.5E-2</v>
      </c>
      <c r="R12" s="139">
        <f>IF(N12=N21,R21,IF(N12=N22,R22,IF(N12=N23,R23,IF(N12=N24,R24,IF(N12=N25,R25,IF(N12=N26,R26,0))))))</f>
        <v>8.0000000000000002E-3</v>
      </c>
      <c r="S12" s="139">
        <f>IF(N12=N21,S21,IF(N12=N22,S22,IF(N12=N23,S23,IF(N12=N24,S24,IF(N12=N25,S25,IF(N12=N26,S26,0))))))</f>
        <v>8.0000000000000002E-3</v>
      </c>
      <c r="T12" s="139">
        <f>IF(N12=N21,T21,IF(N12=N22,T22,IF(N12=N23,T23,IF(N12=N24,T24,IF(N12=N25,T25,IF(N12=N26,T26,0))))))</f>
        <v>0.01</v>
      </c>
      <c r="U12" s="139">
        <f>IF(N12=N21,U21,IF(N12=N22,U22,IF(N12=N23,U23,IF(N12=N24,U24,IF(N12=N25,U25,IF(N12=N26,U26,0))))))</f>
        <v>9.7000000000000003E-3</v>
      </c>
      <c r="V12" s="139">
        <f>IF(N12=N21,V21,IF(N12=N22,V22,IF(N12=N23,V23,IF(N12=N24,V24,IF(N12=N25,V25,IF(N12=N26,V26,0))))))</f>
        <v>1.2699999999999999E-2</v>
      </c>
      <c r="W12" s="139">
        <f>IF(N12=N21,W21,IF(N12=N22,W22,IF(N12=N23,W23,IF(N12=N24,W24,IF(N12=N25,W25,IF(N12=N26,W26,0))))))</f>
        <v>1.2699999999999999E-2</v>
      </c>
      <c r="X12" s="139">
        <f>IF(N12=N21,X21,IF(N12=N22,X22,IF(N12=N23,X23,IF(N12=N24,X24,IF(N12=N25,X25,IF(N12=N26,X26,0))))))</f>
        <v>5.8999999999999999E-3</v>
      </c>
      <c r="Y12" s="139">
        <f>IF(N12=N21,Y21,IF(N12=N22,Y22,IF(N12=N23,Y23,IF(N12=N24,Y24,IF(N12=N25,Y25,IF(N12=N26,Y26,0))))))</f>
        <v>1.23E-2</v>
      </c>
      <c r="Z12" s="139">
        <f>IF(N12=N21,Z21,IF(N12=N22,Z22,IF(N12=N23,Z23,IF(N12=N24,Z24,IF(N12=N25,Z25,IF(N12=N26,Z26,0))))))</f>
        <v>1.3899999999999999E-2</v>
      </c>
      <c r="AA12" s="139">
        <f>IF(N12=N21,AA21,IF(N12=N22,AA22,IF(N12=N23,AA23,IF(N12=N24,AA24,IF(N12=N25,AA25,IF(N12=N26,AA26,0))))))</f>
        <v>6.1600000000000002E-2</v>
      </c>
      <c r="AB12" s="139">
        <f>IF(N12=N21,AB21,IF(N12=N22,AB22,IF(N12=N23,AB23,IF(N12=N24,AB24,IF(N12=N25,AB25,IF(N12=N26,AB26,0))))))</f>
        <v>7.3999999999999996E-2</v>
      </c>
      <c r="AC12" s="139">
        <f>IF(N12=N21,AC21,IF(N12=N22,AC22,IF(N12=N23,AC23,IF(N12=N24,AC24,IF(N12=N25,AC25,IF(N12=N26,AC26,0))))))</f>
        <v>8.9599999999999999E-2</v>
      </c>
      <c r="AD12" s="139">
        <f>IF(N12=N21,AD21,IF(N12=N22,AD22,IF(N12=N23,AD23,IF(N12=N24,AD24,IF(N12=N25,AD25,IF(N12=N26,AD26,0))))))</f>
        <v>0.2034</v>
      </c>
      <c r="AE12" s="139">
        <f>IF(N12=N21,AE21,IF(N12=N22,AE22,IF(N12=N23,AE23,IF(N12=N24,AE24,IF(N12=N25,AE25,IF(N12=N26,AE26,0))))))</f>
        <v>0.22120000000000001</v>
      </c>
      <c r="AF12" s="139">
        <f>IF(N12=N21,AF21,IF(N12=N22,AF22,IF(N12=N23,AF23,IF(N12=N24,AF24,IF(N12=N25,AF25,IF(N12=N26,AF26,0))))))</f>
        <v>0.25</v>
      </c>
    </row>
    <row r="13" spans="2:33">
      <c r="B13" s="829"/>
      <c r="C13" s="829"/>
      <c r="D13" s="65"/>
      <c r="E13" s="65"/>
      <c r="F13" s="65"/>
      <c r="G13" s="65"/>
      <c r="H13" s="65"/>
      <c r="I13" s="65"/>
      <c r="J13" s="65"/>
      <c r="K13" s="65"/>
      <c r="L13" s="65"/>
      <c r="M13" s="65"/>
    </row>
    <row r="14" spans="2:33">
      <c r="B14" s="65" t="s">
        <v>101</v>
      </c>
      <c r="C14" s="65"/>
      <c r="D14" s="65"/>
      <c r="E14" s="65"/>
      <c r="F14" s="65"/>
      <c r="G14" s="65"/>
      <c r="H14" s="65"/>
      <c r="I14" s="65"/>
      <c r="J14" s="65"/>
      <c r="K14" s="65"/>
      <c r="L14" s="65"/>
      <c r="M14" s="65"/>
    </row>
    <row r="15" spans="2:33">
      <c r="B15" s="65" t="s">
        <v>102</v>
      </c>
      <c r="C15" s="65"/>
      <c r="D15" s="65"/>
      <c r="E15" s="65"/>
      <c r="F15" s="65"/>
      <c r="G15" s="65"/>
      <c r="H15" s="65"/>
      <c r="I15" s="65"/>
      <c r="J15" s="65"/>
      <c r="K15" s="65"/>
      <c r="L15" s="65"/>
      <c r="M15" s="65"/>
    </row>
    <row r="16" spans="2:33" ht="13.5" customHeight="1">
      <c r="B16" s="65" t="s">
        <v>103</v>
      </c>
      <c r="C16" s="65"/>
      <c r="D16" s="65"/>
      <c r="E16" s="65"/>
      <c r="F16" s="65"/>
      <c r="G16" s="65"/>
      <c r="H16" s="65"/>
      <c r="I16" s="65"/>
      <c r="J16" s="65"/>
      <c r="K16" s="65"/>
      <c r="L16" s="65"/>
      <c r="M16" s="65"/>
    </row>
    <row r="17" spans="2:32" ht="13.5" customHeight="1">
      <c r="B17" s="65" t="s">
        <v>104</v>
      </c>
      <c r="C17" s="73"/>
      <c r="D17" s="73"/>
      <c r="E17" s="73"/>
      <c r="F17" s="73"/>
      <c r="G17" s="73"/>
      <c r="H17" s="73"/>
      <c r="I17" s="73"/>
      <c r="J17" s="73"/>
      <c r="K17" s="65"/>
      <c r="L17" s="65"/>
      <c r="M17" s="65"/>
    </row>
    <row r="18" spans="2:32" ht="18" customHeight="1">
      <c r="B18" s="65" t="s">
        <v>105</v>
      </c>
      <c r="C18" s="65"/>
      <c r="D18" s="65"/>
      <c r="E18" s="65"/>
      <c r="F18" s="65"/>
      <c r="G18" s="65"/>
      <c r="H18" s="65"/>
      <c r="I18" s="65"/>
      <c r="J18" s="65"/>
      <c r="K18" s="65"/>
      <c r="L18" s="65"/>
      <c r="M18" s="65"/>
    </row>
    <row r="19" spans="2:32" ht="18" customHeight="1">
      <c r="B19" s="65" t="s">
        <v>106</v>
      </c>
      <c r="C19" s="65"/>
      <c r="D19" s="65"/>
      <c r="E19" s="65"/>
      <c r="F19" s="65"/>
      <c r="G19" s="65"/>
      <c r="H19" s="65"/>
      <c r="I19" s="65"/>
      <c r="J19" s="65"/>
      <c r="K19" s="65"/>
      <c r="L19" s="65"/>
      <c r="M19" s="65"/>
      <c r="N19" s="848" t="s">
        <v>199</v>
      </c>
      <c r="O19" s="845" t="s">
        <v>203</v>
      </c>
      <c r="P19" s="846"/>
      <c r="Q19" s="847"/>
      <c r="R19" s="845" t="s">
        <v>204</v>
      </c>
      <c r="S19" s="846"/>
      <c r="T19" s="847"/>
      <c r="U19" s="845" t="s">
        <v>205</v>
      </c>
      <c r="V19" s="846"/>
      <c r="W19" s="847"/>
      <c r="X19" s="845" t="s">
        <v>206</v>
      </c>
      <c r="Y19" s="846"/>
      <c r="Z19" s="847"/>
      <c r="AA19" s="845" t="s">
        <v>207</v>
      </c>
      <c r="AB19" s="846"/>
      <c r="AC19" s="847"/>
      <c r="AD19" s="845" t="s">
        <v>23</v>
      </c>
      <c r="AE19" s="846"/>
      <c r="AF19" s="847"/>
    </row>
    <row r="20" spans="2:32" ht="18" customHeight="1" thickBot="1">
      <c r="B20" s="74" t="s">
        <v>107</v>
      </c>
      <c r="C20" s="74"/>
      <c r="D20" s="74"/>
      <c r="E20" s="74"/>
      <c r="F20" s="74"/>
      <c r="G20" s="74"/>
      <c r="H20" s="74"/>
      <c r="I20" s="74"/>
      <c r="J20" s="74"/>
      <c r="K20" s="65"/>
      <c r="L20" s="65"/>
      <c r="M20" s="65"/>
      <c r="N20" s="848"/>
      <c r="O20" s="136" t="s">
        <v>200</v>
      </c>
      <c r="P20" s="136" t="s">
        <v>201</v>
      </c>
      <c r="Q20" s="136" t="s">
        <v>202</v>
      </c>
      <c r="R20" s="136" t="s">
        <v>200</v>
      </c>
      <c r="S20" s="136" t="s">
        <v>201</v>
      </c>
      <c r="T20" s="136" t="s">
        <v>202</v>
      </c>
      <c r="U20" s="136" t="s">
        <v>200</v>
      </c>
      <c r="V20" s="136" t="s">
        <v>201</v>
      </c>
      <c r="W20" s="136" t="s">
        <v>202</v>
      </c>
      <c r="X20" s="136" t="s">
        <v>200</v>
      </c>
      <c r="Y20" s="136" t="s">
        <v>201</v>
      </c>
      <c r="Z20" s="136" t="s">
        <v>202</v>
      </c>
      <c r="AA20" s="136" t="s">
        <v>200</v>
      </c>
      <c r="AB20" s="136" t="s">
        <v>201</v>
      </c>
      <c r="AC20" s="136" t="s">
        <v>202</v>
      </c>
      <c r="AD20" s="144" t="s">
        <v>200</v>
      </c>
      <c r="AE20" s="144" t="s">
        <v>201</v>
      </c>
      <c r="AF20" s="144" t="s">
        <v>202</v>
      </c>
    </row>
    <row r="21" spans="2:32" ht="18" customHeight="1" thickBot="1">
      <c r="B21" s="830" t="s">
        <v>108</v>
      </c>
      <c r="C21" s="830"/>
      <c r="D21" s="830"/>
      <c r="E21" s="830"/>
      <c r="F21" s="830"/>
      <c r="G21" s="830"/>
      <c r="H21" s="830"/>
      <c r="I21" s="75" t="s">
        <v>109</v>
      </c>
      <c r="J21" s="76">
        <f>O12</f>
        <v>0.03</v>
      </c>
      <c r="K21" s="65"/>
      <c r="L21" s="65"/>
      <c r="M21" s="65"/>
      <c r="N21" s="134" t="s">
        <v>194</v>
      </c>
      <c r="O21" s="139">
        <v>0.03</v>
      </c>
      <c r="P21" s="139">
        <v>0.04</v>
      </c>
      <c r="Q21" s="139">
        <v>5.5E-2</v>
      </c>
      <c r="R21" s="139">
        <v>8.0000000000000002E-3</v>
      </c>
      <c r="S21" s="139">
        <v>8.0000000000000002E-3</v>
      </c>
      <c r="T21" s="139">
        <v>0.01</v>
      </c>
      <c r="U21" s="139">
        <v>9.7000000000000003E-3</v>
      </c>
      <c r="V21" s="139">
        <v>1.2699999999999999E-2</v>
      </c>
      <c r="W21" s="139">
        <v>1.2699999999999999E-2</v>
      </c>
      <c r="X21" s="139">
        <v>5.8999999999999999E-3</v>
      </c>
      <c r="Y21" s="139">
        <v>1.23E-2</v>
      </c>
      <c r="Z21" s="139">
        <v>1.3899999999999999E-2</v>
      </c>
      <c r="AA21" s="139">
        <v>6.1600000000000002E-2</v>
      </c>
      <c r="AB21" s="139">
        <v>7.3999999999999996E-2</v>
      </c>
      <c r="AC21" s="139">
        <v>8.9599999999999999E-2</v>
      </c>
      <c r="AD21" s="139">
        <v>0.2034</v>
      </c>
      <c r="AE21" s="139">
        <v>0.22120000000000001</v>
      </c>
      <c r="AF21" s="139">
        <v>0.25</v>
      </c>
    </row>
    <row r="22" spans="2:32" ht="18" customHeight="1" thickBot="1">
      <c r="B22" s="831" t="str">
        <f>"Considerado = "&amp;J21*100 &amp; "% (varia entre "&amp;O12*100&amp;" a "&amp;Q12*100&amp;"% do custo direto do serviço)"</f>
        <v>Considerado = 3% (varia entre 3 a 5,5% do custo direto do serviço)</v>
      </c>
      <c r="C22" s="831"/>
      <c r="D22" s="831"/>
      <c r="E22" s="831"/>
      <c r="F22" s="831"/>
      <c r="G22" s="831"/>
      <c r="H22" s="77"/>
      <c r="I22" s="77"/>
      <c r="J22" s="78"/>
      <c r="K22" s="65"/>
      <c r="L22" s="65"/>
      <c r="M22" s="65"/>
      <c r="N22" s="134" t="s">
        <v>195</v>
      </c>
      <c r="O22" s="139">
        <v>3.7999999999999999E-2</v>
      </c>
      <c r="P22" s="139">
        <v>4.0099999999999997E-2</v>
      </c>
      <c r="Q22" s="139">
        <v>4.6699999999999998E-2</v>
      </c>
      <c r="R22" s="139">
        <v>3.2000000000000002E-3</v>
      </c>
      <c r="S22" s="139">
        <v>4.0000000000000001E-3</v>
      </c>
      <c r="T22" s="139">
        <v>7.4000000000000003E-3</v>
      </c>
      <c r="U22" s="139">
        <v>5.0000000000000001E-3</v>
      </c>
      <c r="V22" s="139">
        <v>5.5999999999999999E-3</v>
      </c>
      <c r="W22" s="139">
        <v>9.7000000000000003E-3</v>
      </c>
      <c r="X22" s="139">
        <v>1.0200000000000001E-2</v>
      </c>
      <c r="Y22" s="139">
        <v>1.11E-2</v>
      </c>
      <c r="Z22" s="139">
        <v>1.21E-2</v>
      </c>
      <c r="AA22" s="139">
        <v>6.6400000000000001E-2</v>
      </c>
      <c r="AB22" s="139">
        <v>7.2999999999999995E-2</v>
      </c>
      <c r="AC22" s="139">
        <v>8.6900000000000005E-2</v>
      </c>
      <c r="AD22" s="139">
        <v>0.19600000000000001</v>
      </c>
      <c r="AE22" s="139">
        <v>0.2097</v>
      </c>
      <c r="AF22" s="139">
        <v>0.24229999999999999</v>
      </c>
    </row>
    <row r="23" spans="2:32" ht="18" customHeight="1" thickBot="1">
      <c r="B23" s="828" t="s">
        <v>110</v>
      </c>
      <c r="C23" s="828"/>
      <c r="D23" s="828"/>
      <c r="E23" s="828"/>
      <c r="F23" s="828"/>
      <c r="G23" s="828"/>
      <c r="H23" s="828"/>
      <c r="I23" s="79" t="s">
        <v>111</v>
      </c>
      <c r="J23" s="76">
        <f>R12</f>
        <v>8.0000000000000002E-3</v>
      </c>
      <c r="K23" s="65"/>
      <c r="L23" s="65"/>
      <c r="M23" s="65"/>
      <c r="N23" s="142" t="s">
        <v>196</v>
      </c>
      <c r="O23" s="140">
        <v>3.4299999999999997E-2</v>
      </c>
      <c r="P23" s="140">
        <v>4.9299999999999997E-2</v>
      </c>
      <c r="Q23" s="140">
        <v>6.7100000000000007E-2</v>
      </c>
      <c r="R23" s="140">
        <v>2.8E-3</v>
      </c>
      <c r="S23" s="140">
        <v>4.8999999999999998E-3</v>
      </c>
      <c r="T23" s="140">
        <v>7.4999999999999997E-3</v>
      </c>
      <c r="U23" s="140">
        <v>0.01</v>
      </c>
      <c r="V23" s="140">
        <v>1.3899999999999999E-2</v>
      </c>
      <c r="W23" s="140">
        <v>1.7399999999999999E-2</v>
      </c>
      <c r="X23" s="140">
        <v>9.4000000000000004E-3</v>
      </c>
      <c r="Y23" s="140">
        <v>9.9000000000000008E-3</v>
      </c>
      <c r="Z23" s="140">
        <v>1.17E-2</v>
      </c>
      <c r="AA23" s="140">
        <v>6.7400000000000002E-2</v>
      </c>
      <c r="AB23" s="140">
        <v>8.0399999999999999E-2</v>
      </c>
      <c r="AC23" s="140">
        <v>9.4E-2</v>
      </c>
      <c r="AD23" s="140">
        <v>0.20760000000000001</v>
      </c>
      <c r="AE23" s="140">
        <v>0.24179999999999999</v>
      </c>
      <c r="AF23" s="140">
        <v>0.26440000000000002</v>
      </c>
    </row>
    <row r="24" spans="2:32" ht="18" customHeight="1" thickBot="1">
      <c r="B24" s="831" t="str">
        <f>"Considerado = "&amp;J23*100 &amp; "% (varia entre "&amp;R12*100&amp;" a "&amp;T12*100&amp;"% do custo do serviço)"</f>
        <v>Considerado = 0,8% (varia entre 0,8 a 1% do custo do serviço)</v>
      </c>
      <c r="C24" s="831"/>
      <c r="D24" s="831"/>
      <c r="E24" s="831"/>
      <c r="F24" s="831"/>
      <c r="G24" s="831"/>
      <c r="H24" s="77"/>
      <c r="I24" s="80"/>
      <c r="J24" s="81"/>
      <c r="K24" s="65"/>
      <c r="L24" s="65"/>
      <c r="M24" s="65"/>
      <c r="N24" s="143" t="s">
        <v>197</v>
      </c>
      <c r="O24" s="140">
        <v>5.2900000000000003E-2</v>
      </c>
      <c r="P24" s="140">
        <v>5.9200000000000003E-2</v>
      </c>
      <c r="Q24" s="140">
        <v>7.9299999999999995E-2</v>
      </c>
      <c r="R24" s="140">
        <v>2.5000000000000001E-3</v>
      </c>
      <c r="S24" s="140">
        <v>5.1000000000000004E-3</v>
      </c>
      <c r="T24" s="140">
        <v>5.5999999999999999E-3</v>
      </c>
      <c r="U24" s="140">
        <v>0.01</v>
      </c>
      <c r="V24" s="140">
        <v>1.4800000000000001E-2</v>
      </c>
      <c r="W24" s="140">
        <v>1.9699999999999999E-2</v>
      </c>
      <c r="X24" s="140">
        <v>1.01E-2</v>
      </c>
      <c r="Y24" s="140">
        <v>1.0699999999999999E-2</v>
      </c>
      <c r="Z24" s="140">
        <v>1.11E-2</v>
      </c>
      <c r="AA24" s="140">
        <v>0.08</v>
      </c>
      <c r="AB24" s="140">
        <v>8.3099999999999993E-2</v>
      </c>
      <c r="AC24" s="140">
        <v>9.5100000000000004E-2</v>
      </c>
      <c r="AD24" s="140">
        <v>0.24</v>
      </c>
      <c r="AE24" s="140">
        <v>0.25840000000000002</v>
      </c>
      <c r="AF24" s="140">
        <v>0.27860000000000001</v>
      </c>
    </row>
    <row r="25" spans="2:32" ht="18" customHeight="1" thickBot="1">
      <c r="B25" s="828" t="s">
        <v>112</v>
      </c>
      <c r="C25" s="828"/>
      <c r="D25" s="828"/>
      <c r="E25" s="828"/>
      <c r="F25" s="828"/>
      <c r="G25" s="828"/>
      <c r="H25" s="828"/>
      <c r="I25" s="79" t="s">
        <v>113</v>
      </c>
      <c r="J25" s="76">
        <f>U12</f>
        <v>9.7000000000000003E-3</v>
      </c>
      <c r="K25" s="65"/>
      <c r="L25" s="65"/>
      <c r="M25" s="65"/>
      <c r="N25" s="135" t="s">
        <v>198</v>
      </c>
      <c r="O25" s="139">
        <v>0.04</v>
      </c>
      <c r="P25" s="139">
        <v>5.5199999999999999E-2</v>
      </c>
      <c r="Q25" s="139">
        <v>7.85E-2</v>
      </c>
      <c r="R25" s="139">
        <v>8.0999999999999996E-3</v>
      </c>
      <c r="S25" s="139">
        <v>1.2200000000000001E-2</v>
      </c>
      <c r="T25" s="139">
        <v>1.9900000000000001E-2</v>
      </c>
      <c r="U25" s="139">
        <v>1.46E-2</v>
      </c>
      <c r="V25" s="139">
        <v>2.3199999999999998E-2</v>
      </c>
      <c r="W25" s="139">
        <v>3.1600000000000003E-2</v>
      </c>
      <c r="X25" s="139">
        <v>9.4000000000000004E-3</v>
      </c>
      <c r="Y25" s="139">
        <v>1.0200000000000001E-2</v>
      </c>
      <c r="Z25" s="139">
        <v>1.3299999999999999E-2</v>
      </c>
      <c r="AA25" s="139">
        <v>7.1400000000000005E-2</v>
      </c>
      <c r="AB25" s="139">
        <v>8.4000000000000005E-2</v>
      </c>
      <c r="AC25" s="139">
        <v>0.1043</v>
      </c>
      <c r="AD25" s="139">
        <v>0.22800000000000001</v>
      </c>
      <c r="AE25" s="139">
        <v>0.27479999999999999</v>
      </c>
      <c r="AF25" s="139">
        <v>0.3095</v>
      </c>
    </row>
    <row r="26" spans="2:32" ht="18" customHeight="1" thickBot="1">
      <c r="B26" s="831" t="str">
        <f>"Considerado = "&amp;J25*100 &amp; "% (varia entre "&amp;U12*100&amp;" a "&amp;W12*100&amp;"% do custo do serviço)"</f>
        <v>Considerado = 0,97% (varia entre 0,97 a 1,27% do custo do serviço)</v>
      </c>
      <c r="C26" s="831"/>
      <c r="D26" s="831"/>
      <c r="E26" s="831"/>
      <c r="F26" s="831"/>
      <c r="G26" s="831"/>
      <c r="H26" s="82"/>
      <c r="I26" s="83"/>
      <c r="J26" s="84"/>
      <c r="K26" s="65"/>
      <c r="L26" s="65"/>
      <c r="M26" s="65"/>
      <c r="N26" s="134" t="s">
        <v>208</v>
      </c>
      <c r="O26" s="139">
        <v>1.4999999999999999E-2</v>
      </c>
      <c r="P26" s="139">
        <v>3.4500000000000003E-2</v>
      </c>
      <c r="Q26" s="139">
        <v>4.4900000000000002E-2</v>
      </c>
      <c r="R26" s="139">
        <v>3.0000000000000001E-3</v>
      </c>
      <c r="S26" s="139">
        <v>4.7999999999999996E-3</v>
      </c>
      <c r="T26" s="139">
        <v>8.2000000000000007E-3</v>
      </c>
      <c r="U26" s="139">
        <v>5.5999999999999999E-3</v>
      </c>
      <c r="V26" s="139">
        <v>8.5000000000000006E-3</v>
      </c>
      <c r="W26" s="139">
        <v>8.8999999999999999E-3</v>
      </c>
      <c r="X26" s="139">
        <v>8.5000000000000006E-3</v>
      </c>
      <c r="Y26" s="139">
        <v>8.5000000000000006E-3</v>
      </c>
      <c r="Z26" s="139">
        <v>1.11E-2</v>
      </c>
      <c r="AA26" s="139">
        <v>3.5000000000000003E-2</v>
      </c>
      <c r="AB26" s="139">
        <v>5.11E-2</v>
      </c>
      <c r="AC26" s="139">
        <v>6.2199999999999998E-2</v>
      </c>
      <c r="AD26" s="139">
        <v>0.111</v>
      </c>
      <c r="AE26" s="139">
        <v>0.14019999999999999</v>
      </c>
      <c r="AF26" s="139">
        <v>0.16800000000000001</v>
      </c>
    </row>
    <row r="27" spans="2:32" ht="18" customHeight="1" thickBot="1">
      <c r="B27" s="842" t="s">
        <v>114</v>
      </c>
      <c r="C27" s="842"/>
      <c r="D27" s="842"/>
      <c r="E27" s="842"/>
      <c r="F27" s="842"/>
      <c r="G27" s="842"/>
      <c r="H27" s="842"/>
      <c r="I27" s="75" t="s">
        <v>115</v>
      </c>
      <c r="J27" s="85">
        <f>X12</f>
        <v>5.8999999999999999E-3</v>
      </c>
      <c r="K27" s="63"/>
      <c r="L27" s="65"/>
      <c r="M27" s="65"/>
    </row>
    <row r="28" spans="2:32" ht="18" customHeight="1" thickBot="1">
      <c r="B28" s="831" t="str">
        <f>"Considerado = "&amp;J27*100 &amp; "% (varia entre "&amp;X12*100&amp;" a "&amp;Z12*100&amp;"% do custo direto do serviço)"</f>
        <v>Considerado = 0,59% (varia entre 0,59 a 1,39% do custo direto do serviço)</v>
      </c>
      <c r="C28" s="831"/>
      <c r="D28" s="831"/>
      <c r="E28" s="831"/>
      <c r="F28" s="831"/>
      <c r="G28" s="831"/>
      <c r="H28" s="77"/>
      <c r="I28" s="80"/>
      <c r="J28" s="86"/>
      <c r="K28" s="63"/>
      <c r="L28" s="65"/>
      <c r="M28" s="65"/>
    </row>
    <row r="29" spans="2:32" ht="18" customHeight="1" thickBot="1">
      <c r="B29" s="840" t="s">
        <v>116</v>
      </c>
      <c r="C29" s="840"/>
      <c r="D29" s="840"/>
      <c r="E29" s="840"/>
      <c r="F29" s="840"/>
      <c r="G29" s="840"/>
      <c r="H29" s="840"/>
      <c r="I29" s="79" t="s">
        <v>117</v>
      </c>
      <c r="J29" s="76">
        <f>AA12</f>
        <v>6.1600000000000002E-2</v>
      </c>
      <c r="K29" s="65"/>
      <c r="L29" s="65"/>
      <c r="M29" s="65"/>
    </row>
    <row r="30" spans="2:32" ht="18" customHeight="1">
      <c r="B30" s="841" t="str">
        <f>"Considerado = "&amp;J29*100 &amp; "% (varia entre "&amp;AA12*100&amp;" a "&amp;AC12*100&amp;"% do custo direto do serviço)"</f>
        <v>Considerado = 6,16% (varia entre 6,16 a 8,96% do custo direto do serviço)</v>
      </c>
      <c r="C30" s="841"/>
      <c r="D30" s="841"/>
      <c r="E30" s="841"/>
      <c r="F30" s="841"/>
      <c r="G30" s="841"/>
      <c r="H30" s="87"/>
      <c r="I30" s="79"/>
      <c r="J30" s="88"/>
      <c r="K30" s="65"/>
      <c r="L30" s="65"/>
      <c r="M30" s="65"/>
    </row>
    <row r="31" spans="2:32" ht="14.25" thickBot="1">
      <c r="B31" s="89"/>
      <c r="C31" s="90"/>
      <c r="D31" s="77"/>
      <c r="E31" s="77"/>
      <c r="F31" s="77"/>
      <c r="G31" s="77"/>
      <c r="H31" s="77"/>
      <c r="I31" s="80"/>
      <c r="J31" s="91"/>
      <c r="K31" s="65"/>
      <c r="L31" s="65"/>
      <c r="M31" s="65"/>
    </row>
    <row r="32" spans="2:32">
      <c r="B32" s="842" t="s">
        <v>118</v>
      </c>
      <c r="C32" s="842"/>
      <c r="D32" s="842"/>
      <c r="E32" s="842"/>
      <c r="F32" s="842"/>
      <c r="G32" s="842"/>
      <c r="H32" s="842"/>
      <c r="I32" s="79" t="s">
        <v>119</v>
      </c>
      <c r="J32" s="92">
        <f>H38</f>
        <v>6.6251066448588677E-2</v>
      </c>
      <c r="K32" s="65"/>
      <c r="L32" s="65"/>
      <c r="M32" s="65"/>
    </row>
    <row r="33" spans="2:32" ht="14.25" thickBot="1">
      <c r="B33" s="93"/>
      <c r="C33" s="94"/>
      <c r="D33" s="87"/>
      <c r="E33" s="87"/>
      <c r="F33" s="87"/>
      <c r="G33" s="87"/>
      <c r="H33" s="87"/>
      <c r="I33" s="87"/>
      <c r="J33" s="87"/>
      <c r="K33" s="65"/>
      <c r="L33" s="65"/>
      <c r="M33" s="65"/>
      <c r="O33" s="64"/>
      <c r="P33" s="64"/>
      <c r="Q33" s="64"/>
      <c r="R33" s="64"/>
      <c r="S33" s="64"/>
      <c r="T33" s="64"/>
      <c r="U33" s="64"/>
      <c r="V33" s="64"/>
      <c r="W33" s="64"/>
      <c r="X33" s="64"/>
      <c r="Y33" s="64"/>
      <c r="Z33" s="64"/>
      <c r="AA33" s="64"/>
      <c r="AB33" s="64"/>
      <c r="AC33" s="64"/>
      <c r="AD33" s="64"/>
      <c r="AE33" s="64"/>
      <c r="AF33" s="64"/>
    </row>
    <row r="34" spans="2:32" ht="14.25" thickBot="1">
      <c r="D34" s="95" t="s">
        <v>120</v>
      </c>
      <c r="E34" s="96" t="s">
        <v>121</v>
      </c>
      <c r="F34" s="96" t="s">
        <v>122</v>
      </c>
      <c r="G34" s="96" t="s">
        <v>123</v>
      </c>
      <c r="H34" s="97" t="s">
        <v>124</v>
      </c>
      <c r="I34" s="65"/>
      <c r="J34" s="65"/>
      <c r="K34" s="65"/>
      <c r="L34" s="65"/>
      <c r="M34" s="65"/>
      <c r="O34" s="64"/>
      <c r="P34" s="64"/>
      <c r="Q34" s="64"/>
      <c r="R34" s="64"/>
      <c r="S34" s="64"/>
      <c r="T34" s="64"/>
      <c r="U34" s="64"/>
      <c r="V34" s="64"/>
      <c r="W34" s="64"/>
      <c r="X34" s="64"/>
      <c r="Y34" s="64"/>
      <c r="Z34" s="64"/>
      <c r="AA34" s="64"/>
      <c r="AB34" s="64"/>
      <c r="AC34" s="64"/>
      <c r="AD34" s="64"/>
      <c r="AE34" s="64"/>
      <c r="AF34" s="64"/>
    </row>
    <row r="35" spans="2:32">
      <c r="D35" s="98" t="s">
        <v>125</v>
      </c>
      <c r="E35" s="99" t="s">
        <v>12</v>
      </c>
      <c r="F35" s="100">
        <v>0.03</v>
      </c>
      <c r="G35" s="101" t="s">
        <v>126</v>
      </c>
      <c r="H35" s="102">
        <f>F35</f>
        <v>0.03</v>
      </c>
      <c r="I35" s="65"/>
      <c r="J35" s="65"/>
      <c r="K35" s="844"/>
      <c r="L35" s="844"/>
      <c r="M35" s="844"/>
      <c r="N35" s="844"/>
      <c r="O35" s="844"/>
      <c r="P35" s="844"/>
      <c r="Q35" s="844"/>
      <c r="R35" s="844"/>
      <c r="S35" s="844"/>
      <c r="T35" s="844"/>
      <c r="U35" s="64"/>
      <c r="V35" s="64"/>
      <c r="W35" s="64"/>
      <c r="X35" s="64"/>
      <c r="Y35" s="64"/>
      <c r="Z35" s="64"/>
      <c r="AA35" s="64"/>
      <c r="AB35" s="64"/>
      <c r="AC35" s="64"/>
      <c r="AD35" s="64"/>
      <c r="AE35" s="64"/>
      <c r="AF35" s="64"/>
    </row>
    <row r="36" spans="2:32">
      <c r="D36" s="103" t="s">
        <v>127</v>
      </c>
      <c r="E36" s="104" t="s">
        <v>12</v>
      </c>
      <c r="F36" s="105">
        <v>6.4999999999999997E-3</v>
      </c>
      <c r="G36" s="106" t="s">
        <v>126</v>
      </c>
      <c r="H36" s="107">
        <f>F36</f>
        <v>6.4999999999999997E-3</v>
      </c>
      <c r="I36" s="65"/>
      <c r="J36" s="65"/>
      <c r="K36" s="839"/>
      <c r="L36" s="839"/>
      <c r="M36" s="839"/>
      <c r="N36" s="839"/>
      <c r="O36" s="839"/>
      <c r="P36" s="839"/>
      <c r="Q36" s="839"/>
      <c r="R36" s="839"/>
      <c r="S36" s="839"/>
      <c r="T36" s="839"/>
      <c r="U36" s="64"/>
      <c r="V36" s="64"/>
      <c r="W36" s="64"/>
      <c r="X36" s="64"/>
      <c r="Y36" s="64"/>
      <c r="Z36" s="64"/>
      <c r="AA36" s="64"/>
      <c r="AB36" s="64"/>
      <c r="AC36" s="64"/>
      <c r="AD36" s="64"/>
      <c r="AE36" s="64"/>
      <c r="AF36" s="64"/>
    </row>
    <row r="37" spans="2:32" ht="14.25" thickBot="1">
      <c r="D37" s="103" t="s">
        <v>128</v>
      </c>
      <c r="E37" s="104" t="s">
        <v>12</v>
      </c>
      <c r="F37" s="105">
        <v>0.05</v>
      </c>
      <c r="G37" s="106" t="s">
        <v>129</v>
      </c>
      <c r="H37" s="108">
        <f>F37*(1-K37)</f>
        <v>2.9751066448588676E-2</v>
      </c>
      <c r="I37" s="87"/>
      <c r="J37" s="65"/>
      <c r="K37" s="128">
        <v>0.40497867102822649</v>
      </c>
      <c r="O37" s="64"/>
      <c r="P37" s="64"/>
      <c r="Q37" s="64"/>
      <c r="R37" s="64"/>
      <c r="S37" s="64"/>
      <c r="T37" s="64"/>
      <c r="U37" s="64"/>
      <c r="V37" s="64"/>
      <c r="W37" s="64"/>
      <c r="X37" s="64"/>
      <c r="Y37" s="64"/>
      <c r="Z37" s="64"/>
      <c r="AA37" s="64"/>
      <c r="AB37" s="64"/>
      <c r="AC37" s="64"/>
      <c r="AD37" s="64"/>
      <c r="AE37" s="64"/>
      <c r="AF37" s="64"/>
    </row>
    <row r="38" spans="2:32" ht="14.25" thickBot="1">
      <c r="D38" s="109" t="s">
        <v>97</v>
      </c>
      <c r="E38" s="110" t="s">
        <v>12</v>
      </c>
      <c r="F38" s="110" t="s">
        <v>12</v>
      </c>
      <c r="G38" s="110" t="s">
        <v>12</v>
      </c>
      <c r="H38" s="111">
        <f>SUM(H35:H37)</f>
        <v>6.6251066448588677E-2</v>
      </c>
      <c r="I38" s="65"/>
      <c r="J38" s="65"/>
      <c r="K38" s="115" t="e">
        <f>'ABC SERVIÇOS'!M21+'ABC SERVIÇOS'!M19</f>
        <v>#DIV/0!</v>
      </c>
      <c r="L38" s="65" t="s">
        <v>393</v>
      </c>
      <c r="M38" s="65"/>
      <c r="O38" s="64"/>
      <c r="P38" s="64"/>
      <c r="Q38" s="64"/>
      <c r="R38" s="64"/>
      <c r="S38" s="64"/>
      <c r="T38" s="64"/>
      <c r="U38" s="64"/>
      <c r="V38" s="64"/>
      <c r="W38" s="64"/>
      <c r="X38" s="64"/>
      <c r="Y38" s="64"/>
      <c r="Z38" s="64"/>
      <c r="AA38" s="64"/>
      <c r="AB38" s="64"/>
      <c r="AC38" s="64"/>
      <c r="AD38" s="64"/>
      <c r="AE38" s="64"/>
      <c r="AF38" s="64"/>
    </row>
    <row r="39" spans="2:32">
      <c r="C39" s="112"/>
      <c r="D39" s="843" t="s">
        <v>130</v>
      </c>
      <c r="E39" s="843"/>
      <c r="F39" s="843"/>
      <c r="G39" s="843"/>
      <c r="H39" s="843"/>
      <c r="I39" s="113"/>
      <c r="J39" s="113"/>
      <c r="K39" s="65"/>
      <c r="L39" s="65"/>
      <c r="M39" s="65"/>
      <c r="O39" s="64"/>
      <c r="P39" s="64"/>
      <c r="Q39" s="64"/>
      <c r="R39" s="64"/>
      <c r="S39" s="64"/>
      <c r="T39" s="64"/>
      <c r="U39" s="64"/>
      <c r="V39" s="64"/>
      <c r="W39" s="64"/>
      <c r="X39" s="64"/>
      <c r="Y39" s="64"/>
      <c r="Z39" s="64"/>
      <c r="AA39" s="64"/>
      <c r="AB39" s="64"/>
      <c r="AC39" s="64"/>
      <c r="AD39" s="64"/>
      <c r="AE39" s="64"/>
      <c r="AF39" s="64"/>
    </row>
    <row r="40" spans="2:32" ht="14.25" thickBot="1">
      <c r="B40" s="74"/>
      <c r="C40" s="74"/>
      <c r="D40" s="74"/>
      <c r="E40" s="74"/>
      <c r="F40" s="74"/>
      <c r="G40" s="74"/>
      <c r="H40" s="74"/>
      <c r="I40" s="74"/>
      <c r="J40" s="74"/>
      <c r="K40" s="65"/>
      <c r="L40" s="65"/>
      <c r="M40" s="65"/>
      <c r="O40" s="64"/>
      <c r="P40" s="64"/>
      <c r="Q40" s="64"/>
      <c r="R40" s="64"/>
      <c r="S40" s="64"/>
      <c r="T40" s="64"/>
      <c r="U40" s="64"/>
      <c r="V40" s="64"/>
      <c r="W40" s="64"/>
      <c r="X40" s="64"/>
      <c r="Y40" s="64"/>
      <c r="Z40" s="64"/>
      <c r="AA40" s="64"/>
      <c r="AB40" s="64"/>
      <c r="AC40" s="64"/>
      <c r="AD40" s="64"/>
      <c r="AE40" s="64"/>
      <c r="AF40" s="64"/>
    </row>
    <row r="41" spans="2:32">
      <c r="B41" s="114" t="s">
        <v>131</v>
      </c>
      <c r="C41" s="114"/>
      <c r="D41" s="114"/>
      <c r="E41" s="114"/>
      <c r="F41" s="114"/>
      <c r="G41" s="114"/>
      <c r="H41" s="114"/>
      <c r="I41" s="114"/>
      <c r="J41" s="114"/>
      <c r="K41" s="65"/>
      <c r="L41" s="65"/>
      <c r="M41" s="65"/>
      <c r="O41" s="64"/>
      <c r="P41" s="64"/>
      <c r="Q41" s="64"/>
      <c r="R41" s="64"/>
      <c r="S41" s="64"/>
      <c r="T41" s="64"/>
      <c r="U41" s="64"/>
      <c r="V41" s="64"/>
      <c r="W41" s="64"/>
      <c r="X41" s="64"/>
      <c r="Y41" s="64"/>
      <c r="Z41" s="64"/>
      <c r="AA41" s="64"/>
      <c r="AB41" s="64"/>
      <c r="AC41" s="64"/>
      <c r="AD41" s="64"/>
      <c r="AE41" s="64"/>
      <c r="AF41" s="64"/>
    </row>
    <row r="42" spans="2:32">
      <c r="B42" s="65"/>
      <c r="C42" s="65"/>
      <c r="D42" s="65"/>
      <c r="E42" s="65"/>
      <c r="F42" s="65"/>
      <c r="G42" s="65"/>
      <c r="H42" s="65"/>
      <c r="I42" s="65"/>
      <c r="J42" s="65"/>
      <c r="K42" s="65"/>
      <c r="L42" s="65"/>
      <c r="M42" s="65"/>
      <c r="O42" s="64"/>
      <c r="P42" s="64"/>
      <c r="Q42" s="64"/>
      <c r="R42" s="64"/>
      <c r="S42" s="64"/>
      <c r="T42" s="64"/>
      <c r="U42" s="64"/>
      <c r="V42" s="64"/>
      <c r="W42" s="64"/>
      <c r="X42" s="64"/>
      <c r="Y42" s="64"/>
      <c r="Z42" s="64"/>
      <c r="AA42" s="64"/>
      <c r="AB42" s="64"/>
      <c r="AC42" s="64"/>
      <c r="AD42" s="64"/>
      <c r="AE42" s="64"/>
      <c r="AF42" s="64"/>
    </row>
    <row r="43" spans="2:32">
      <c r="B43" s="65"/>
      <c r="C43" s="65"/>
      <c r="D43" s="65"/>
      <c r="E43" s="65"/>
      <c r="F43" s="65"/>
      <c r="G43" s="65"/>
      <c r="H43" s="65"/>
      <c r="I43" s="65"/>
      <c r="J43" s="65"/>
      <c r="K43" s="65"/>
      <c r="L43" s="65"/>
      <c r="M43" s="65"/>
      <c r="O43" s="64"/>
      <c r="P43" s="64"/>
      <c r="Q43" s="64"/>
      <c r="R43" s="64"/>
      <c r="S43" s="64"/>
      <c r="T43" s="64"/>
      <c r="U43" s="64"/>
      <c r="V43" s="64"/>
      <c r="W43" s="64"/>
      <c r="X43" s="64"/>
      <c r="Y43" s="64"/>
      <c r="Z43" s="64"/>
      <c r="AA43" s="64"/>
      <c r="AB43" s="64"/>
      <c r="AC43" s="64"/>
      <c r="AD43" s="64"/>
      <c r="AE43" s="64"/>
      <c r="AF43" s="64"/>
    </row>
    <row r="44" spans="2:32">
      <c r="B44" s="65"/>
      <c r="C44" s="65"/>
      <c r="D44" s="65"/>
      <c r="E44" s="65"/>
      <c r="F44" s="65"/>
      <c r="G44" s="65"/>
      <c r="H44" s="65"/>
      <c r="I44" s="65"/>
      <c r="J44" s="65"/>
      <c r="K44" s="65"/>
      <c r="L44" s="65"/>
      <c r="M44" s="65"/>
      <c r="O44" s="64"/>
      <c r="P44" s="64"/>
      <c r="Q44" s="64"/>
      <c r="R44" s="64"/>
      <c r="S44" s="64"/>
      <c r="T44" s="64"/>
      <c r="U44" s="64"/>
      <c r="V44" s="64"/>
      <c r="W44" s="64"/>
      <c r="X44" s="64"/>
      <c r="Y44" s="64"/>
      <c r="Z44" s="64"/>
      <c r="AA44" s="64"/>
      <c r="AB44" s="64"/>
      <c r="AC44" s="64"/>
      <c r="AD44" s="64"/>
      <c r="AE44" s="64"/>
      <c r="AF44" s="64"/>
    </row>
    <row r="45" spans="2:32">
      <c r="B45" s="65"/>
      <c r="C45" s="65"/>
      <c r="D45" s="65"/>
      <c r="E45" s="65"/>
      <c r="F45" s="65"/>
      <c r="G45" s="65"/>
      <c r="H45" s="65"/>
      <c r="I45" s="65"/>
      <c r="J45" s="65"/>
      <c r="K45" s="65"/>
      <c r="L45" s="65"/>
      <c r="M45" s="65"/>
      <c r="O45" s="64"/>
      <c r="P45" s="64"/>
      <c r="Q45" s="64"/>
      <c r="R45" s="64"/>
      <c r="S45" s="64"/>
      <c r="T45" s="64"/>
      <c r="U45" s="64"/>
      <c r="V45" s="64"/>
      <c r="W45" s="64"/>
      <c r="X45" s="64"/>
      <c r="Y45" s="64"/>
      <c r="Z45" s="64"/>
      <c r="AA45" s="64"/>
      <c r="AB45" s="64"/>
      <c r="AC45" s="64"/>
      <c r="AD45" s="64"/>
      <c r="AE45" s="64"/>
      <c r="AF45" s="64"/>
    </row>
    <row r="46" spans="2:32">
      <c r="B46" s="65"/>
      <c r="C46" s="65"/>
      <c r="D46" s="65"/>
      <c r="E46" s="65"/>
      <c r="F46" s="65"/>
      <c r="G46" s="65"/>
      <c r="H46" s="65"/>
      <c r="I46" s="65"/>
      <c r="J46" s="65"/>
      <c r="K46" s="65"/>
      <c r="L46" s="65"/>
      <c r="M46" s="65"/>
      <c r="O46" s="64"/>
      <c r="P46" s="64"/>
      <c r="Q46" s="64"/>
      <c r="R46" s="64"/>
      <c r="S46" s="64"/>
      <c r="T46" s="64"/>
      <c r="U46" s="64"/>
      <c r="V46" s="64"/>
      <c r="W46" s="64"/>
      <c r="X46" s="64"/>
      <c r="Y46" s="64"/>
      <c r="Z46" s="64"/>
      <c r="AA46" s="64"/>
      <c r="AB46" s="64"/>
      <c r="AC46" s="64"/>
      <c r="AD46" s="64"/>
      <c r="AE46" s="64"/>
      <c r="AF46" s="64"/>
    </row>
    <row r="47" spans="2:32">
      <c r="B47" s="65"/>
      <c r="C47" s="65"/>
      <c r="D47" s="65"/>
      <c r="E47" s="65"/>
      <c r="F47" s="65"/>
      <c r="G47" s="65"/>
      <c r="H47" s="65"/>
      <c r="I47" s="65"/>
      <c r="J47" s="65"/>
      <c r="K47" s="65"/>
      <c r="L47" s="65"/>
      <c r="M47" s="65"/>
      <c r="O47" s="64"/>
      <c r="P47" s="64"/>
      <c r="Q47" s="64"/>
      <c r="R47" s="64"/>
      <c r="S47" s="64"/>
      <c r="T47" s="64"/>
      <c r="U47" s="64"/>
      <c r="V47" s="64"/>
      <c r="W47" s="64"/>
      <c r="X47" s="64"/>
      <c r="Y47" s="64"/>
      <c r="Z47" s="64"/>
      <c r="AA47" s="64"/>
      <c r="AB47" s="64"/>
      <c r="AC47" s="64"/>
      <c r="AD47" s="64"/>
      <c r="AE47" s="64"/>
      <c r="AF47" s="64"/>
    </row>
    <row r="48" spans="2:32">
      <c r="B48" s="65"/>
      <c r="C48" s="65"/>
      <c r="D48" s="65"/>
      <c r="E48" s="65"/>
      <c r="F48" s="65"/>
      <c r="G48" s="65"/>
      <c r="H48" s="65"/>
      <c r="I48" s="65"/>
      <c r="J48" s="87"/>
      <c r="K48" s="65"/>
      <c r="L48" s="65"/>
      <c r="M48" s="65"/>
      <c r="O48" s="64"/>
      <c r="P48" s="64"/>
      <c r="Q48" s="64"/>
      <c r="R48" s="64"/>
      <c r="S48" s="64"/>
      <c r="T48" s="64"/>
      <c r="U48" s="64"/>
      <c r="V48" s="64"/>
      <c r="W48" s="64"/>
      <c r="X48" s="64"/>
      <c r="Y48" s="64"/>
      <c r="Z48" s="64"/>
      <c r="AA48" s="64"/>
      <c r="AB48" s="64"/>
      <c r="AC48" s="64"/>
      <c r="AD48" s="64"/>
      <c r="AE48" s="64"/>
      <c r="AF48" s="64"/>
    </row>
    <row r="49" spans="2:32">
      <c r="B49" s="65"/>
      <c r="C49" s="65"/>
      <c r="D49" s="65"/>
      <c r="E49" s="65"/>
      <c r="F49" s="65"/>
      <c r="G49" s="65"/>
      <c r="H49" s="65"/>
      <c r="I49" s="65"/>
      <c r="J49" s="65"/>
      <c r="K49" s="65"/>
      <c r="L49" s="65"/>
      <c r="M49" s="65"/>
      <c r="O49" s="64"/>
      <c r="P49" s="64"/>
      <c r="Q49" s="64"/>
      <c r="R49" s="64"/>
      <c r="S49" s="64"/>
      <c r="T49" s="64"/>
      <c r="U49" s="64"/>
      <c r="V49" s="64"/>
      <c r="W49" s="64"/>
      <c r="X49" s="64"/>
      <c r="Y49" s="64"/>
      <c r="Z49" s="64"/>
      <c r="AA49" s="64"/>
      <c r="AB49" s="64"/>
      <c r="AC49" s="64"/>
      <c r="AD49" s="64"/>
      <c r="AE49" s="64"/>
      <c r="AF49" s="64"/>
    </row>
    <row r="50" spans="2:32">
      <c r="B50" s="65"/>
      <c r="C50" s="65"/>
      <c r="D50" s="65"/>
      <c r="E50" s="65"/>
      <c r="F50" s="65"/>
      <c r="G50" s="65"/>
      <c r="H50" s="65"/>
      <c r="I50" s="65"/>
      <c r="J50" s="65"/>
      <c r="K50" s="65"/>
      <c r="L50" s="65"/>
      <c r="M50" s="65"/>
      <c r="O50" s="64"/>
      <c r="P50" s="64"/>
      <c r="Q50" s="64"/>
      <c r="R50" s="64"/>
      <c r="S50" s="64"/>
      <c r="T50" s="64"/>
      <c r="U50" s="64"/>
      <c r="V50" s="64"/>
      <c r="W50" s="64"/>
      <c r="X50" s="64"/>
      <c r="Y50" s="64"/>
      <c r="Z50" s="64"/>
      <c r="AA50" s="64"/>
      <c r="AB50" s="64"/>
      <c r="AC50" s="64"/>
      <c r="AD50" s="64"/>
      <c r="AE50" s="64"/>
      <c r="AF50" s="64"/>
    </row>
    <row r="51" spans="2:32">
      <c r="B51" s="65"/>
      <c r="C51" s="65"/>
      <c r="D51" s="65"/>
      <c r="E51" s="65"/>
      <c r="F51" s="65"/>
      <c r="G51" s="65"/>
      <c r="H51" s="65"/>
      <c r="I51" s="65"/>
      <c r="J51" s="65"/>
      <c r="K51" s="65"/>
      <c r="L51" s="65"/>
      <c r="M51" s="65"/>
      <c r="O51" s="64"/>
      <c r="P51" s="64"/>
      <c r="Q51" s="64"/>
      <c r="R51" s="64"/>
      <c r="S51" s="64"/>
      <c r="T51" s="64"/>
      <c r="U51" s="64"/>
      <c r="V51" s="64"/>
      <c r="W51" s="64"/>
      <c r="X51" s="64"/>
      <c r="Y51" s="64"/>
      <c r="Z51" s="64"/>
      <c r="AA51" s="64"/>
      <c r="AB51" s="64"/>
      <c r="AC51" s="64"/>
      <c r="AD51" s="64"/>
      <c r="AE51" s="64"/>
      <c r="AF51" s="64"/>
    </row>
    <row r="52" spans="2:32">
      <c r="B52" s="65"/>
      <c r="C52" s="65"/>
      <c r="D52" s="65"/>
      <c r="E52" s="65"/>
      <c r="F52" s="65"/>
      <c r="G52" s="65"/>
      <c r="H52" s="65"/>
      <c r="I52" s="65"/>
      <c r="J52" s="65"/>
      <c r="K52" s="65"/>
      <c r="L52" s="65"/>
      <c r="M52" s="65"/>
      <c r="O52" s="64"/>
      <c r="P52" s="64"/>
      <c r="Q52" s="64"/>
      <c r="R52" s="64"/>
      <c r="S52" s="64"/>
      <c r="T52" s="64"/>
      <c r="U52" s="64"/>
      <c r="V52" s="64"/>
      <c r="W52" s="64"/>
      <c r="X52" s="64"/>
      <c r="Y52" s="64"/>
      <c r="Z52" s="64"/>
      <c r="AA52" s="64"/>
      <c r="AB52" s="64"/>
      <c r="AC52" s="64"/>
      <c r="AD52" s="64"/>
      <c r="AE52" s="64"/>
      <c r="AF52" s="64"/>
    </row>
    <row r="53" spans="2:32">
      <c r="B53" s="65"/>
      <c r="C53" s="65"/>
      <c r="D53" s="65"/>
      <c r="E53" s="65"/>
      <c r="F53" s="65"/>
      <c r="G53" s="65"/>
      <c r="H53" s="65"/>
      <c r="I53" s="65"/>
      <c r="J53" s="65"/>
      <c r="K53" s="65"/>
      <c r="L53" s="65"/>
      <c r="M53" s="65"/>
      <c r="O53" s="64"/>
      <c r="P53" s="64"/>
      <c r="Q53" s="64"/>
      <c r="R53" s="64"/>
      <c r="S53" s="64"/>
      <c r="T53" s="64"/>
      <c r="U53" s="64"/>
      <c r="V53" s="64"/>
      <c r="W53" s="64"/>
      <c r="X53" s="64"/>
      <c r="Y53" s="64"/>
      <c r="Z53" s="64"/>
      <c r="AA53" s="64"/>
      <c r="AB53" s="64"/>
      <c r="AC53" s="64"/>
      <c r="AD53" s="64"/>
      <c r="AE53" s="64"/>
      <c r="AF53" s="64"/>
    </row>
    <row r="54" spans="2:32">
      <c r="B54" s="65"/>
      <c r="C54" s="65"/>
      <c r="D54" s="65"/>
      <c r="E54" s="65"/>
      <c r="F54" s="65"/>
      <c r="G54" s="65"/>
      <c r="H54" s="65"/>
      <c r="I54" s="65"/>
      <c r="J54" s="65"/>
      <c r="K54" s="65"/>
      <c r="L54" s="65"/>
      <c r="M54" s="65"/>
      <c r="O54" s="64"/>
      <c r="P54" s="64"/>
      <c r="Q54" s="64"/>
      <c r="R54" s="64"/>
      <c r="S54" s="64"/>
      <c r="T54" s="64"/>
      <c r="U54" s="64"/>
      <c r="V54" s="64"/>
      <c r="W54" s="64"/>
      <c r="X54" s="64"/>
      <c r="Y54" s="64"/>
      <c r="Z54" s="64"/>
      <c r="AA54" s="64"/>
      <c r="AB54" s="64"/>
      <c r="AC54" s="64"/>
      <c r="AD54" s="64"/>
      <c r="AE54" s="64"/>
      <c r="AF54" s="64"/>
    </row>
    <row r="55" spans="2:32">
      <c r="B55" s="65"/>
      <c r="C55" s="65"/>
      <c r="D55" s="65"/>
      <c r="E55" s="65"/>
      <c r="F55" s="65"/>
      <c r="G55" s="65"/>
      <c r="H55" s="65"/>
      <c r="I55" s="65"/>
      <c r="J55" s="65"/>
      <c r="K55" s="65"/>
      <c r="L55" s="65"/>
      <c r="M55" s="65"/>
      <c r="O55" s="64"/>
      <c r="P55" s="64"/>
      <c r="Q55" s="64"/>
      <c r="R55" s="64"/>
      <c r="S55" s="64"/>
      <c r="T55" s="64"/>
      <c r="U55" s="64"/>
      <c r="V55" s="64"/>
      <c r="W55" s="64"/>
      <c r="X55" s="64"/>
      <c r="Y55" s="64"/>
      <c r="Z55" s="64"/>
      <c r="AA55" s="64"/>
      <c r="AB55" s="64"/>
      <c r="AC55" s="64"/>
      <c r="AD55" s="64"/>
      <c r="AE55" s="64"/>
      <c r="AF55" s="64"/>
    </row>
    <row r="56" spans="2:32">
      <c r="B56" s="65"/>
      <c r="C56" s="65"/>
      <c r="D56" s="65"/>
      <c r="E56" s="65"/>
      <c r="F56" s="65"/>
      <c r="G56" s="65"/>
      <c r="H56" s="65"/>
      <c r="I56" s="65"/>
      <c r="J56" s="65"/>
      <c r="O56" s="64"/>
      <c r="P56" s="64"/>
      <c r="Q56" s="64"/>
      <c r="R56" s="64"/>
      <c r="S56" s="64"/>
      <c r="T56" s="64"/>
      <c r="U56" s="64"/>
      <c r="V56" s="64"/>
      <c r="W56" s="64"/>
      <c r="X56" s="64"/>
      <c r="Y56" s="64"/>
      <c r="Z56" s="64"/>
      <c r="AA56" s="64"/>
      <c r="AB56" s="64"/>
      <c r="AC56" s="64"/>
      <c r="AD56" s="64"/>
      <c r="AE56" s="64"/>
      <c r="AF56" s="64"/>
    </row>
    <row r="57" spans="2:32">
      <c r="B57" s="65"/>
      <c r="C57" s="65"/>
      <c r="D57" s="65"/>
      <c r="E57" s="65"/>
      <c r="F57" s="65"/>
      <c r="G57" s="65"/>
      <c r="H57" s="65"/>
      <c r="I57" s="65"/>
      <c r="J57" s="65"/>
      <c r="O57" s="64"/>
      <c r="P57" s="64"/>
      <c r="Q57" s="64"/>
      <c r="R57" s="64"/>
      <c r="S57" s="64"/>
      <c r="T57" s="64"/>
      <c r="U57" s="64"/>
      <c r="V57" s="64"/>
      <c r="W57" s="64"/>
      <c r="X57" s="64"/>
      <c r="Y57" s="64"/>
      <c r="Z57" s="64"/>
      <c r="AA57" s="64"/>
      <c r="AB57" s="64"/>
      <c r="AC57" s="64"/>
      <c r="AD57" s="64"/>
      <c r="AE57" s="64"/>
      <c r="AF57" s="64"/>
    </row>
    <row r="58" spans="2:32">
      <c r="B58" s="65"/>
      <c r="C58" s="65"/>
      <c r="D58" s="65"/>
      <c r="E58" s="65"/>
      <c r="F58" s="65"/>
      <c r="G58" s="65"/>
      <c r="H58" s="65"/>
      <c r="I58" s="65"/>
      <c r="J58" s="65"/>
      <c r="O58" s="64"/>
      <c r="P58" s="64"/>
      <c r="Q58" s="64"/>
      <c r="R58" s="64"/>
      <c r="S58" s="64"/>
      <c r="T58" s="64"/>
      <c r="U58" s="64"/>
      <c r="V58" s="64"/>
      <c r="W58" s="64"/>
      <c r="X58" s="64"/>
      <c r="Y58" s="64"/>
      <c r="Z58" s="64"/>
      <c r="AA58" s="64"/>
      <c r="AB58" s="64"/>
      <c r="AC58" s="64"/>
      <c r="AD58" s="64"/>
      <c r="AE58" s="64"/>
      <c r="AF58" s="64"/>
    </row>
    <row r="59" spans="2:32">
      <c r="B59" s="65"/>
      <c r="C59" s="65"/>
      <c r="D59" s="65"/>
      <c r="E59" s="65"/>
      <c r="F59" s="65"/>
      <c r="G59" s="65"/>
      <c r="H59" s="65"/>
      <c r="I59" s="65"/>
      <c r="J59" s="65"/>
      <c r="O59" s="64"/>
      <c r="P59" s="64"/>
      <c r="Q59" s="64"/>
      <c r="R59" s="64"/>
      <c r="S59" s="64"/>
      <c r="T59" s="64"/>
      <c r="U59" s="64"/>
      <c r="V59" s="64"/>
      <c r="W59" s="64"/>
      <c r="X59" s="64"/>
      <c r="Y59" s="64"/>
      <c r="Z59" s="64"/>
      <c r="AA59" s="64"/>
      <c r="AB59" s="64"/>
      <c r="AC59" s="64"/>
      <c r="AD59" s="64"/>
      <c r="AE59" s="64"/>
      <c r="AF59" s="64"/>
    </row>
    <row r="60" spans="2:32">
      <c r="B60" s="65"/>
      <c r="C60" s="65"/>
      <c r="D60" s="65"/>
      <c r="E60" s="65"/>
      <c r="F60" s="65"/>
      <c r="G60" s="65"/>
      <c r="H60" s="65"/>
      <c r="I60" s="65"/>
      <c r="J60" s="65"/>
      <c r="O60" s="64"/>
      <c r="P60" s="64"/>
      <c r="Q60" s="64"/>
      <c r="R60" s="64"/>
      <c r="S60" s="64"/>
      <c r="T60" s="64"/>
      <c r="U60" s="64"/>
      <c r="V60" s="64"/>
      <c r="W60" s="64"/>
      <c r="X60" s="64"/>
      <c r="Y60" s="64"/>
      <c r="Z60" s="64"/>
      <c r="AA60" s="64"/>
      <c r="AB60" s="64"/>
      <c r="AC60" s="64"/>
      <c r="AD60" s="64"/>
      <c r="AE60" s="64"/>
      <c r="AF60" s="64"/>
    </row>
    <row r="61" spans="2:32">
      <c r="B61" s="65"/>
      <c r="C61" s="65"/>
      <c r="D61" s="65"/>
      <c r="E61" s="65"/>
      <c r="F61" s="65"/>
      <c r="G61" s="65"/>
      <c r="H61" s="65"/>
      <c r="I61" s="65"/>
      <c r="J61" s="65"/>
      <c r="O61" s="64"/>
      <c r="P61" s="64"/>
      <c r="Q61" s="64"/>
      <c r="R61" s="64"/>
      <c r="S61" s="64"/>
      <c r="T61" s="64"/>
      <c r="U61" s="64"/>
      <c r="V61" s="64"/>
      <c r="W61" s="64"/>
      <c r="X61" s="64"/>
      <c r="Y61" s="64"/>
      <c r="Z61" s="64"/>
      <c r="AA61" s="64"/>
      <c r="AB61" s="64"/>
      <c r="AC61" s="64"/>
      <c r="AD61" s="64"/>
      <c r="AE61" s="64"/>
      <c r="AF61" s="64"/>
    </row>
    <row r="62" spans="2:32">
      <c r="B62" s="65"/>
      <c r="C62" s="65"/>
      <c r="D62" s="65"/>
      <c r="E62" s="65"/>
      <c r="F62" s="65"/>
      <c r="G62" s="65"/>
      <c r="H62" s="65"/>
      <c r="I62" s="65"/>
      <c r="J62" s="65"/>
      <c r="O62" s="64"/>
      <c r="P62" s="64"/>
      <c r="Q62" s="64"/>
      <c r="R62" s="64"/>
      <c r="S62" s="64"/>
      <c r="T62" s="64"/>
      <c r="U62" s="64"/>
      <c r="V62" s="64"/>
      <c r="W62" s="64"/>
      <c r="X62" s="64"/>
      <c r="Y62" s="64"/>
      <c r="Z62" s="64"/>
      <c r="AA62" s="64"/>
      <c r="AB62" s="64"/>
      <c r="AC62" s="64"/>
      <c r="AD62" s="64"/>
      <c r="AE62" s="64"/>
      <c r="AF62" s="64"/>
    </row>
    <row r="63" spans="2:32">
      <c r="B63" s="65"/>
      <c r="C63" s="65"/>
      <c r="D63" s="65"/>
      <c r="E63" s="65"/>
      <c r="F63" s="65"/>
      <c r="G63" s="65"/>
      <c r="H63" s="65"/>
      <c r="I63" s="65"/>
      <c r="J63" s="65"/>
      <c r="O63" s="64"/>
      <c r="P63" s="64"/>
      <c r="Q63" s="64"/>
      <c r="R63" s="64"/>
      <c r="S63" s="64"/>
      <c r="T63" s="64"/>
      <c r="U63" s="64"/>
      <c r="V63" s="64"/>
      <c r="W63" s="64"/>
      <c r="X63" s="64"/>
      <c r="Y63" s="64"/>
      <c r="Z63" s="64"/>
      <c r="AA63" s="64"/>
      <c r="AB63" s="64"/>
      <c r="AC63" s="64"/>
      <c r="AD63" s="64"/>
      <c r="AE63" s="64"/>
      <c r="AF63" s="64"/>
    </row>
    <row r="64" spans="2:32">
      <c r="B64" s="65"/>
      <c r="C64" s="65"/>
      <c r="D64" s="65"/>
      <c r="E64" s="65"/>
      <c r="F64" s="65"/>
      <c r="G64" s="65"/>
      <c r="H64" s="65"/>
      <c r="I64" s="65"/>
      <c r="J64" s="65"/>
      <c r="O64" s="64"/>
      <c r="P64" s="64"/>
      <c r="Q64" s="64"/>
      <c r="R64" s="64"/>
      <c r="S64" s="64"/>
      <c r="T64" s="64"/>
      <c r="U64" s="64"/>
      <c r="V64" s="64"/>
      <c r="W64" s="64"/>
      <c r="X64" s="64"/>
      <c r="Y64" s="64"/>
      <c r="Z64" s="64"/>
      <c r="AA64" s="64"/>
      <c r="AB64" s="64"/>
      <c r="AC64" s="64"/>
      <c r="AD64" s="64"/>
      <c r="AE64" s="64"/>
      <c r="AF64" s="64"/>
    </row>
    <row r="65" spans="2:32">
      <c r="B65" s="65"/>
      <c r="C65" s="65"/>
      <c r="D65" s="65"/>
      <c r="E65" s="65"/>
      <c r="F65" s="65"/>
      <c r="G65" s="65"/>
      <c r="H65" s="65"/>
      <c r="I65" s="65"/>
      <c r="J65" s="65"/>
      <c r="O65" s="64"/>
      <c r="P65" s="64"/>
      <c r="Q65" s="64"/>
      <c r="R65" s="64"/>
      <c r="S65" s="64"/>
      <c r="T65" s="64"/>
      <c r="U65" s="64"/>
      <c r="V65" s="64"/>
      <c r="W65" s="64"/>
      <c r="X65" s="64"/>
      <c r="Y65" s="64"/>
      <c r="Z65" s="64"/>
      <c r="AA65" s="64"/>
      <c r="AB65" s="64"/>
      <c r="AC65" s="64"/>
      <c r="AD65" s="64"/>
      <c r="AE65" s="64"/>
      <c r="AF65" s="64"/>
    </row>
    <row r="66" spans="2:32">
      <c r="B66" s="65"/>
      <c r="C66" s="65"/>
      <c r="D66" s="65"/>
      <c r="E66" s="65"/>
      <c r="F66" s="65"/>
      <c r="G66" s="65"/>
      <c r="H66" s="65"/>
      <c r="I66" s="65"/>
      <c r="J66" s="65"/>
      <c r="O66" s="64"/>
      <c r="P66" s="64"/>
      <c r="Q66" s="64"/>
      <c r="R66" s="64"/>
      <c r="S66" s="64"/>
      <c r="T66" s="64"/>
      <c r="U66" s="64"/>
      <c r="V66" s="64"/>
      <c r="W66" s="64"/>
      <c r="X66" s="64"/>
      <c r="Y66" s="64"/>
      <c r="Z66" s="64"/>
      <c r="AA66" s="64"/>
      <c r="AB66" s="64"/>
      <c r="AC66" s="64"/>
      <c r="AD66" s="64"/>
      <c r="AE66" s="64"/>
      <c r="AF66" s="64"/>
    </row>
    <row r="67" spans="2:32">
      <c r="B67" s="65"/>
      <c r="C67" s="65"/>
      <c r="D67" s="65"/>
      <c r="E67" s="65"/>
      <c r="F67" s="65"/>
      <c r="G67" s="65"/>
      <c r="H67" s="65"/>
      <c r="I67" s="65"/>
      <c r="J67" s="65"/>
      <c r="O67" s="64"/>
      <c r="P67" s="64"/>
      <c r="Q67" s="64"/>
      <c r="R67" s="64"/>
      <c r="S67" s="64"/>
      <c r="T67" s="64"/>
      <c r="U67" s="64"/>
      <c r="V67" s="64"/>
      <c r="W67" s="64"/>
      <c r="X67" s="64"/>
      <c r="Y67" s="64"/>
      <c r="Z67" s="64"/>
      <c r="AA67" s="64"/>
      <c r="AB67" s="64"/>
      <c r="AC67" s="64"/>
      <c r="AD67" s="64"/>
      <c r="AE67" s="64"/>
      <c r="AF67" s="64"/>
    </row>
    <row r="68" spans="2:32">
      <c r="B68" s="65"/>
      <c r="C68" s="65"/>
      <c r="D68" s="65"/>
      <c r="E68" s="65"/>
      <c r="F68" s="65"/>
      <c r="G68" s="65"/>
      <c r="H68" s="65"/>
      <c r="I68" s="65"/>
      <c r="J68" s="65"/>
      <c r="O68" s="64"/>
      <c r="P68" s="64"/>
      <c r="Q68" s="64"/>
      <c r="R68" s="64"/>
      <c r="S68" s="64"/>
      <c r="T68" s="64"/>
      <c r="U68" s="64"/>
      <c r="V68" s="64"/>
      <c r="W68" s="64"/>
      <c r="X68" s="64"/>
      <c r="Y68" s="64"/>
      <c r="Z68" s="64"/>
      <c r="AA68" s="64"/>
      <c r="AB68" s="64"/>
      <c r="AC68" s="64"/>
      <c r="AD68" s="64"/>
      <c r="AE68" s="64"/>
      <c r="AF68" s="64"/>
    </row>
    <row r="69" spans="2:32">
      <c r="B69" s="65"/>
      <c r="C69" s="65"/>
      <c r="D69" s="65"/>
      <c r="E69" s="65"/>
      <c r="F69" s="65"/>
      <c r="G69" s="65"/>
      <c r="H69" s="65"/>
      <c r="I69" s="65"/>
      <c r="J69" s="65"/>
      <c r="O69" s="64"/>
      <c r="P69" s="64"/>
      <c r="Q69" s="64"/>
      <c r="R69" s="64"/>
      <c r="S69" s="64"/>
      <c r="T69" s="64"/>
      <c r="U69" s="64"/>
      <c r="V69" s="64"/>
      <c r="W69" s="64"/>
      <c r="X69" s="64"/>
      <c r="Y69" s="64"/>
      <c r="Z69" s="64"/>
      <c r="AA69" s="64"/>
      <c r="AB69" s="64"/>
      <c r="AC69" s="64"/>
      <c r="AD69" s="64"/>
      <c r="AE69" s="64"/>
      <c r="AF69" s="64"/>
    </row>
    <row r="70" spans="2:32">
      <c r="B70" s="65"/>
      <c r="C70" s="65"/>
      <c r="D70" s="65"/>
      <c r="E70" s="65"/>
      <c r="F70" s="65"/>
      <c r="G70" s="65"/>
      <c r="H70" s="65"/>
      <c r="I70" s="65"/>
      <c r="J70" s="65"/>
      <c r="O70" s="64"/>
      <c r="P70" s="64"/>
      <c r="Q70" s="64"/>
      <c r="R70" s="64"/>
      <c r="S70" s="64"/>
      <c r="T70" s="64"/>
      <c r="U70" s="64"/>
      <c r="V70" s="64"/>
      <c r="W70" s="64"/>
      <c r="X70" s="64"/>
      <c r="Y70" s="64"/>
      <c r="Z70" s="64"/>
      <c r="AA70" s="64"/>
      <c r="AB70" s="64"/>
      <c r="AC70" s="64"/>
      <c r="AD70" s="64"/>
      <c r="AE70" s="64"/>
      <c r="AF70" s="64"/>
    </row>
    <row r="71" spans="2:32">
      <c r="B71" s="65"/>
      <c r="C71" s="65"/>
      <c r="D71" s="65"/>
      <c r="E71" s="65"/>
      <c r="F71" s="65"/>
      <c r="G71" s="65"/>
      <c r="H71" s="65"/>
      <c r="I71" s="65"/>
      <c r="J71" s="65"/>
      <c r="O71" s="64"/>
      <c r="P71" s="64"/>
      <c r="Q71" s="64"/>
      <c r="R71" s="64"/>
      <c r="S71" s="64"/>
      <c r="T71" s="64"/>
      <c r="U71" s="64"/>
      <c r="V71" s="64"/>
      <c r="W71" s="64"/>
      <c r="X71" s="64"/>
      <c r="Y71" s="64"/>
      <c r="Z71" s="64"/>
      <c r="AA71" s="64"/>
      <c r="AB71" s="64"/>
      <c r="AC71" s="64"/>
      <c r="AD71" s="64"/>
      <c r="AE71" s="64"/>
      <c r="AF71" s="64"/>
    </row>
    <row r="72" spans="2:32">
      <c r="B72" s="65"/>
      <c r="C72" s="65"/>
      <c r="D72" s="65"/>
      <c r="E72" s="65"/>
      <c r="F72" s="65"/>
      <c r="G72" s="65"/>
      <c r="H72" s="65"/>
      <c r="I72" s="65"/>
      <c r="J72" s="65"/>
      <c r="O72" s="64"/>
      <c r="P72" s="64"/>
      <c r="Q72" s="64"/>
      <c r="R72" s="64"/>
      <c r="S72" s="64"/>
      <c r="T72" s="64"/>
      <c r="U72" s="64"/>
      <c r="V72" s="64"/>
      <c r="W72" s="64"/>
      <c r="X72" s="64"/>
      <c r="Y72" s="64"/>
      <c r="Z72" s="64"/>
      <c r="AA72" s="64"/>
      <c r="AB72" s="64"/>
      <c r="AC72" s="64"/>
      <c r="AD72" s="64"/>
      <c r="AE72" s="64"/>
      <c r="AF72" s="64"/>
    </row>
    <row r="73" spans="2:32">
      <c r="B73" s="65"/>
      <c r="C73" s="65"/>
      <c r="D73" s="65"/>
      <c r="E73" s="65"/>
      <c r="F73" s="65"/>
      <c r="G73" s="65"/>
      <c r="H73" s="65"/>
      <c r="I73" s="65"/>
      <c r="J73" s="65"/>
      <c r="O73" s="64"/>
      <c r="P73" s="64"/>
      <c r="Q73" s="64"/>
      <c r="R73" s="64"/>
      <c r="S73" s="64"/>
      <c r="T73" s="64"/>
      <c r="U73" s="64"/>
      <c r="V73" s="64"/>
      <c r="W73" s="64"/>
      <c r="X73" s="64"/>
      <c r="Y73" s="64"/>
      <c r="Z73" s="64"/>
      <c r="AA73" s="64"/>
      <c r="AB73" s="64"/>
      <c r="AC73" s="64"/>
      <c r="AD73" s="64"/>
      <c r="AE73" s="64"/>
      <c r="AF73" s="64"/>
    </row>
    <row r="74" spans="2:32">
      <c r="B74" s="65"/>
      <c r="C74" s="65"/>
      <c r="D74" s="65"/>
      <c r="E74" s="65"/>
      <c r="F74" s="65"/>
      <c r="G74" s="65"/>
      <c r="H74" s="65"/>
      <c r="I74" s="65"/>
      <c r="J74" s="65"/>
      <c r="O74" s="64"/>
      <c r="P74" s="64"/>
      <c r="Q74" s="64"/>
      <c r="R74" s="64"/>
      <c r="S74" s="64"/>
      <c r="T74" s="64"/>
      <c r="U74" s="64"/>
      <c r="V74" s="64"/>
      <c r="W74" s="64"/>
      <c r="X74" s="64"/>
      <c r="Y74" s="64"/>
      <c r="Z74" s="64"/>
      <c r="AA74" s="64"/>
      <c r="AB74" s="64"/>
      <c r="AC74" s="64"/>
      <c r="AD74" s="64"/>
      <c r="AE74" s="64"/>
      <c r="AF74" s="64"/>
    </row>
    <row r="75" spans="2:32">
      <c r="B75" s="65"/>
      <c r="C75" s="65"/>
      <c r="D75" s="65"/>
      <c r="E75" s="65"/>
      <c r="F75" s="65"/>
      <c r="G75" s="65"/>
      <c r="H75" s="65"/>
      <c r="I75" s="65"/>
      <c r="J75" s="65"/>
      <c r="O75" s="64"/>
      <c r="P75" s="64"/>
      <c r="Q75" s="64"/>
      <c r="R75" s="64"/>
      <c r="S75" s="64"/>
      <c r="T75" s="64"/>
      <c r="U75" s="64"/>
      <c r="V75" s="64"/>
      <c r="W75" s="64"/>
      <c r="X75" s="64"/>
      <c r="Y75" s="64"/>
      <c r="Z75" s="64"/>
      <c r="AA75" s="64"/>
      <c r="AB75" s="64"/>
      <c r="AC75" s="64"/>
      <c r="AD75" s="64"/>
      <c r="AE75" s="64"/>
      <c r="AF75" s="64"/>
    </row>
    <row r="76" spans="2:32">
      <c r="B76" s="65"/>
      <c r="C76" s="65"/>
      <c r="D76" s="65"/>
      <c r="E76" s="65"/>
      <c r="F76" s="65"/>
      <c r="G76" s="65"/>
      <c r="H76" s="65"/>
      <c r="I76" s="65"/>
      <c r="J76" s="65"/>
      <c r="O76" s="64"/>
      <c r="P76" s="64"/>
      <c r="Q76" s="64"/>
      <c r="R76" s="64"/>
      <c r="S76" s="64"/>
      <c r="T76" s="64"/>
      <c r="U76" s="64"/>
      <c r="V76" s="64"/>
      <c r="W76" s="64"/>
      <c r="X76" s="64"/>
      <c r="Y76" s="64"/>
      <c r="Z76" s="64"/>
      <c r="AA76" s="64"/>
      <c r="AB76" s="64"/>
      <c r="AC76" s="64"/>
      <c r="AD76" s="64"/>
      <c r="AE76" s="64"/>
      <c r="AF76" s="64"/>
    </row>
    <row r="77" spans="2:32">
      <c r="B77" s="65"/>
      <c r="C77" s="65"/>
      <c r="D77" s="65"/>
      <c r="E77" s="65"/>
      <c r="F77" s="65"/>
      <c r="G77" s="65"/>
      <c r="H77" s="65"/>
      <c r="I77" s="65"/>
      <c r="J77" s="65"/>
      <c r="O77" s="64"/>
      <c r="P77" s="64"/>
      <c r="Q77" s="64"/>
      <c r="R77" s="64"/>
      <c r="S77" s="64"/>
      <c r="T77" s="64"/>
      <c r="U77" s="64"/>
      <c r="V77" s="64"/>
      <c r="W77" s="64"/>
      <c r="X77" s="64"/>
      <c r="Y77" s="64"/>
      <c r="Z77" s="64"/>
      <c r="AA77" s="64"/>
      <c r="AB77" s="64"/>
      <c r="AC77" s="64"/>
      <c r="AD77" s="64"/>
      <c r="AE77" s="64"/>
      <c r="AF77" s="64"/>
    </row>
    <row r="78" spans="2:32">
      <c r="B78" s="65"/>
      <c r="C78" s="65"/>
      <c r="D78" s="65"/>
      <c r="E78" s="65"/>
      <c r="F78" s="65"/>
      <c r="G78" s="65"/>
      <c r="H78" s="65"/>
      <c r="I78" s="65"/>
      <c r="J78" s="65"/>
      <c r="O78" s="64"/>
      <c r="P78" s="64"/>
      <c r="Q78" s="64"/>
      <c r="R78" s="64"/>
      <c r="S78" s="64"/>
      <c r="T78" s="64"/>
      <c r="U78" s="64"/>
      <c r="V78" s="64"/>
      <c r="W78" s="64"/>
      <c r="X78" s="64"/>
      <c r="Y78" s="64"/>
      <c r="Z78" s="64"/>
      <c r="AA78" s="64"/>
      <c r="AB78" s="64"/>
      <c r="AC78" s="64"/>
      <c r="AD78" s="64"/>
      <c r="AE78" s="64"/>
      <c r="AF78" s="64"/>
    </row>
    <row r="79" spans="2:32">
      <c r="B79" s="65"/>
      <c r="C79" s="65"/>
      <c r="D79" s="65"/>
      <c r="E79" s="65"/>
      <c r="F79" s="65"/>
      <c r="G79" s="65"/>
      <c r="H79" s="65"/>
      <c r="I79" s="65"/>
      <c r="J79" s="65"/>
      <c r="O79" s="64"/>
      <c r="P79" s="64"/>
      <c r="Q79" s="64"/>
      <c r="R79" s="64"/>
      <c r="S79" s="64"/>
      <c r="T79" s="64"/>
      <c r="U79" s="64"/>
      <c r="V79" s="64"/>
      <c r="W79" s="64"/>
      <c r="X79" s="64"/>
      <c r="Y79" s="64"/>
      <c r="Z79" s="64"/>
      <c r="AA79" s="64"/>
      <c r="AB79" s="64"/>
      <c r="AC79" s="64"/>
      <c r="AD79" s="64"/>
      <c r="AE79" s="64"/>
      <c r="AF79" s="64"/>
    </row>
    <row r="80" spans="2:32">
      <c r="B80" s="65"/>
      <c r="C80" s="65"/>
      <c r="D80" s="65"/>
      <c r="E80" s="65"/>
      <c r="F80" s="65"/>
      <c r="G80" s="65"/>
      <c r="H80" s="65"/>
      <c r="I80" s="65"/>
      <c r="J80" s="65"/>
      <c r="O80" s="64"/>
      <c r="P80" s="64"/>
      <c r="Q80" s="64"/>
      <c r="R80" s="64"/>
      <c r="S80" s="64"/>
      <c r="T80" s="64"/>
      <c r="U80" s="64"/>
      <c r="V80" s="64"/>
      <c r="W80" s="64"/>
      <c r="X80" s="64"/>
      <c r="Y80" s="64"/>
      <c r="Z80" s="64"/>
      <c r="AA80" s="64"/>
      <c r="AB80" s="64"/>
      <c r="AC80" s="64"/>
      <c r="AD80" s="64"/>
      <c r="AE80" s="64"/>
      <c r="AF80" s="64"/>
    </row>
    <row r="81" spans="2:32">
      <c r="B81" s="65"/>
      <c r="C81" s="65"/>
      <c r="D81" s="65"/>
      <c r="E81" s="65"/>
      <c r="F81" s="65"/>
      <c r="G81" s="65"/>
      <c r="H81" s="65"/>
      <c r="I81" s="65"/>
      <c r="J81" s="65"/>
      <c r="O81" s="64"/>
      <c r="P81" s="64"/>
      <c r="Q81" s="64"/>
      <c r="R81" s="64"/>
      <c r="S81" s="64"/>
      <c r="T81" s="64"/>
      <c r="U81" s="64"/>
      <c r="V81" s="64"/>
      <c r="W81" s="64"/>
      <c r="X81" s="64"/>
      <c r="Y81" s="64"/>
      <c r="Z81" s="64"/>
      <c r="AA81" s="64"/>
      <c r="AB81" s="64"/>
      <c r="AC81" s="64"/>
      <c r="AD81" s="64"/>
      <c r="AE81" s="64"/>
      <c r="AF81" s="64"/>
    </row>
    <row r="82" spans="2:32">
      <c r="B82" s="65"/>
      <c r="C82" s="65"/>
      <c r="D82" s="65"/>
      <c r="E82" s="65"/>
      <c r="F82" s="65"/>
      <c r="G82" s="65"/>
      <c r="H82" s="65"/>
      <c r="I82" s="65"/>
      <c r="J82" s="65"/>
      <c r="O82" s="64"/>
      <c r="P82" s="64"/>
      <c r="Q82" s="64"/>
      <c r="R82" s="64"/>
      <c r="S82" s="64"/>
      <c r="T82" s="64"/>
      <c r="U82" s="64"/>
      <c r="V82" s="64"/>
      <c r="W82" s="64"/>
      <c r="X82" s="64"/>
      <c r="Y82" s="64"/>
      <c r="Z82" s="64"/>
      <c r="AA82" s="64"/>
      <c r="AB82" s="64"/>
      <c r="AC82" s="64"/>
      <c r="AD82" s="64"/>
      <c r="AE82" s="64"/>
      <c r="AF82" s="64"/>
    </row>
    <row r="83" spans="2:32">
      <c r="B83" s="65"/>
      <c r="C83" s="65"/>
      <c r="D83" s="65"/>
      <c r="E83" s="65"/>
      <c r="F83" s="65"/>
      <c r="G83" s="65"/>
      <c r="H83" s="65"/>
      <c r="I83" s="65"/>
      <c r="J83" s="65"/>
      <c r="O83" s="64"/>
      <c r="P83" s="64"/>
      <c r="Q83" s="64"/>
      <c r="R83" s="64"/>
      <c r="S83" s="64"/>
      <c r="T83" s="64"/>
      <c r="U83" s="64"/>
      <c r="V83" s="64"/>
      <c r="W83" s="64"/>
      <c r="X83" s="64"/>
      <c r="Y83" s="64"/>
      <c r="Z83" s="64"/>
      <c r="AA83" s="64"/>
      <c r="AB83" s="64"/>
      <c r="AC83" s="64"/>
      <c r="AD83" s="64"/>
      <c r="AE83" s="64"/>
      <c r="AF83" s="64"/>
    </row>
    <row r="84" spans="2:32">
      <c r="B84" s="65"/>
      <c r="C84" s="65"/>
      <c r="D84" s="65"/>
      <c r="E84" s="65"/>
      <c r="F84" s="65"/>
      <c r="G84" s="65"/>
      <c r="H84" s="65"/>
      <c r="I84" s="65"/>
      <c r="J84" s="65"/>
      <c r="O84" s="64"/>
      <c r="P84" s="64"/>
      <c r="Q84" s="64"/>
      <c r="R84" s="64"/>
      <c r="S84" s="64"/>
      <c r="T84" s="64"/>
      <c r="U84" s="64"/>
      <c r="V84" s="64"/>
      <c r="W84" s="64"/>
      <c r="X84" s="64"/>
      <c r="Y84" s="64"/>
      <c r="Z84" s="64"/>
      <c r="AA84" s="64"/>
      <c r="AB84" s="64"/>
      <c r="AC84" s="64"/>
      <c r="AD84" s="64"/>
      <c r="AE84" s="64"/>
      <c r="AF84" s="64"/>
    </row>
    <row r="85" spans="2:32">
      <c r="B85" s="829"/>
      <c r="C85" s="829"/>
      <c r="D85" s="115"/>
      <c r="E85" s="65"/>
      <c r="F85" s="65"/>
      <c r="G85" s="65"/>
      <c r="H85" s="65"/>
      <c r="I85" s="65"/>
      <c r="J85" s="65"/>
      <c r="O85" s="64"/>
      <c r="P85" s="64"/>
      <c r="Q85" s="64"/>
      <c r="R85" s="64"/>
      <c r="S85" s="64"/>
      <c r="T85" s="64"/>
      <c r="U85" s="64"/>
      <c r="V85" s="64"/>
      <c r="W85" s="64"/>
      <c r="X85" s="64"/>
      <c r="Y85" s="64"/>
      <c r="Z85" s="64"/>
      <c r="AA85" s="64"/>
      <c r="AB85" s="64"/>
      <c r="AC85" s="64"/>
      <c r="AD85" s="64"/>
      <c r="AE85" s="64"/>
      <c r="AF85" s="64"/>
    </row>
    <row r="86" spans="2:32">
      <c r="B86" s="829"/>
      <c r="C86" s="829"/>
      <c r="D86" s="116"/>
      <c r="E86" s="65"/>
      <c r="F86" s="65"/>
      <c r="G86" s="65"/>
      <c r="H86" s="65"/>
      <c r="I86" s="65"/>
      <c r="J86" s="65"/>
      <c r="O86" s="64"/>
      <c r="P86" s="64"/>
      <c r="Q86" s="64"/>
      <c r="R86" s="64"/>
      <c r="S86" s="64"/>
      <c r="T86" s="64"/>
      <c r="U86" s="64"/>
      <c r="V86" s="64"/>
      <c r="W86" s="64"/>
      <c r="X86" s="64"/>
      <c r="Y86" s="64"/>
      <c r="Z86" s="64"/>
      <c r="AA86" s="64"/>
      <c r="AB86" s="64"/>
      <c r="AC86" s="64"/>
      <c r="AD86" s="64"/>
      <c r="AE86" s="64"/>
      <c r="AF86" s="64"/>
    </row>
  </sheetData>
  <mergeCells count="36">
    <mergeCell ref="B26:G26"/>
    <mergeCell ref="B27:H27"/>
    <mergeCell ref="B28:G28"/>
    <mergeCell ref="AD19:AF19"/>
    <mergeCell ref="AD10:AF10"/>
    <mergeCell ref="N19:N20"/>
    <mergeCell ref="O19:Q19"/>
    <mergeCell ref="N10:N11"/>
    <mergeCell ref="O10:Q10"/>
    <mergeCell ref="X10:Z10"/>
    <mergeCell ref="AA10:AC10"/>
    <mergeCell ref="R19:T19"/>
    <mergeCell ref="U19:W19"/>
    <mergeCell ref="X19:Z19"/>
    <mergeCell ref="AA19:AC19"/>
    <mergeCell ref="R10:T10"/>
    <mergeCell ref="B85:C85"/>
    <mergeCell ref="K36:T36"/>
    <mergeCell ref="B86:C86"/>
    <mergeCell ref="B29:H29"/>
    <mergeCell ref="B30:G30"/>
    <mergeCell ref="B32:H32"/>
    <mergeCell ref="D39:H39"/>
    <mergeCell ref="K35:T35"/>
    <mergeCell ref="U10:W10"/>
    <mergeCell ref="B7:J7"/>
    <mergeCell ref="B6:C6"/>
    <mergeCell ref="G6:J6"/>
    <mergeCell ref="B8:J8"/>
    <mergeCell ref="B9:J9"/>
    <mergeCell ref="B25:H25"/>
    <mergeCell ref="B13:C13"/>
    <mergeCell ref="B21:H21"/>
    <mergeCell ref="B22:G22"/>
    <mergeCell ref="B23:H23"/>
    <mergeCell ref="B24:G24"/>
  </mergeCells>
  <conditionalFormatting sqref="J11">
    <cfRule type="cellIs" dxfId="0" priority="1" operator="notBetween">
      <formula>$AD$12</formula>
      <formula>$AF$12</formula>
    </cfRule>
  </conditionalFormatting>
  <dataValidations count="1">
    <dataValidation type="list" allowBlank="1" showInputMessage="1" showErrorMessage="1" sqref="G6">
      <formula1>$N$21:$N$26</formula1>
    </dataValidation>
  </dataValidations>
  <hyperlinks>
    <hyperlink ref="L3" location="INÍCIO!B15" display="INÍCIO"/>
  </hyperlinks>
  <printOptions horizontalCentered="1"/>
  <pageMargins left="0.39370078740157483" right="0.39370078740157483" top="0.39370078740157483" bottom="0.98425196850393704" header="0.39370078740157483" footer="0.39370078740157483"/>
  <pageSetup paperSize="9" scale="67" orientation="portrait" r:id="rId1"/>
  <headerFooter>
    <oddFooter>&amp;C&amp;"Courier New,Normal"&amp;8Prefeitura da UFRJ
Praça Jorge Machado Moreira, 100 - Cidade Universitária - Ilha do Fundão
CEP 21941-598 - Rio de Janeiro-RJ - Cx. Postal 68.010
Tel:21 2598-9324&amp;R&amp;"Courier New,Normal"&amp;8Página: &amp;P/&amp;N</oddFooter>
  </headerFooter>
  <drawing r:id="rId2"/>
  <legacyDrawing r:id="rId3"/>
  <oleObjects>
    <mc:AlternateContent xmlns:mc="http://schemas.openxmlformats.org/markup-compatibility/2006">
      <mc:Choice Requires="x14">
        <oleObject progId="Equation.3" shapeId="5121" r:id="rId4">
          <objectPr defaultSize="0" autoPict="0" r:id="rId5">
            <anchor moveWithCells="1" sizeWithCells="1">
              <from>
                <xdr:col>5</xdr:col>
                <xdr:colOff>657225</xdr:colOff>
                <xdr:row>9</xdr:row>
                <xdr:rowOff>95250</xdr:rowOff>
              </from>
              <to>
                <xdr:col>6</xdr:col>
                <xdr:colOff>1524000</xdr:colOff>
                <xdr:row>12</xdr:row>
                <xdr:rowOff>9525</xdr:rowOff>
              </to>
            </anchor>
          </objectPr>
        </oleObject>
      </mc:Choice>
      <mc:Fallback>
        <oleObject progId="Equation.3" shapeId="5121"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93"/>
  <sheetViews>
    <sheetView view="pageBreakPreview" zoomScale="70" zoomScaleNormal="70" zoomScaleSheetLayoutView="70" workbookViewId="0">
      <pane ySplit="7" topLeftCell="A8" activePane="bottomLeft" state="frozenSplit"/>
      <selection activeCell="B14" sqref="B14"/>
      <selection pane="bottomLeft" activeCell="F44" sqref="F44"/>
    </sheetView>
  </sheetViews>
  <sheetFormatPr defaultRowHeight="13.5"/>
  <cols>
    <col min="1" max="1" width="9.140625" style="118"/>
    <col min="2" max="2" width="14.28515625" style="154" customWidth="1"/>
    <col min="3" max="3" width="77.85546875" style="118" customWidth="1"/>
    <col min="4" max="4" width="12.140625" style="118" customWidth="1"/>
    <col min="5" max="5" width="14.28515625" style="118" customWidth="1"/>
    <col min="6" max="6" width="12" style="118" customWidth="1"/>
    <col min="7" max="7" width="14.5703125" style="118" customWidth="1"/>
    <col min="8" max="8" width="9.140625" style="117"/>
    <col min="9" max="16384" width="9.140625" style="118"/>
  </cols>
  <sheetData>
    <row r="1" spans="2:12" s="1" customFormat="1">
      <c r="B1" s="171"/>
      <c r="C1" s="61" t="s">
        <v>0</v>
      </c>
      <c r="D1" s="60"/>
      <c r="E1" s="2"/>
      <c r="F1" s="147"/>
      <c r="G1" s="3"/>
      <c r="H1" s="4"/>
      <c r="I1" s="146"/>
      <c r="J1" s="192"/>
      <c r="K1" s="5"/>
      <c r="L1" s="451"/>
    </row>
    <row r="2" spans="2:12" s="1" customFormat="1" ht="14.25" thickBot="1">
      <c r="B2" s="171"/>
      <c r="C2" s="453" t="s">
        <v>1</v>
      </c>
      <c r="D2" s="452"/>
      <c r="E2" s="20"/>
      <c r="F2" s="167"/>
      <c r="G2" s="168"/>
      <c r="H2" s="192"/>
      <c r="I2" s="5"/>
      <c r="J2" s="451"/>
    </row>
    <row r="3" spans="2:12" s="1" customFormat="1" ht="15.75" thickBot="1">
      <c r="B3" s="171"/>
      <c r="C3" s="212" t="str">
        <f>"Objeto:"&amp;" "&amp;INÍCIO!$D$6</f>
        <v>Objeto: COLETA DE RESÍDUOS DE COMÉRCIO E SERVIÇOS (RESÍDUO EXTRAORDINÁRIO) E RESÍDUO INERTE</v>
      </c>
      <c r="D3" s="196"/>
      <c r="E3" s="196"/>
      <c r="F3" s="167"/>
      <c r="G3" s="169"/>
      <c r="H3" s="192"/>
      <c r="I3" s="653" t="s">
        <v>2</v>
      </c>
      <c r="J3" s="451"/>
    </row>
    <row r="4" spans="2:12" s="1" customFormat="1">
      <c r="B4" s="171"/>
      <c r="C4" s="212" t="str">
        <f>"Local:"&amp;" "&amp;INÍCIO!$D$7</f>
        <v>Local: CIDADE UNIVERSITÁRIA, PRAIA VERMELHA, UNIDADES EXTERNAS E STA. CRUZ DA SERRA</v>
      </c>
      <c r="D4" s="196"/>
      <c r="E4" s="196"/>
      <c r="F4" s="196"/>
      <c r="G4" s="196"/>
      <c r="H4" s="7"/>
      <c r="I4" s="146"/>
      <c r="J4" s="192"/>
      <c r="K4" s="451"/>
      <c r="L4" s="451"/>
    </row>
    <row r="5" spans="2:12" s="1" customFormat="1">
      <c r="B5" s="171"/>
      <c r="C5" s="212" t="str">
        <f>"Responsável:"&amp;" "&amp;INÍCIO!$D$8</f>
        <v xml:space="preserve">Responsável: </v>
      </c>
      <c r="D5" s="196"/>
      <c r="E5" s="196"/>
      <c r="F5" s="196"/>
      <c r="G5" s="196"/>
      <c r="H5" s="8"/>
      <c r="I5" s="146"/>
      <c r="J5" s="192"/>
      <c r="K5" s="451"/>
      <c r="L5" s="451"/>
    </row>
    <row r="6" spans="2:12" s="1" customFormat="1" ht="11.25">
      <c r="B6" s="172"/>
      <c r="C6" s="817"/>
      <c r="D6" s="817"/>
      <c r="E6" s="817"/>
      <c r="F6" s="817"/>
      <c r="G6" s="817"/>
      <c r="H6" s="9"/>
      <c r="I6" s="10"/>
      <c r="J6" s="192"/>
      <c r="K6" s="451"/>
      <c r="L6" s="451"/>
    </row>
    <row r="7" spans="2:12">
      <c r="B7" s="851" t="s">
        <v>410</v>
      </c>
      <c r="C7" s="851"/>
      <c r="D7" s="851"/>
      <c r="E7" s="851"/>
      <c r="F7" s="851"/>
      <c r="G7" s="851"/>
      <c r="H7" s="63"/>
      <c r="I7" s="65"/>
      <c r="J7" s="65"/>
    </row>
    <row r="8" spans="2:12" s="119" customFormat="1" ht="13.5" customHeight="1">
      <c r="B8" s="852" t="s">
        <v>135</v>
      </c>
      <c r="C8" s="852" t="s">
        <v>136</v>
      </c>
      <c r="D8" s="854" t="s">
        <v>216</v>
      </c>
      <c r="E8" s="855"/>
      <c r="F8" s="856" t="s">
        <v>215</v>
      </c>
      <c r="G8" s="856"/>
      <c r="H8" s="120"/>
      <c r="I8" s="121"/>
      <c r="J8" s="121"/>
    </row>
    <row r="9" spans="2:12" s="119" customFormat="1" ht="27">
      <c r="B9" s="853"/>
      <c r="C9" s="853"/>
      <c r="D9" s="160" t="s">
        <v>214</v>
      </c>
      <c r="E9" s="159" t="s">
        <v>137</v>
      </c>
      <c r="F9" s="153" t="s">
        <v>214</v>
      </c>
      <c r="G9" s="153" t="s">
        <v>137</v>
      </c>
      <c r="H9" s="120"/>
      <c r="I9" s="121"/>
      <c r="J9" s="121"/>
    </row>
    <row r="10" spans="2:12" s="119" customFormat="1" ht="16.5">
      <c r="B10" s="849" t="s">
        <v>138</v>
      </c>
      <c r="C10" s="849"/>
      <c r="D10" s="850"/>
      <c r="E10" s="850"/>
      <c r="F10" s="850"/>
      <c r="G10" s="850"/>
      <c r="H10" s="120"/>
      <c r="I10" s="121"/>
      <c r="J10" s="121"/>
    </row>
    <row r="11" spans="2:12">
      <c r="B11" s="71" t="s">
        <v>139</v>
      </c>
      <c r="C11" s="65" t="s">
        <v>140</v>
      </c>
      <c r="D11" s="733">
        <v>0</v>
      </c>
      <c r="E11" s="742">
        <v>0</v>
      </c>
      <c r="F11" s="728">
        <v>20</v>
      </c>
      <c r="G11" s="738">
        <v>20</v>
      </c>
      <c r="H11" s="63"/>
      <c r="I11" s="65"/>
      <c r="J11" s="65"/>
    </row>
    <row r="12" spans="2:12">
      <c r="B12" s="71" t="s">
        <v>141</v>
      </c>
      <c r="C12" s="65" t="s">
        <v>142</v>
      </c>
      <c r="D12" s="734">
        <v>1.5</v>
      </c>
      <c r="E12" s="743">
        <v>1.5</v>
      </c>
      <c r="F12" s="729">
        <v>1.5</v>
      </c>
      <c r="G12" s="729">
        <v>1.5</v>
      </c>
      <c r="H12" s="63"/>
      <c r="I12" s="65"/>
      <c r="J12" s="65"/>
    </row>
    <row r="13" spans="2:12">
      <c r="B13" s="71" t="s">
        <v>143</v>
      </c>
      <c r="C13" s="65" t="s">
        <v>144</v>
      </c>
      <c r="D13" s="734">
        <v>1</v>
      </c>
      <c r="E13" s="743">
        <v>1</v>
      </c>
      <c r="F13" s="729">
        <v>1</v>
      </c>
      <c r="G13" s="729">
        <v>1</v>
      </c>
      <c r="H13" s="63"/>
      <c r="I13" s="65"/>
      <c r="J13" s="65"/>
    </row>
    <row r="14" spans="2:12">
      <c r="B14" s="71" t="s">
        <v>83</v>
      </c>
      <c r="C14" s="65" t="s">
        <v>145</v>
      </c>
      <c r="D14" s="734">
        <v>0.2</v>
      </c>
      <c r="E14" s="743">
        <v>0.2</v>
      </c>
      <c r="F14" s="729">
        <v>0.2</v>
      </c>
      <c r="G14" s="729">
        <v>0.2</v>
      </c>
      <c r="H14" s="63"/>
      <c r="I14" s="65"/>
      <c r="J14" s="65"/>
    </row>
    <row r="15" spans="2:12" ht="18" customHeight="1">
      <c r="B15" s="71" t="s">
        <v>146</v>
      </c>
      <c r="C15" s="73" t="s">
        <v>147</v>
      </c>
      <c r="D15" s="735">
        <v>0.6</v>
      </c>
      <c r="E15" s="744">
        <v>0.6</v>
      </c>
      <c r="F15" s="730">
        <v>0.6</v>
      </c>
      <c r="G15" s="730">
        <v>0.6</v>
      </c>
      <c r="H15" s="63"/>
      <c r="I15" s="65"/>
      <c r="J15" s="65"/>
      <c r="K15" s="122"/>
    </row>
    <row r="16" spans="2:12" ht="18" customHeight="1">
      <c r="B16" s="71" t="s">
        <v>148</v>
      </c>
      <c r="C16" s="65" t="s">
        <v>149</v>
      </c>
      <c r="D16" s="734">
        <v>2.5</v>
      </c>
      <c r="E16" s="743">
        <v>2.5</v>
      </c>
      <c r="F16" s="729">
        <v>2.5</v>
      </c>
      <c r="G16" s="729">
        <v>2.5</v>
      </c>
      <c r="H16" s="63"/>
      <c r="I16" s="65"/>
      <c r="J16" s="65"/>
    </row>
    <row r="17" spans="2:10" ht="18" customHeight="1">
      <c r="B17" s="71" t="s">
        <v>150</v>
      </c>
      <c r="C17" s="65" t="s">
        <v>151</v>
      </c>
      <c r="D17" s="734">
        <v>3</v>
      </c>
      <c r="E17" s="743">
        <v>3</v>
      </c>
      <c r="F17" s="729">
        <v>3</v>
      </c>
      <c r="G17" s="729">
        <v>3</v>
      </c>
      <c r="H17" s="63"/>
      <c r="I17" s="65"/>
      <c r="J17" s="65"/>
    </row>
    <row r="18" spans="2:10" ht="18" customHeight="1">
      <c r="B18" s="71" t="s">
        <v>152</v>
      </c>
      <c r="C18" s="63" t="s">
        <v>153</v>
      </c>
      <c r="D18" s="734">
        <v>8</v>
      </c>
      <c r="E18" s="743">
        <v>8</v>
      </c>
      <c r="F18" s="729">
        <v>8</v>
      </c>
      <c r="G18" s="729">
        <v>8</v>
      </c>
      <c r="H18" s="63"/>
      <c r="I18" s="65"/>
      <c r="J18" s="65"/>
    </row>
    <row r="19" spans="2:10" ht="18" customHeight="1">
      <c r="B19" s="71" t="s">
        <v>154</v>
      </c>
      <c r="C19" s="82" t="s">
        <v>155</v>
      </c>
      <c r="D19" s="736">
        <v>1</v>
      </c>
      <c r="E19" s="745">
        <v>1</v>
      </c>
      <c r="F19" s="731">
        <v>1</v>
      </c>
      <c r="G19" s="731">
        <v>1</v>
      </c>
      <c r="H19" s="63"/>
      <c r="I19" s="65"/>
      <c r="J19" s="65"/>
    </row>
    <row r="20" spans="2:10" ht="18" customHeight="1">
      <c r="B20" s="478" t="s">
        <v>132</v>
      </c>
      <c r="C20" s="478" t="s">
        <v>97</v>
      </c>
      <c r="D20" s="740">
        <f>SUM(D11:D19)</f>
        <v>17.8</v>
      </c>
      <c r="E20" s="746">
        <f>SUM(E11:E19)</f>
        <v>17.8</v>
      </c>
      <c r="F20" s="732">
        <f>SUM(F11:F19)</f>
        <v>37.799999999999997</v>
      </c>
      <c r="G20" s="732">
        <f>SUM(G11:G19)</f>
        <v>37.799999999999997</v>
      </c>
      <c r="H20" s="63"/>
      <c r="I20" s="65"/>
      <c r="J20" s="65"/>
    </row>
    <row r="21" spans="2:10" s="119" customFormat="1" ht="16.5">
      <c r="B21" s="849" t="s">
        <v>156</v>
      </c>
      <c r="C21" s="849"/>
      <c r="D21" s="849"/>
      <c r="E21" s="849"/>
      <c r="F21" s="849"/>
      <c r="G21" s="849"/>
      <c r="H21" s="120"/>
      <c r="I21" s="121"/>
      <c r="J21" s="121"/>
    </row>
    <row r="22" spans="2:10">
      <c r="B22" s="71" t="s">
        <v>157</v>
      </c>
      <c r="C22" s="65" t="s">
        <v>158</v>
      </c>
      <c r="D22" s="733">
        <v>17.98</v>
      </c>
      <c r="E22" s="742" t="s">
        <v>12</v>
      </c>
      <c r="F22" s="733">
        <v>17.98</v>
      </c>
      <c r="G22" s="738" t="s">
        <v>12</v>
      </c>
      <c r="H22" s="150"/>
      <c r="I22" s="65"/>
      <c r="J22" s="65"/>
    </row>
    <row r="23" spans="2:10">
      <c r="B23" s="71" t="s">
        <v>159</v>
      </c>
      <c r="C23" s="65" t="s">
        <v>160</v>
      </c>
      <c r="D23" s="734">
        <v>4.87</v>
      </c>
      <c r="E23" s="743" t="s">
        <v>12</v>
      </c>
      <c r="F23" s="734">
        <v>4.87</v>
      </c>
      <c r="G23" s="729" t="s">
        <v>12</v>
      </c>
      <c r="H23" s="150"/>
      <c r="I23" s="65"/>
      <c r="J23" s="65"/>
    </row>
    <row r="24" spans="2:10">
      <c r="B24" s="71" t="s">
        <v>161</v>
      </c>
      <c r="C24" s="65" t="s">
        <v>162</v>
      </c>
      <c r="D24" s="734">
        <v>0.87</v>
      </c>
      <c r="E24" s="743">
        <v>0.67</v>
      </c>
      <c r="F24" s="734">
        <v>0.87</v>
      </c>
      <c r="G24" s="729">
        <v>0.67</v>
      </c>
      <c r="H24" s="63"/>
      <c r="I24" s="65"/>
      <c r="J24" s="65"/>
    </row>
    <row r="25" spans="2:10">
      <c r="B25" s="71" t="s">
        <v>163</v>
      </c>
      <c r="C25" s="65" t="s">
        <v>164</v>
      </c>
      <c r="D25" s="734">
        <v>10.77</v>
      </c>
      <c r="E25" s="743">
        <v>8.33</v>
      </c>
      <c r="F25" s="734">
        <v>10.77</v>
      </c>
      <c r="G25" s="729">
        <v>8.33</v>
      </c>
      <c r="H25" s="63"/>
      <c r="I25" s="65"/>
      <c r="J25" s="65"/>
    </row>
    <row r="26" spans="2:10" ht="18" customHeight="1">
      <c r="B26" s="71" t="s">
        <v>165</v>
      </c>
      <c r="C26" s="73" t="s">
        <v>166</v>
      </c>
      <c r="D26" s="735">
        <v>7.0000000000000007E-2</v>
      </c>
      <c r="E26" s="744">
        <v>0.06</v>
      </c>
      <c r="F26" s="735">
        <v>7.0000000000000007E-2</v>
      </c>
      <c r="G26" s="730">
        <v>0.06</v>
      </c>
      <c r="H26" s="63"/>
      <c r="I26" s="65"/>
      <c r="J26" s="65"/>
    </row>
    <row r="27" spans="2:10" ht="18" customHeight="1">
      <c r="B27" s="71" t="s">
        <v>167</v>
      </c>
      <c r="C27" s="65" t="s">
        <v>168</v>
      </c>
      <c r="D27" s="734">
        <v>0.72</v>
      </c>
      <c r="E27" s="743">
        <v>0.56000000000000005</v>
      </c>
      <c r="F27" s="734">
        <v>0.72</v>
      </c>
      <c r="G27" s="729">
        <v>0.56000000000000005</v>
      </c>
      <c r="H27" s="150"/>
      <c r="I27" s="65"/>
      <c r="J27" s="65"/>
    </row>
    <row r="28" spans="2:10" ht="18" customHeight="1">
      <c r="B28" s="71" t="s">
        <v>169</v>
      </c>
      <c r="C28" s="65" t="s">
        <v>170</v>
      </c>
      <c r="D28" s="734">
        <v>1.24</v>
      </c>
      <c r="E28" s="743" t="s">
        <v>12</v>
      </c>
      <c r="F28" s="734">
        <v>1.24</v>
      </c>
      <c r="G28" s="729" t="s">
        <v>12</v>
      </c>
      <c r="H28" s="63"/>
      <c r="I28" s="65"/>
      <c r="J28" s="65"/>
    </row>
    <row r="29" spans="2:10" ht="18" customHeight="1">
      <c r="B29" s="71" t="s">
        <v>171</v>
      </c>
      <c r="C29" s="63" t="s">
        <v>213</v>
      </c>
      <c r="D29" s="734">
        <v>0.11</v>
      </c>
      <c r="E29" s="743">
        <v>0.08</v>
      </c>
      <c r="F29" s="734">
        <v>0.11</v>
      </c>
      <c r="G29" s="729">
        <v>0.08</v>
      </c>
      <c r="H29" s="63"/>
      <c r="I29" s="65"/>
      <c r="J29" s="65"/>
    </row>
    <row r="30" spans="2:10" ht="18" customHeight="1">
      <c r="B30" s="71" t="s">
        <v>172</v>
      </c>
      <c r="C30" s="82" t="s">
        <v>173</v>
      </c>
      <c r="D30" s="734">
        <v>14.07</v>
      </c>
      <c r="E30" s="743">
        <v>10.88</v>
      </c>
      <c r="F30" s="734">
        <v>14.07</v>
      </c>
      <c r="G30" s="729">
        <v>10.88</v>
      </c>
      <c r="H30" s="63"/>
      <c r="I30" s="65"/>
      <c r="J30" s="65"/>
    </row>
    <row r="31" spans="2:10" ht="18" customHeight="1">
      <c r="B31" s="71" t="s">
        <v>174</v>
      </c>
      <c r="C31" s="82" t="s">
        <v>175</v>
      </c>
      <c r="D31" s="736">
        <v>0.03</v>
      </c>
      <c r="E31" s="745">
        <v>0.03</v>
      </c>
      <c r="F31" s="736">
        <v>0.03</v>
      </c>
      <c r="G31" s="731">
        <v>0.03</v>
      </c>
      <c r="H31" s="63"/>
      <c r="I31" s="65"/>
      <c r="J31" s="65"/>
    </row>
    <row r="32" spans="2:10" s="119" customFormat="1" ht="18" customHeight="1">
      <c r="B32" s="478" t="s">
        <v>133</v>
      </c>
      <c r="C32" s="478" t="s">
        <v>97</v>
      </c>
      <c r="D32" s="741">
        <f>SUM(D22:D31)</f>
        <v>50.730000000000004</v>
      </c>
      <c r="E32" s="747">
        <f>SUM(E22:E31)</f>
        <v>20.610000000000003</v>
      </c>
      <c r="F32" s="731">
        <f>SUM(F22:F31)</f>
        <v>50.730000000000004</v>
      </c>
      <c r="G32" s="731">
        <f>SUM(G22:G31)</f>
        <v>20.610000000000003</v>
      </c>
      <c r="H32" s="151"/>
      <c r="I32" s="121"/>
      <c r="J32" s="121"/>
    </row>
    <row r="33" spans="2:11" s="119" customFormat="1" ht="18" customHeight="1">
      <c r="B33" s="849" t="s">
        <v>176</v>
      </c>
      <c r="C33" s="849"/>
      <c r="D33" s="850"/>
      <c r="E33" s="850"/>
      <c r="F33" s="850"/>
      <c r="G33" s="850"/>
      <c r="H33" s="120"/>
      <c r="I33" s="121"/>
      <c r="J33" s="121"/>
      <c r="K33" s="123"/>
    </row>
    <row r="34" spans="2:11">
      <c r="B34" s="71" t="s">
        <v>177</v>
      </c>
      <c r="C34" s="65" t="s">
        <v>178</v>
      </c>
      <c r="D34" s="733">
        <v>4.32</v>
      </c>
      <c r="E34" s="742">
        <v>3.34</v>
      </c>
      <c r="F34" s="733">
        <v>4.32</v>
      </c>
      <c r="G34" s="738">
        <v>3.34</v>
      </c>
      <c r="H34" s="63"/>
      <c r="I34" s="65"/>
      <c r="J34" s="65"/>
    </row>
    <row r="35" spans="2:11">
      <c r="B35" s="71" t="s">
        <v>179</v>
      </c>
      <c r="C35" s="65" t="s">
        <v>180</v>
      </c>
      <c r="D35" s="734">
        <v>0.1</v>
      </c>
      <c r="E35" s="743">
        <v>0.08</v>
      </c>
      <c r="F35" s="734">
        <v>0.1</v>
      </c>
      <c r="G35" s="729">
        <v>0.08</v>
      </c>
      <c r="H35" s="63"/>
      <c r="I35" s="65"/>
      <c r="J35" s="65"/>
    </row>
    <row r="36" spans="2:11">
      <c r="B36" s="71" t="s">
        <v>181</v>
      </c>
      <c r="C36" s="65" t="s">
        <v>182</v>
      </c>
      <c r="D36" s="734">
        <v>0</v>
      </c>
      <c r="E36" s="743">
        <v>0</v>
      </c>
      <c r="F36" s="734">
        <v>0</v>
      </c>
      <c r="G36" s="729">
        <v>0</v>
      </c>
      <c r="H36" s="63"/>
      <c r="I36" s="65"/>
      <c r="J36" s="65"/>
    </row>
    <row r="37" spans="2:11">
      <c r="B37" s="71" t="s">
        <v>183</v>
      </c>
      <c r="C37" s="65" t="s">
        <v>184</v>
      </c>
      <c r="D37" s="734">
        <v>3.85</v>
      </c>
      <c r="E37" s="743">
        <v>2.98</v>
      </c>
      <c r="F37" s="734">
        <v>3.85</v>
      </c>
      <c r="G37" s="729">
        <v>2.98</v>
      </c>
      <c r="H37" s="63"/>
      <c r="I37" s="65"/>
      <c r="J37" s="65"/>
    </row>
    <row r="38" spans="2:11" ht="18" customHeight="1">
      <c r="B38" s="71" t="s">
        <v>185</v>
      </c>
      <c r="C38" s="73" t="s">
        <v>186</v>
      </c>
      <c r="D38" s="737">
        <v>0.36</v>
      </c>
      <c r="E38" s="748">
        <v>0.28000000000000003</v>
      </c>
      <c r="F38" s="737">
        <v>0.36</v>
      </c>
      <c r="G38" s="739">
        <v>0.28000000000000003</v>
      </c>
      <c r="H38" s="63"/>
      <c r="I38" s="65"/>
      <c r="J38" s="65"/>
    </row>
    <row r="39" spans="2:11" s="119" customFormat="1" ht="18" customHeight="1">
      <c r="B39" s="478" t="s">
        <v>134</v>
      </c>
      <c r="C39" s="478" t="s">
        <v>97</v>
      </c>
      <c r="D39" s="740">
        <f>SUM(D34:D38)</f>
        <v>8.629999999999999</v>
      </c>
      <c r="E39" s="746">
        <f>SUM(E34:E38)</f>
        <v>6.6800000000000006</v>
      </c>
      <c r="F39" s="732">
        <f>SUM(F34:F38)</f>
        <v>8.629999999999999</v>
      </c>
      <c r="G39" s="732">
        <f>SUM(G34:G38)</f>
        <v>6.6800000000000006</v>
      </c>
      <c r="H39" s="120"/>
      <c r="I39" s="121"/>
      <c r="J39" s="121"/>
    </row>
    <row r="40" spans="2:11" s="119" customFormat="1" ht="18" customHeight="1">
      <c r="B40" s="849" t="s">
        <v>187</v>
      </c>
      <c r="C40" s="849"/>
      <c r="D40" s="850"/>
      <c r="E40" s="850"/>
      <c r="F40" s="850"/>
      <c r="G40" s="850"/>
      <c r="H40" s="120"/>
      <c r="I40" s="121"/>
      <c r="J40" s="121"/>
      <c r="K40" s="123"/>
    </row>
    <row r="41" spans="2:11">
      <c r="B41" s="71" t="s">
        <v>188</v>
      </c>
      <c r="C41" s="65" t="s">
        <v>189</v>
      </c>
      <c r="D41" s="733">
        <v>9.0299999999999994</v>
      </c>
      <c r="E41" s="742">
        <v>3.67</v>
      </c>
      <c r="F41" s="733">
        <v>19.18</v>
      </c>
      <c r="G41" s="738">
        <v>7.79</v>
      </c>
      <c r="H41" s="63"/>
      <c r="I41" s="65"/>
      <c r="J41" s="65"/>
    </row>
    <row r="42" spans="2:11" ht="27">
      <c r="B42" s="71" t="s">
        <v>190</v>
      </c>
      <c r="C42" s="158" t="s">
        <v>191</v>
      </c>
      <c r="D42" s="736">
        <v>0.36</v>
      </c>
      <c r="E42" s="745">
        <v>0.28000000000000003</v>
      </c>
      <c r="F42" s="736">
        <v>0.38</v>
      </c>
      <c r="G42" s="731">
        <v>0.3</v>
      </c>
      <c r="H42" s="63"/>
      <c r="I42" s="65"/>
      <c r="J42" s="65"/>
    </row>
    <row r="43" spans="2:11" s="119" customFormat="1" ht="18" customHeight="1">
      <c r="B43" s="478" t="s">
        <v>245</v>
      </c>
      <c r="C43" s="478" t="s">
        <v>97</v>
      </c>
      <c r="D43" s="740">
        <f>SUM(D41:D42)</f>
        <v>9.3899999999999988</v>
      </c>
      <c r="E43" s="746">
        <f>SUM(E41:E42)</f>
        <v>3.95</v>
      </c>
      <c r="F43" s="732">
        <f>SUM(F41:F42)</f>
        <v>19.559999999999999</v>
      </c>
      <c r="G43" s="732">
        <f>SUM(G41:G42)</f>
        <v>8.09</v>
      </c>
      <c r="H43" s="120"/>
      <c r="I43" s="121"/>
      <c r="J43" s="121"/>
    </row>
    <row r="44" spans="2:11" s="119" customFormat="1" ht="18" customHeight="1">
      <c r="B44" s="477"/>
      <c r="C44" s="476" t="s">
        <v>244</v>
      </c>
      <c r="D44" s="157">
        <f>SUM(D20,D32,D39,D43)</f>
        <v>86.55</v>
      </c>
      <c r="E44" s="156">
        <f>SUM(E20,E32,E39,E43)</f>
        <v>49.040000000000006</v>
      </c>
      <c r="F44" s="157">
        <f>SUM(F20,F32,F39,F43)</f>
        <v>116.72</v>
      </c>
      <c r="G44" s="652">
        <f>SUM(G20,G32,G39,G43)</f>
        <v>73.180000000000007</v>
      </c>
      <c r="H44" s="120"/>
      <c r="I44" s="121"/>
      <c r="J44" s="121"/>
      <c r="K44" s="123"/>
    </row>
    <row r="45" spans="2:11">
      <c r="B45" s="155"/>
      <c r="C45" s="124"/>
      <c r="D45" s="82"/>
      <c r="E45" s="82"/>
      <c r="F45" s="82"/>
      <c r="G45" s="82"/>
      <c r="H45" s="63"/>
      <c r="I45" s="65"/>
      <c r="J45" s="65"/>
    </row>
    <row r="46" spans="2:11">
      <c r="B46" s="155" t="s">
        <v>192</v>
      </c>
      <c r="C46" s="125"/>
      <c r="D46" s="126"/>
      <c r="E46" s="126"/>
      <c r="F46" s="126"/>
      <c r="G46" s="126"/>
      <c r="H46" s="63"/>
      <c r="I46" s="65"/>
      <c r="J46" s="65"/>
    </row>
    <row r="47" spans="2:11">
      <c r="B47" s="126"/>
      <c r="C47" s="82"/>
      <c r="D47" s="82"/>
      <c r="E47" s="82"/>
      <c r="F47" s="82"/>
      <c r="G47" s="82"/>
      <c r="H47" s="63"/>
      <c r="I47" s="65"/>
      <c r="J47" s="65"/>
    </row>
    <row r="48" spans="2:11">
      <c r="B48" s="126"/>
      <c r="C48" s="82"/>
      <c r="D48" s="82"/>
      <c r="E48" s="82"/>
      <c r="F48" s="82"/>
      <c r="G48" s="82"/>
      <c r="H48" s="63"/>
      <c r="I48" s="65"/>
      <c r="J48" s="65"/>
    </row>
    <row r="49" spans="2:10">
      <c r="B49" s="126"/>
      <c r="C49" s="82"/>
      <c r="D49" s="82"/>
      <c r="E49" s="82"/>
      <c r="F49" s="82"/>
      <c r="G49" s="82"/>
      <c r="H49" s="63"/>
      <c r="I49" s="65"/>
      <c r="J49" s="65"/>
    </row>
    <row r="50" spans="2:10">
      <c r="B50" s="126"/>
      <c r="C50" s="82"/>
      <c r="D50" s="82"/>
      <c r="E50" s="82"/>
      <c r="F50" s="82"/>
      <c r="G50" s="82"/>
      <c r="H50" s="63"/>
      <c r="I50" s="65"/>
      <c r="J50" s="65"/>
    </row>
    <row r="51" spans="2:10">
      <c r="B51" s="126"/>
      <c r="C51" s="82"/>
      <c r="D51" s="82"/>
      <c r="E51" s="82"/>
      <c r="F51" s="82"/>
      <c r="G51" s="82"/>
      <c r="H51" s="63"/>
      <c r="I51" s="65"/>
      <c r="J51" s="65"/>
    </row>
    <row r="52" spans="2:10">
      <c r="B52" s="126"/>
      <c r="C52" s="82"/>
      <c r="D52" s="82"/>
      <c r="E52" s="82"/>
      <c r="F52" s="82"/>
      <c r="G52" s="82"/>
      <c r="H52" s="63"/>
      <c r="I52" s="65"/>
      <c r="J52" s="65"/>
    </row>
    <row r="53" spans="2:10">
      <c r="B53" s="126"/>
      <c r="C53" s="82"/>
      <c r="D53" s="82"/>
      <c r="E53" s="82"/>
      <c r="F53" s="82"/>
      <c r="G53" s="82"/>
      <c r="H53" s="63"/>
      <c r="I53" s="65"/>
      <c r="J53" s="65"/>
    </row>
    <row r="54" spans="2:10">
      <c r="B54" s="126"/>
      <c r="C54" s="82"/>
      <c r="D54" s="82"/>
      <c r="E54" s="82"/>
      <c r="F54" s="82"/>
      <c r="G54" s="82"/>
      <c r="H54" s="63"/>
      <c r="I54" s="65"/>
      <c r="J54" s="65"/>
    </row>
    <row r="55" spans="2:10">
      <c r="B55" s="126"/>
      <c r="C55" s="82"/>
      <c r="D55" s="82"/>
      <c r="E55" s="82"/>
      <c r="F55" s="82"/>
      <c r="G55" s="82"/>
      <c r="H55" s="63"/>
      <c r="I55" s="65"/>
      <c r="J55" s="65"/>
    </row>
    <row r="56" spans="2:10">
      <c r="B56" s="126"/>
      <c r="C56" s="82"/>
      <c r="D56" s="82"/>
      <c r="E56" s="82"/>
      <c r="F56" s="82"/>
      <c r="G56" s="82"/>
      <c r="H56" s="63"/>
      <c r="I56" s="65"/>
      <c r="J56" s="65"/>
    </row>
    <row r="57" spans="2:10">
      <c r="B57" s="126"/>
      <c r="C57" s="82"/>
      <c r="D57" s="82"/>
      <c r="E57" s="82"/>
      <c r="F57" s="82"/>
      <c r="G57" s="82"/>
      <c r="H57" s="63"/>
      <c r="I57" s="65"/>
      <c r="J57" s="65"/>
    </row>
    <row r="58" spans="2:10">
      <c r="B58" s="126"/>
      <c r="C58" s="82"/>
      <c r="D58" s="82"/>
      <c r="E58" s="82"/>
      <c r="F58" s="82"/>
      <c r="G58" s="82"/>
      <c r="H58" s="63"/>
      <c r="I58" s="65"/>
      <c r="J58" s="65"/>
    </row>
    <row r="59" spans="2:10">
      <c r="B59" s="126"/>
      <c r="C59" s="82"/>
      <c r="D59" s="82"/>
      <c r="E59" s="82"/>
      <c r="F59" s="82"/>
      <c r="G59" s="82"/>
      <c r="H59" s="63"/>
      <c r="I59" s="65"/>
      <c r="J59" s="65"/>
    </row>
    <row r="60" spans="2:10">
      <c r="B60" s="126"/>
      <c r="C60" s="82"/>
      <c r="D60" s="82"/>
      <c r="E60" s="82"/>
      <c r="F60" s="82"/>
      <c r="G60" s="82"/>
      <c r="H60" s="63"/>
      <c r="I60" s="65"/>
      <c r="J60" s="65"/>
    </row>
    <row r="61" spans="2:10">
      <c r="B61" s="126"/>
      <c r="C61" s="82"/>
      <c r="D61" s="82"/>
      <c r="E61" s="82"/>
      <c r="F61" s="82"/>
      <c r="G61" s="82"/>
      <c r="H61" s="63"/>
      <c r="I61" s="65"/>
      <c r="J61" s="65"/>
    </row>
    <row r="62" spans="2:10">
      <c r="B62" s="126"/>
      <c r="C62" s="82"/>
      <c r="D62" s="82"/>
      <c r="E62" s="82"/>
      <c r="F62" s="82"/>
      <c r="G62" s="82"/>
      <c r="H62" s="63"/>
      <c r="I62" s="65"/>
      <c r="J62" s="65"/>
    </row>
    <row r="63" spans="2:10">
      <c r="B63" s="126"/>
      <c r="C63" s="82"/>
      <c r="D63" s="82"/>
      <c r="E63" s="82"/>
      <c r="F63" s="82"/>
      <c r="G63" s="82"/>
    </row>
    <row r="64" spans="2:10">
      <c r="B64" s="126"/>
      <c r="C64" s="82"/>
      <c r="D64" s="82"/>
      <c r="E64" s="82"/>
      <c r="F64" s="82"/>
      <c r="G64" s="82"/>
    </row>
    <row r="65" spans="2:7">
      <c r="B65" s="126"/>
      <c r="C65" s="82"/>
      <c r="D65" s="82"/>
      <c r="E65" s="82"/>
      <c r="F65" s="82"/>
      <c r="G65" s="82"/>
    </row>
    <row r="66" spans="2:7">
      <c r="B66" s="126"/>
      <c r="C66" s="82"/>
      <c r="D66" s="82"/>
      <c r="E66" s="82"/>
      <c r="F66" s="82"/>
      <c r="G66" s="82"/>
    </row>
    <row r="67" spans="2:7">
      <c r="B67" s="126"/>
      <c r="C67" s="82"/>
      <c r="D67" s="82"/>
      <c r="E67" s="82"/>
      <c r="F67" s="82"/>
      <c r="G67" s="82"/>
    </row>
    <row r="68" spans="2:7">
      <c r="B68" s="126"/>
      <c r="C68" s="82"/>
      <c r="D68" s="82"/>
      <c r="E68" s="82"/>
      <c r="F68" s="82"/>
      <c r="G68" s="82"/>
    </row>
    <row r="69" spans="2:7">
      <c r="B69" s="126"/>
      <c r="C69" s="82"/>
      <c r="D69" s="82"/>
      <c r="E69" s="82"/>
      <c r="F69" s="82"/>
      <c r="G69" s="82"/>
    </row>
    <row r="70" spans="2:7">
      <c r="B70" s="126"/>
      <c r="C70" s="82"/>
      <c r="D70" s="82"/>
      <c r="E70" s="82"/>
      <c r="F70" s="82"/>
      <c r="G70" s="82"/>
    </row>
    <row r="71" spans="2:7">
      <c r="B71" s="126"/>
      <c r="C71" s="82"/>
      <c r="D71" s="82"/>
      <c r="E71" s="82"/>
      <c r="F71" s="82"/>
      <c r="G71" s="82"/>
    </row>
    <row r="72" spans="2:7">
      <c r="B72" s="126"/>
      <c r="C72" s="82"/>
      <c r="D72" s="82"/>
      <c r="E72" s="82"/>
      <c r="F72" s="82"/>
      <c r="G72" s="82"/>
    </row>
    <row r="73" spans="2:7">
      <c r="B73" s="126"/>
      <c r="C73" s="82"/>
      <c r="D73" s="82"/>
      <c r="E73" s="82"/>
      <c r="F73" s="82"/>
      <c r="G73" s="82"/>
    </row>
    <row r="74" spans="2:7">
      <c r="B74" s="126"/>
      <c r="C74" s="82"/>
      <c r="D74" s="82"/>
      <c r="E74" s="82"/>
      <c r="F74" s="82"/>
      <c r="G74" s="82"/>
    </row>
    <row r="75" spans="2:7">
      <c r="B75" s="126"/>
      <c r="C75" s="82"/>
      <c r="D75" s="82"/>
      <c r="E75" s="82"/>
      <c r="F75" s="82"/>
      <c r="G75" s="82"/>
    </row>
    <row r="76" spans="2:7">
      <c r="B76" s="126"/>
      <c r="C76" s="82"/>
      <c r="D76" s="82"/>
      <c r="E76" s="82"/>
      <c r="F76" s="82"/>
      <c r="G76" s="82"/>
    </row>
    <row r="77" spans="2:7">
      <c r="B77" s="126"/>
      <c r="C77" s="82"/>
      <c r="D77" s="82"/>
      <c r="E77" s="82"/>
      <c r="F77" s="82"/>
      <c r="G77" s="82"/>
    </row>
    <row r="78" spans="2:7">
      <c r="B78" s="126"/>
      <c r="C78" s="82"/>
      <c r="D78" s="82"/>
      <c r="E78" s="82"/>
      <c r="F78" s="82"/>
      <c r="G78" s="82"/>
    </row>
    <row r="79" spans="2:7">
      <c r="B79" s="126"/>
      <c r="C79" s="82"/>
      <c r="D79" s="82"/>
      <c r="E79" s="82"/>
      <c r="F79" s="82"/>
      <c r="G79" s="82"/>
    </row>
    <row r="80" spans="2:7">
      <c r="B80" s="126"/>
      <c r="C80" s="82"/>
      <c r="D80" s="82"/>
      <c r="E80" s="82"/>
      <c r="F80" s="82"/>
      <c r="G80" s="82"/>
    </row>
    <row r="81" spans="2:7">
      <c r="B81" s="126"/>
      <c r="C81" s="82"/>
      <c r="D81" s="82"/>
      <c r="E81" s="82"/>
      <c r="F81" s="82"/>
      <c r="G81" s="82"/>
    </row>
    <row r="82" spans="2:7">
      <c r="B82" s="126"/>
      <c r="C82" s="82"/>
      <c r="D82" s="82"/>
      <c r="E82" s="82"/>
      <c r="F82" s="82"/>
      <c r="G82" s="82"/>
    </row>
    <row r="83" spans="2:7">
      <c r="B83" s="71"/>
      <c r="C83" s="65"/>
      <c r="D83" s="65"/>
      <c r="E83" s="65"/>
      <c r="F83" s="65"/>
      <c r="G83" s="65"/>
    </row>
    <row r="84" spans="2:7">
      <c r="B84" s="71"/>
      <c r="C84" s="65"/>
      <c r="D84" s="65"/>
      <c r="E84" s="65"/>
      <c r="F84" s="65"/>
      <c r="G84" s="65"/>
    </row>
    <row r="85" spans="2:7">
      <c r="B85" s="71"/>
      <c r="C85" s="65"/>
      <c r="D85" s="65"/>
      <c r="E85" s="65"/>
      <c r="F85" s="65"/>
      <c r="G85" s="65"/>
    </row>
    <row r="86" spans="2:7">
      <c r="B86" s="71"/>
      <c r="C86" s="65"/>
      <c r="D86" s="65"/>
      <c r="E86" s="65"/>
      <c r="F86" s="65"/>
      <c r="G86" s="65"/>
    </row>
    <row r="87" spans="2:7">
      <c r="B87" s="71"/>
      <c r="C87" s="65"/>
      <c r="D87" s="65"/>
      <c r="E87" s="65"/>
      <c r="F87" s="65"/>
      <c r="G87" s="65"/>
    </row>
    <row r="88" spans="2:7">
      <c r="B88" s="71"/>
      <c r="C88" s="65"/>
      <c r="D88" s="65"/>
      <c r="E88" s="65"/>
      <c r="F88" s="65"/>
      <c r="G88" s="65"/>
    </row>
    <row r="89" spans="2:7">
      <c r="B89" s="71"/>
      <c r="C89" s="65"/>
      <c r="D89" s="65"/>
      <c r="E89" s="65"/>
      <c r="F89" s="65"/>
      <c r="G89" s="65"/>
    </row>
    <row r="90" spans="2:7">
      <c r="B90" s="71"/>
      <c r="C90" s="65"/>
      <c r="D90" s="65"/>
      <c r="E90" s="65"/>
      <c r="F90" s="65"/>
      <c r="G90" s="65"/>
    </row>
    <row r="91" spans="2:7">
      <c r="B91" s="71"/>
      <c r="C91" s="65"/>
      <c r="D91" s="65"/>
      <c r="E91" s="65"/>
      <c r="F91" s="65"/>
      <c r="G91" s="65"/>
    </row>
    <row r="92" spans="2:7">
      <c r="B92" s="829"/>
      <c r="C92" s="829"/>
      <c r="D92" s="65"/>
      <c r="E92" s="65"/>
      <c r="F92" s="65"/>
      <c r="G92" s="65"/>
    </row>
    <row r="93" spans="2:7">
      <c r="B93" s="829"/>
      <c r="C93" s="829"/>
      <c r="D93" s="65"/>
      <c r="E93" s="65"/>
      <c r="F93" s="65"/>
      <c r="G93" s="65"/>
    </row>
  </sheetData>
  <mergeCells count="12">
    <mergeCell ref="C6:G6"/>
    <mergeCell ref="B7:G7"/>
    <mergeCell ref="B8:B9"/>
    <mergeCell ref="C8:C9"/>
    <mergeCell ref="D8:E8"/>
    <mergeCell ref="F8:G8"/>
    <mergeCell ref="B93:C93"/>
    <mergeCell ref="B10:G10"/>
    <mergeCell ref="B21:G21"/>
    <mergeCell ref="B33:G33"/>
    <mergeCell ref="B40:G40"/>
    <mergeCell ref="B92:C92"/>
  </mergeCells>
  <hyperlinks>
    <hyperlink ref="I3" location="INÍCIO!B15" display="INÍCIO"/>
  </hyperlinks>
  <printOptions horizontalCentered="1"/>
  <pageMargins left="0.39370078740157483" right="0.39370078740157483" top="0.39370078740157483" bottom="0.98425196850393704" header="0.39370078740157483" footer="0.39370078740157483"/>
  <pageSetup paperSize="9" scale="59" orientation="portrait" r:id="rId1"/>
  <headerFooter>
    <oddFooter>&amp;C&amp;"Courier New,Normal"&amp;8Prefeitura da UFRJ
Praça Jorge Machado Moreira, 100 - Cidade Universitária - Ilha do Fundão
CEP 21941-598 - Rio de Janeiro-RJ - Cx. Postal 68.010
Tel:21 2598-9324&amp;R&amp;"Courier New,Normal"&amp;8Página: &amp;P/&amp;N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12</vt:i4>
      </vt:variant>
    </vt:vector>
  </HeadingPairs>
  <TitlesOfParts>
    <vt:vector size="20" baseType="lpstr">
      <vt:lpstr>EAP</vt:lpstr>
      <vt:lpstr>INÍCIO</vt:lpstr>
      <vt:lpstr>GERAL</vt:lpstr>
      <vt:lpstr>EQUIPAMENTOS</vt:lpstr>
      <vt:lpstr>COMPOSICOES</vt:lpstr>
      <vt:lpstr>ABC SERVIÇOS</vt:lpstr>
      <vt:lpstr>BDI</vt:lpstr>
      <vt:lpstr>ENCARGOS SOCIAIS</vt:lpstr>
      <vt:lpstr>'ABC SERVIÇOS'!Area_de_impressao</vt:lpstr>
      <vt:lpstr>BDI!Area_de_impressao</vt:lpstr>
      <vt:lpstr>COMPOSICOES!Area_de_impressao</vt:lpstr>
      <vt:lpstr>EAP!Area_de_impressao</vt:lpstr>
      <vt:lpstr>'ENCARGOS SOCIAIS'!Area_de_impressao</vt:lpstr>
      <vt:lpstr>EQUIPAMENTOS!Area_de_impressao</vt:lpstr>
      <vt:lpstr>GERAL!Area_de_impressao</vt:lpstr>
      <vt:lpstr>INÍCIO!Area_de_impressao</vt:lpstr>
      <vt:lpstr>'ABC SERVIÇOS'!Titulos_de_impressao</vt:lpstr>
      <vt:lpstr>COMPOSICOES!Titulos_de_impressao</vt:lpstr>
      <vt:lpstr>GERAL!Titulos_de_impressao</vt:lpstr>
      <vt:lpstr>INÍCIO!Titulos_de_impressao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2006-09-25T12:47:36Z</dcterms:created>
  <dcterms:modified xsi:type="dcterms:W3CDTF">2021-08-17T21:27:44Z</dcterms:modified>
</cp:coreProperties>
</file>