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24.xml.rels" ContentType="application/vnd.openxmlformats-package.relationships+xml"/>
  <Override PartName="/xl/worksheets/_rels/sheet25.xml.rels" ContentType="application/vnd.openxmlformats-package.relationships+xml"/>
  <Override PartName="/xl/worksheets/_rels/sheet28.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media/image2.wmf" ContentType="image/x-wmf"/>
  <Override PartName="/xl/media/image1.jpeg" ContentType="image/jpeg"/>
  <Override PartName="/xl/media/image3.jpeg" ContentType="image/jpeg"/>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PRESENTACAO" sheetId="1" state="visible" r:id="rId2"/>
    <sheet name="LOTE_I_-_Custo_M2" sheetId="2" state="visible" r:id="rId3"/>
    <sheet name="Insumo_LOTE_I" sheetId="3" state="visible" r:id="rId4"/>
    <sheet name="Insumos_Cotação" sheetId="4" state="visible" r:id="rId5"/>
    <sheet name="Uniformes" sheetId="5" state="visible" r:id="rId6"/>
    <sheet name="Coletor_de_Residuo_Seg_a_Sex" sheetId="6" state="visible" r:id="rId7"/>
    <sheet name="Men_Cal_Coletor" sheetId="7" state="visible" r:id="rId8"/>
    <sheet name="Servente_44_seg_a_sex" sheetId="8" state="visible" r:id="rId9"/>
    <sheet name="Mem_Cal_Serv_44_seg_a_sex" sheetId="9" state="visible" r:id="rId10"/>
    <sheet name="Servente_44_seg_a_sex+insal40" sheetId="10" state="visible" r:id="rId11"/>
    <sheet name="Men_Cal_Serv_44_segasexinsal40" sheetId="11" state="visible" r:id="rId12"/>
    <sheet name="Servente_44_seg_a_sex+insal20" sheetId="12" state="visible" r:id="rId13"/>
    <sheet name="Men_Cal_Serv_44_segasexinsal20" sheetId="13" state="visible" r:id="rId14"/>
    <sheet name="Servente_Lider_44_seg_a_sex" sheetId="14" state="visible" r:id="rId15"/>
    <sheet name="Men_Cal_Serv_Lider_44_seg_a_sex" sheetId="15" state="visible" r:id="rId16"/>
    <sheet name="Serv_44_seg_a_sab" sheetId="16" state="visible" r:id="rId17"/>
    <sheet name="Mem_Cal_Serv_44_seg_a_sab" sheetId="17" state="visible" r:id="rId18"/>
    <sheet name="Serv_44_Seg_a_Sab+insal" sheetId="18" state="visible" r:id="rId19"/>
    <sheet name="Mem_Cal_Serv_44_Seg_a_Sab+insal" sheetId="19" state="visible" r:id="rId20"/>
    <sheet name="Servente_Lider_44_seg_a_sab" sheetId="20" state="visible" r:id="rId21"/>
    <sheet name="Men_Cal_Serv_Lider_44_seg_a_sab" sheetId="21" state="visible" r:id="rId22"/>
    <sheet name="Encarregado_44h_seg_a_sab" sheetId="22" state="visible" r:id="rId23"/>
    <sheet name="Mem_Calc_Encerregado_44h" sheetId="23" state="visible" r:id="rId24"/>
    <sheet name="IMR_" sheetId="24" state="visible" r:id="rId25"/>
    <sheet name="Consolidador" sheetId="25" state="visible" r:id="rId26"/>
    <sheet name="Controle_Mat_Lote_I_" sheetId="26" state="visible" r:id="rId27"/>
    <sheet name="Controle_Mat_Lote_II" sheetId="27" state="visible" r:id="rId28"/>
    <sheet name="Controle_Area_Fisica_Lote_I" sheetId="28" state="visible" r:id="rId29"/>
  </sheets>
  <definedNames>
    <definedName function="false" hidden="false" localSheetId="0" name="Print_Area" vbProcedure="false">APRESENTACAO!$A$1:$G$37</definedName>
    <definedName function="false" hidden="false" localSheetId="1" name="Print_Area" vbProcedure="false">lote_i_--:lote_i_-#REF!</definedName>
    <definedName function="false" hidden="false" localSheetId="2" name="Print_Area" vbProcedure="false">Insumo_LOTE_I!$A$1:$O$102</definedName>
    <definedName function="false" hidden="false" localSheetId="3" name="Print_Area" vbProcedure="false">Insumos_Cotação!$A$1:$S$114</definedName>
    <definedName function="false" hidden="false" localSheetId="4" name="Print_Area" vbProcedure="false">Uniformes!$A$1:$F$32</definedName>
    <definedName function="false" hidden="false" localSheetId="5" name="Print_Area" vbProcedure="false">Coletor_de_Residuo_Seg_a_Sex!$A$1:$D$152</definedName>
    <definedName function="false" hidden="false" localSheetId="6" name="Print_Area" vbProcedure="false">Men_Cal_Coletor!$A$1:$C$124</definedName>
    <definedName function="false" hidden="false" localSheetId="7" name="Print_Area" vbProcedure="false">Servente_44_seg_a_sex!$A$1:$D$153</definedName>
    <definedName function="false" hidden="false" localSheetId="8" name="Print_Area" vbProcedure="false">Mem_Cal_Serv_44_seg_a_sex!$A$1:$C$124</definedName>
    <definedName function="false" hidden="false" localSheetId="9" name="Print_Area" vbProcedure="false">servente_44_seg_a_sex++:servente_44_seg_a_sex+#REF!</definedName>
    <definedName function="false" hidden="false" localSheetId="11" name="Print_Area" vbProcedure="false">servente_44_seg_a_sex++:servente_44_seg_a_sex+#REF!</definedName>
    <definedName function="false" hidden="false" localSheetId="12" name="Print_Area" vbProcedure="false">Men_Cal_Serv_44_segasexinsal20!$A$1:$C$123</definedName>
    <definedName function="false" hidden="false" localSheetId="13" name="Print_Area" vbProcedure="false">Servente_Lider_44_seg_a_sex!$A$1:$D$155</definedName>
    <definedName function="false" hidden="false" localSheetId="14" name="Print_Area" vbProcedure="false">Men_Cal_Serv_Lider_44_seg_a_sex!$A$1:$C$122</definedName>
    <definedName function="false" hidden="false" localSheetId="16" name="Print_Area" vbProcedure="false">Mem_Cal_Serv_44_seg_a_sab!$A$1:$C$124</definedName>
    <definedName function="false" hidden="false" localSheetId="17" name="Print_Area" vbProcedure="false">serv_44_seg_a_sab++:serv_44_seg_a_sab+#REF!</definedName>
    <definedName function="false" hidden="false" localSheetId="18" name="Print_Area" vbProcedure="false">mem_cal_serv_44_seg_a_sab++:mem_cal_serv_44_seg_a_sab+#REF!</definedName>
    <definedName function="false" hidden="false" localSheetId="19" name="Print_Area" vbProcedure="false">Servente_Lider_44_seg_a_sab!$A$1:$D$155</definedName>
    <definedName function="false" hidden="false" localSheetId="20" name="Print_Area" vbProcedure="false">Men_Cal_Serv_Lider_44_seg_a_sab!$A$1:$C$122</definedName>
    <definedName function="false" hidden="false" localSheetId="21" name="Print_Area" vbProcedure="false">Encarregado_44h_seg_a_sab!$A$1:$D$154</definedName>
    <definedName function="false" hidden="false" localSheetId="22" name="Print_Area" vbProcedure="false">Mem_Calc_Encerregado_44h!$A$1:$C$126</definedName>
    <definedName function="false" hidden="false" localSheetId="23" name="Print_Area" vbProcedure="false">IMR_!$A$1:$M$110</definedName>
    <definedName function="false" hidden="false" localSheetId="24" name="Print_Area" vbProcedure="false">Consolidador!$A$1:$J$52</definedName>
    <definedName function="false" hidden="false" localSheetId="25" name="Print_Area" vbProcedure="false">Controle_Mat_Lote_I_!$A$2:$AE$105</definedName>
    <definedName function="false" hidden="false" localSheetId="25" name="Print_Titles" vbProcedure="false">Controle_Mat_Lote_I_!$A:$C</definedName>
  </definedName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<sst xmlns="http://schemas.openxmlformats.org/spreadsheetml/2006/main" count="4621" uniqueCount="767">
  <si>
    <t xml:space="preserve">Processo Administrativo nº.</t>
  </si>
  <si>
    <t xml:space="preserve">nº. 23079.004798/2018-98</t>
  </si>
  <si>
    <t xml:space="preserve">Licitação nº.</t>
  </si>
  <si>
    <t xml:space="preserve">Dia ___/___/_____ às ___:___ horas</t>
  </si>
  <si>
    <r>
      <rPr>
        <b val="true"/>
        <sz val="14"/>
        <color rgb="FFFF0000"/>
        <rFont val="Spranq eco sans"/>
        <family val="0"/>
      </rPr>
      <t xml:space="preserve">IMPORTANTE </t>
    </r>
    <r>
      <rPr>
        <b val="true"/>
        <sz val="14"/>
        <color rgb="FFFF0000"/>
        <rFont val="Arial"/>
        <family val="0"/>
      </rPr>
      <t xml:space="preserve">↓</t>
    </r>
  </si>
  <si>
    <t xml:space="preserve">Seu preenchimento é de responsabilidade da Empresa que enviará a cotação </t>
  </si>
  <si>
    <t xml:space="preserve">Os itens marcados com a cor</t>
  </si>
  <si>
    <t xml:space="preserve"> em geral são os itens que devem ser preenchidos pela Empresa</t>
  </si>
  <si>
    <t xml:space="preserve">Caso a Empresa não concorde com o modelo de calculo apresentado, este poderá ser alterado.</t>
  </si>
  <si>
    <t xml:space="preserve">Esta alteração deve sempre ser feita de forma aberta, auditável e de clara compreensão.</t>
  </si>
  <si>
    <t xml:space="preserve">A Empresa deverá sempre demonstrar seus cálculos na aba correspondente a memória de cálculo do cargo.</t>
  </si>
  <si>
    <t xml:space="preserve">Empresa:</t>
  </si>
  <si>
    <t xml:space="preserve">Endereço:</t>
  </si>
  <si>
    <t xml:space="preserve">Data:</t>
  </si>
  <si>
    <t xml:space="preserve"> Discriminação dos Serviços (dados referentes à contratação)</t>
  </si>
  <si>
    <t xml:space="preserve">A</t>
  </si>
  <si>
    <t xml:space="preserve">Data de apresentação da proposta (dia/mês/ano) </t>
  </si>
  <si>
    <t xml:space="preserve">B</t>
  </si>
  <si>
    <t xml:space="preserve">Município/UF </t>
  </si>
  <si>
    <t xml:space="preserve">Rio de Janeiro/RJ</t>
  </si>
  <si>
    <t xml:space="preserve">C</t>
  </si>
  <si>
    <t xml:space="preserve">Ano Acordo, Convenção ou Sentença Normativa em Dissídio Coletivo</t>
  </si>
  <si>
    <t xml:space="preserve">D</t>
  </si>
  <si>
    <t xml:space="preserve">Nº de meses de execução contratual</t>
  </si>
  <si>
    <t xml:space="preserve">Salários da Categoria</t>
  </si>
  <si>
    <t xml:space="preserve">Piso  Profissional Servente (CBO 5143-20)</t>
  </si>
  <si>
    <t xml:space="preserve">Piso  Profissional Coletor de Resíduos (CBO 5142-30)</t>
  </si>
  <si>
    <t xml:space="preserve">Piso Profissional Encarregado (CBO 4101-05)</t>
  </si>
  <si>
    <t xml:space="preserve">Identificação do Serviço</t>
  </si>
  <si>
    <t xml:space="preserve">Tipo de Serviço</t>
  </si>
  <si>
    <t xml:space="preserve">Serviço de limpeza e conservação e Coleta de Resíduos - Item I -  Área do Prédio do CCS</t>
  </si>
  <si>
    <t xml:space="preserve">VALOR ESTIMADO  ITEM I</t>
  </si>
  <si>
    <t xml:space="preserve">Item</t>
  </si>
  <si>
    <t xml:space="preserve">Descrição</t>
  </si>
  <si>
    <t xml:space="preserve">Unidade de Medida</t>
  </si>
  <si>
    <t xml:space="preserve">Produtividade</t>
  </si>
  <si>
    <t xml:space="preserve">QTD</t>
  </si>
  <si>
    <t xml:space="preserve">Valor Mensal Estimado</t>
  </si>
  <si>
    <t xml:space="preserve">Valor Anual Estimado</t>
  </si>
  <si>
    <t xml:space="preserve">00002519-4 - Prestação de Serviço especializado de limpeza</t>
  </si>
  <si>
    <t xml:space="preserve">MÊS</t>
  </si>
  <si>
    <t xml:space="preserve">Valor Mensal</t>
  </si>
  <si>
    <t xml:space="preserve">Valor Anual</t>
  </si>
  <si>
    <t xml:space="preserve">ITEM I - Prédio do CCS</t>
  </si>
  <si>
    <t xml:space="preserve">Tipo de Área</t>
  </si>
  <si>
    <t xml:space="preserve">Referência</t>
  </si>
  <si>
    <t xml:space="preserve">Característica</t>
  </si>
  <si>
    <r>
      <rPr>
        <b val="true"/>
        <sz val="8"/>
        <color rgb="FF000000"/>
        <rFont val="Spranq eco sans"/>
        <family val="0"/>
      </rPr>
      <t xml:space="preserve">Índice de produtividade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</si>
  <si>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Física (m</t>
    </r>
    <r>
      <rPr>
        <b val="true"/>
        <vertAlign val="superscript"/>
        <sz val="8"/>
        <color rgb="FF000000"/>
        <rFont val="Spranq eco sans"/>
        <family val="0"/>
      </rPr>
      <t xml:space="preserve">2</t>
    </r>
    <r>
      <rPr>
        <b val="true"/>
        <sz val="8"/>
        <color rgb="FF000000"/>
        <rFont val="Spranq eco sans"/>
        <family val="0"/>
      </rPr>
      <t xml:space="preserve">)</t>
    </r>
  </si>
  <si>
    <t xml:space="preserve">Conversão</t>
  </si>
  <si>
    <t xml:space="preserve">LOTE I - UNIDADES ÁREA CCS - UFRJ</t>
  </si>
  <si>
    <t xml:space="preserve">Interna</t>
  </si>
  <si>
    <t xml:space="preserve">A.1</t>
  </si>
  <si>
    <t xml:space="preserve">Ordinária</t>
  </si>
  <si>
    <t xml:space="preserve">A.2</t>
  </si>
  <si>
    <t xml:space="preserve">Salões, Halls e Corredores</t>
  </si>
  <si>
    <t xml:space="preserve">Período:</t>
  </si>
  <si>
    <t xml:space="preserve">Mensal</t>
  </si>
  <si>
    <t xml:space="preserve">A.3</t>
  </si>
  <si>
    <t xml:space="preserve">Oficinas</t>
  </si>
  <si>
    <t xml:space="preserve">Carga semanal:</t>
  </si>
  <si>
    <t xml:space="preserve">44 (quarenta e quatro) horas - segunda a sexta-feira, com variação no turno para cumprimento das 4 (quatro) horas excedentes</t>
  </si>
  <si>
    <t xml:space="preserve">A.4</t>
  </si>
  <si>
    <t xml:space="preserve">Laboratórios</t>
  </si>
  <si>
    <t xml:space="preserve">Característica:</t>
  </si>
  <si>
    <t xml:space="preserve">insalubridade somente para área de banheiro / demais áreas somente com laudo</t>
  </si>
  <si>
    <t xml:space="preserve">A.5</t>
  </si>
  <si>
    <t xml:space="preserve">Almoxarifado / Galpão</t>
  </si>
  <si>
    <r>
      <rPr>
        <b val="true"/>
        <sz val="8"/>
        <color rgb="FF000000"/>
        <rFont val="Spranq eco sans"/>
        <family val="0"/>
      </rPr>
      <t xml:space="preserve">preço por m</t>
    </r>
    <r>
      <rPr>
        <b val="true"/>
        <vertAlign val="superscript"/>
        <sz val="8"/>
        <color rgb="FF000000"/>
        <rFont val="Spranq eco sans"/>
        <family val="0"/>
      </rPr>
      <t xml:space="preserve">2</t>
    </r>
  </si>
  <si>
    <t xml:space="preserve">Custo Total (R$)</t>
  </si>
  <si>
    <t xml:space="preserve">A.6</t>
  </si>
  <si>
    <t xml:space="preserve">Banheiros</t>
  </si>
  <si>
    <t xml:space="preserve">Sem insalubridade </t>
  </si>
  <si>
    <t xml:space="preserve">A.7</t>
  </si>
  <si>
    <t xml:space="preserve">Hospitalar Crítica ou Assemelhada</t>
  </si>
  <si>
    <t xml:space="preserve">Com insalubridade </t>
  </si>
  <si>
    <t xml:space="preserve">Externa</t>
  </si>
  <si>
    <t xml:space="preserve">B.1</t>
  </si>
  <si>
    <t xml:space="preserve">Externa </t>
  </si>
  <si>
    <t xml:space="preserve">Unidade / Local</t>
  </si>
  <si>
    <t xml:space="preserve">Turno</t>
  </si>
  <si>
    <r>
      <rPr>
        <b val="true"/>
        <sz val="8"/>
        <color rgb="FF000000"/>
        <rFont val="Spranq eco sans"/>
        <family val="0"/>
      </rPr>
      <t xml:space="preserve">Área A.1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</si>
  <si>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A.2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</si>
  <si>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A.3 (m</t>
    </r>
    <r>
      <rPr>
        <b val="true"/>
        <vertAlign val="superscript"/>
        <sz val="8"/>
        <color rgb="FF000000"/>
        <rFont val="Spranq eco sans"/>
        <family val="0"/>
      </rPr>
      <t xml:space="preserve">2</t>
    </r>
    <r>
      <rPr>
        <b val="true"/>
        <sz val="8"/>
        <color rgb="FF000000"/>
        <rFont val="Spranq eco sans"/>
        <family val="0"/>
      </rPr>
      <t xml:space="preserve">)</t>
    </r>
  </si>
  <si>
    <t xml:space="preserve">Área A.4 (m²)</t>
  </si>
  <si>
    <t xml:space="preserve">Área A.5 (m²)</t>
  </si>
  <si>
    <t xml:space="preserve">Área A.6 (m²)</t>
  </si>
  <si>
    <r>
      <rPr>
        <b val="true"/>
        <sz val="8"/>
        <color rgb="FF000000"/>
        <rFont val="Spranq eco sans"/>
        <family val="0"/>
      </rPr>
      <t xml:space="preserve">Área B.1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</si>
  <si>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B.2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</si>
  <si>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C.1 (m</t>
    </r>
    <r>
      <rPr>
        <b val="true"/>
        <vertAlign val="superscript"/>
        <sz val="8"/>
        <color rgb="FF000000"/>
        <rFont val="Spranq eco sans"/>
        <family val="0"/>
      </rPr>
      <t xml:space="preserve">2</t>
    </r>
    <r>
      <rPr>
        <b val="true"/>
        <sz val="8"/>
        <color rgb="FF000000"/>
        <rFont val="Spranq eco sans"/>
        <family val="0"/>
      </rPr>
      <t xml:space="preserve">)</t>
    </r>
  </si>
  <si>
    <r>
      <rPr>
        <b val="true"/>
        <sz val="8"/>
        <color rgb="FF000000"/>
        <rFont val="Spranq eco sans"/>
        <family val="0"/>
      </rPr>
      <t xml:space="preserve">Área C.2 (m</t>
    </r>
    <r>
      <rPr>
        <b val="true"/>
        <vertAlign val="superscript"/>
        <sz val="8"/>
        <color rgb="FF000000"/>
        <rFont val="Spranq eco sans"/>
        <family val="0"/>
      </rPr>
      <t xml:space="preserve">2</t>
    </r>
    <r>
      <rPr>
        <b val="true"/>
        <sz val="8"/>
        <color rgb="FF000000"/>
        <rFont val="Spranq eco sans"/>
        <family val="0"/>
      </rPr>
      <t xml:space="preserve">)</t>
    </r>
  </si>
  <si>
    <t xml:space="preserve">B.2</t>
  </si>
  <si>
    <t xml:space="preserve">Externa Pisos e Pavimentos</t>
  </si>
  <si>
    <t xml:space="preserve">FACULDADE DE FARMÁCIA - FF</t>
  </si>
  <si>
    <t xml:space="preserve">Diurno</t>
  </si>
  <si>
    <t xml:space="preserve">Esquadrias</t>
  </si>
  <si>
    <t xml:space="preserve">C.1</t>
  </si>
  <si>
    <t xml:space="preserve">Esquadrias Face Interna</t>
  </si>
  <si>
    <t xml:space="preserve">Vespertino</t>
  </si>
  <si>
    <t xml:space="preserve">Esquadrias Face Externa</t>
  </si>
  <si>
    <t xml:space="preserve">INSTITUTO DE BIOFÍSICA - IBCCF</t>
  </si>
  <si>
    <t xml:space="preserve">Área Física Total (m²):</t>
  </si>
  <si>
    <t xml:space="preserve">INSTITUTO DE BIOLOGIA - IB</t>
  </si>
  <si>
    <r>
      <rPr>
        <sz val="8"/>
        <color rgb="FF000000"/>
        <rFont val="Spranq eco sans"/>
        <family val="0"/>
      </rPr>
      <t xml:space="preserve">Horários -  com uma hora de almoço </t>
    </r>
    <r>
      <rPr>
        <vertAlign val="superscript"/>
        <sz val="8"/>
        <color rgb="FF000000"/>
        <rFont val="Spranq eco sans"/>
        <family val="0"/>
      </rPr>
      <t xml:space="preserve">(*)</t>
    </r>
  </si>
  <si>
    <t xml:space="preserve">CENTRO NACIONAL DE IDENTIFICÇÃO MOLECULAR DO PESCADO - CENIMP</t>
  </si>
  <si>
    <t xml:space="preserve">Diurno =&gt; segunda  a sexta 7h as 16:48h </t>
  </si>
  <si>
    <t xml:space="preserve">INSITUTO DE BIOQUÍMICA - IBqM</t>
  </si>
  <si>
    <t xml:space="preserve">Vespertino =&gt; segunda a sexta 12:12h as 22h</t>
  </si>
  <si>
    <t xml:space="preserve">INSTITUTO DE CIÊNCIAS BIOMÉDICAS - ANEXO - ICB</t>
  </si>
  <si>
    <t xml:space="preserve">Diurno =&gt; segunda  a sexta 6h as 15h  sábado 8h as 12h</t>
  </si>
  <si>
    <t xml:space="preserve">INSTITUTO DE CIÊNCIAS BIOMÉDICAS - ICB</t>
  </si>
  <si>
    <t xml:space="preserve">Vespertino =&gt; segunda a sexta 13h as 22h sábado 14h as 18h</t>
  </si>
  <si>
    <t xml:space="preserve">INSTITUTO DE MICROBIOLOGIA - IMPPG</t>
  </si>
  <si>
    <t xml:space="preserve">INSTITUTO DE NUTRIÇÃO - INJC</t>
  </si>
  <si>
    <t xml:space="preserve">Base de Calculo para Esquadrias Face Interna</t>
  </si>
  <si>
    <r>
      <rPr>
        <sz val="9"/>
        <color rgb="FF000000"/>
        <rFont val="Spranq eco sans"/>
        <family val="0"/>
      </rPr>
      <t xml:space="preserve">Esquadria Servente </t>
    </r>
    <r>
      <rPr>
        <vertAlign val="superscript"/>
        <sz val="9"/>
        <color rgb="FF000000"/>
        <rFont val="Spranq eco sans"/>
        <family val="0"/>
      </rPr>
      <t xml:space="preserve">(1)</t>
    </r>
  </si>
  <si>
    <t xml:space="preserve">NUCLEO DE PESQUISA EM PRODUTOS NATURAIS - INPPN</t>
  </si>
  <si>
    <t xml:space="preserve">1/Produtividade</t>
  </si>
  <si>
    <t xml:space="preserve">NÚCLEO DE TEC. EDUCACIONAL PARA A SAÚDE - NUTES</t>
  </si>
  <si>
    <t xml:space="preserve">16 horas</t>
  </si>
  <si>
    <t xml:space="preserve">ESCOLA DE ENFERMAGEM - PREDIO DO CCS - EEAN</t>
  </si>
  <si>
    <t xml:space="preserve">1/188,76 horas trab. Mês</t>
  </si>
  <si>
    <t xml:space="preserve">CENTRO NACIONAL DE BIOLOGIA ESTRUTUAL E BIOIMAGEM - CENABIO</t>
  </si>
  <si>
    <t xml:space="preserve">Ki</t>
  </si>
  <si>
    <t xml:space="preserve">Total da Área</t>
  </si>
  <si>
    <t xml:space="preserve">Total Mensal Estimado</t>
  </si>
  <si>
    <r>
      <rPr>
        <sz val="9"/>
        <color rgb="FF000000"/>
        <rFont val="Spranq eco sans"/>
        <family val="0"/>
      </rPr>
      <t xml:space="preserve">Esquadria Encarregado </t>
    </r>
    <r>
      <rPr>
        <vertAlign val="superscript"/>
        <sz val="9"/>
        <color rgb="FF000000"/>
        <rFont val="Spranq eco sans"/>
        <family val="0"/>
      </rPr>
      <t xml:space="preserve">(2)</t>
    </r>
  </si>
  <si>
    <t xml:space="preserve">1/(Produtividade*30)</t>
  </si>
  <si>
    <t xml:space="preserve">44 (quarenta e quatro) horas - 8 (oito) horas de segunda a sexta-feira e 4 (quatro) horas aos sábados </t>
  </si>
  <si>
    <t xml:space="preserve">Base de Calculo para Esquadrias Face Externa</t>
  </si>
  <si>
    <r>
      <rPr>
        <sz val="9"/>
        <color rgb="FF000000"/>
        <rFont val="Spranq eco sans"/>
        <family val="0"/>
      </rPr>
      <t xml:space="preserve">Esquadria Servente</t>
    </r>
    <r>
      <rPr>
        <vertAlign val="superscript"/>
        <sz val="9"/>
        <color rgb="FF000000"/>
        <rFont val="Spranq eco sans"/>
        <family val="0"/>
      </rPr>
      <t xml:space="preserve"> (3)</t>
    </r>
  </si>
  <si>
    <t xml:space="preserve">DECANIA - PRÉDIO PRINCIPAL CCS E BLOCO N</t>
  </si>
  <si>
    <r>
      <rPr>
        <sz val="9"/>
        <color rgb="FF000000"/>
        <rFont val="Spranq eco sans"/>
        <family val="0"/>
      </rPr>
      <t xml:space="preserve">Esquadria Encarregado</t>
    </r>
    <r>
      <rPr>
        <vertAlign val="superscript"/>
        <sz val="9"/>
        <color rgb="FF000000"/>
        <rFont val="Spranq eco sans"/>
        <family val="0"/>
      </rPr>
      <t xml:space="preserve"> (4)</t>
    </r>
  </si>
  <si>
    <t xml:space="preserve">1/(Produtividade*n.serventes)</t>
  </si>
  <si>
    <t xml:space="preserve">insalubridade somente para área de banheiro e Hospitalar Assemlhada / demais áreas somente com laudo</t>
  </si>
  <si>
    <t xml:space="preserve">Área A.7 (m²)</t>
  </si>
  <si>
    <t xml:space="preserve">FACULDADE DE ODONTOLOGIA (FO) PRÉDIO CCS</t>
  </si>
  <si>
    <t xml:space="preserve">FACULDADE DE ODONTOLOGIA (FO) PRÉDIO PRÓPRIO</t>
  </si>
  <si>
    <t xml:space="preserve">INSTITUTO DE CIÊNCIAS BIOMÉDICAS - ICB - Área de Anatomia Humana</t>
  </si>
  <si>
    <t xml:space="preserve">Total Mensal Estimado Limpeza</t>
  </si>
  <si>
    <t xml:space="preserve">Quantidade</t>
  </si>
  <si>
    <t xml:space="preserve">Valor Mensal do Posto</t>
  </si>
  <si>
    <t xml:space="preserve">Total Anual Estimado Limpeza</t>
  </si>
  <si>
    <t xml:space="preserve">Serviço de coleta de Resíduos Interna -  RSS e Coleta Coletiva</t>
  </si>
  <si>
    <t xml:space="preserve">Total Mensal Estimado Coleta Interna</t>
  </si>
  <si>
    <t xml:space="preserve">Total Anual Estimado Coleta Interna</t>
  </si>
  <si>
    <t xml:space="preserve">Total Anual Estimado</t>
  </si>
  <si>
    <t xml:space="preserve">Mão-de-obra - Área Interna (A.1)</t>
  </si>
  <si>
    <t xml:space="preserve">Produtividade/m²</t>
  </si>
  <si>
    <t xml:space="preserve">Preço Homem-mês</t>
  </si>
  <si>
    <t xml:space="preserve">Insumo por Homem </t>
  </si>
  <si>
    <t xml:space="preserve">Homem R$/m2</t>
  </si>
  <si>
    <t xml:space="preserve">Total R$/m²</t>
  </si>
  <si>
    <t xml:space="preserve">Encarregado - 44h seg a  sab - Diurno</t>
  </si>
  <si>
    <t xml:space="preserve">Servente - 44h seg a  sex - Diurno</t>
  </si>
  <si>
    <t xml:space="preserve">Servente - 44h seg a  sab - Diurno</t>
  </si>
  <si>
    <t xml:space="preserve">Servente com Insalubridade 40 % - 44h seg a sex - Diurno</t>
  </si>
  <si>
    <t xml:space="preserve">Servente com Insalubridade 40% - 44h seg a sab - Diurno</t>
  </si>
  <si>
    <t xml:space="preserve">Mão-de-obra - Área Interna (A.2)</t>
  </si>
  <si>
    <t xml:space="preserve">Mão-de-obra - Área Interna (A.3)</t>
  </si>
  <si>
    <t xml:space="preserve">Mão-de-obra - Área Interna (A.4)</t>
  </si>
  <si>
    <t xml:space="preserve">Mão-de-obra - Área Interna (A.5)</t>
  </si>
  <si>
    <t xml:space="preserve">Mão-de-obra - Área Interna (A.6)</t>
  </si>
  <si>
    <t xml:space="preserve">Mão-de-obra - Área Interna (A.7)</t>
  </si>
  <si>
    <t xml:space="preserve">Servente com Insalubridade 20 % - 44h seg a sex - Diurno</t>
  </si>
  <si>
    <t xml:space="preserve">Mão-de-obra - Área Externa (B.1)</t>
  </si>
  <si>
    <t xml:space="preserve">Mão-de-obra - Área Externa (B.2)</t>
  </si>
  <si>
    <t xml:space="preserve">Mão-de-obra - Área Esquadria Externa (C.1)</t>
  </si>
  <si>
    <t xml:space="preserve">Homem - m2</t>
  </si>
  <si>
    <t xml:space="preserve">Servente Lider R$/m2</t>
  </si>
  <si>
    <t xml:space="preserve">(2)</t>
  </si>
  <si>
    <t xml:space="preserve">(1)</t>
  </si>
  <si>
    <t xml:space="preserve">Mão-de-obra - Área Esquadria Externa (C.2)</t>
  </si>
  <si>
    <t xml:space="preserve">(4)</t>
  </si>
  <si>
    <t xml:space="preserve">(3)</t>
  </si>
  <si>
    <t xml:space="preserve">Conversões de Áreas</t>
  </si>
  <si>
    <t xml:space="preserve">Cálculo do número estimado de funcionários - Lote I - seg a sex 44h</t>
  </si>
  <si>
    <t xml:space="preserve">Cálculo da Área Total Convertida e número de serventes, conforme Art. 8º da Portaria MPOG nº. 25/2012.</t>
  </si>
  <si>
    <t xml:space="preserve">Área Total Convertida</t>
  </si>
  <si>
    <t xml:space="preserve">Qtd Serventes Estimada</t>
  </si>
  <si>
    <t xml:space="preserve">Qtd Serventes Estimada Banheiro</t>
  </si>
  <si>
    <t xml:space="preserve">Cálculo do número estimado de funcionários - Lote I - seg a sáb 44h</t>
  </si>
  <si>
    <t xml:space="preserve">Área Total sem Conversão (m2) </t>
  </si>
  <si>
    <t xml:space="preserve">Resumo de Pessoal</t>
  </si>
  <si>
    <t xml:space="preserve">Pessoal</t>
  </si>
  <si>
    <t xml:space="preserve">Total de Servente por Unidade</t>
  </si>
  <si>
    <t xml:space="preserve">Área Total Convertida (m2)</t>
  </si>
  <si>
    <t xml:space="preserve">Normal</t>
  </si>
  <si>
    <t xml:space="preserve">Banheiro</t>
  </si>
  <si>
    <t xml:space="preserve">Encarregados</t>
  </si>
  <si>
    <t xml:space="preserve">Número Estimado de Encarregados (1 para cada 30 serventes)</t>
  </si>
  <si>
    <t xml:space="preserve">Total</t>
  </si>
  <si>
    <t xml:space="preserve"> Por Servente</t>
  </si>
  <si>
    <t xml:space="preserve">Insumos</t>
  </si>
  <si>
    <t xml:space="preserve">Custo do M2 de área limpa total</t>
  </si>
  <si>
    <t xml:space="preserve">Custo Total Mensal</t>
  </si>
  <si>
    <t xml:space="preserve">Custo Total Anual</t>
  </si>
  <si>
    <t xml:space="preserve">% de Insumos sobre a mão de obra</t>
  </si>
  <si>
    <t xml:space="preserve">Total de Serventes 44h de segunda a sexta</t>
  </si>
  <si>
    <t xml:space="preserve">Total de Serventes 44h de segunda a sexta p/ Banheiro</t>
  </si>
  <si>
    <t xml:space="preserve">Total de Serventes 44h de segunda a sábado</t>
  </si>
  <si>
    <t xml:space="preserve">Total de Serventes 44h de segunda a sábado p/ Banheiro</t>
  </si>
  <si>
    <t xml:space="preserve">Total de Serventes 44h área hospitalar</t>
  </si>
  <si>
    <t xml:space="preserve">Total de Serventes 44h área banheiro hospitalar</t>
  </si>
  <si>
    <t xml:space="preserve">Total de Encarregados</t>
  </si>
  <si>
    <t xml:space="preserve">Total de Coletores de Resíduo</t>
  </si>
  <si>
    <t xml:space="preserve">Total Geral de Funcionários</t>
  </si>
  <si>
    <r>
      <rPr>
        <sz val="8"/>
        <color rgb="FFFF0000"/>
        <rFont val="Spranq eco sans"/>
        <family val="0"/>
      </rPr>
      <t xml:space="preserve"># A T E N Ç Ã O # -</t>
    </r>
    <r>
      <rPr>
        <sz val="8"/>
        <color rgb="FF000000"/>
        <rFont val="Spranq eco sans"/>
        <family val="0"/>
      </rPr>
      <t xml:space="preserve"> Como a limpeza de esquadrias é realizada somente de quinze em quinze dias -</t>
    </r>
    <r>
      <rPr>
        <b val="true"/>
        <sz val="8"/>
        <color rgb="FF000000"/>
        <rFont val="Spranq eco sans"/>
        <family val="0"/>
      </rPr>
      <t xml:space="preserve">                                         O QUANTITATIVO  DE MÃO DE OBRA DESTINADA PARA LIMPEZA DE ESQUADRIA NÃO FAZ PARTE DO TOTAL ESTIMADO NO QUADRO.  ESTE SERVIÇO DEVE SER EXECUTADO POR EQUIPE FORA DO QUANTITATIVO MENSAL SOBRE DEDICAÇÃO EXCLUSIVA DE MÃO DE OBRA</t>
    </r>
  </si>
  <si>
    <t xml:space="preserve">Serventes Com Insalubridade - Limpeza de Banheiro </t>
  </si>
  <si>
    <t xml:space="preserve">Número de serventes recebendo Gratificação de Liderança</t>
  </si>
  <si>
    <t xml:space="preserve">Valor Rateio</t>
  </si>
  <si>
    <t xml:space="preserve">Valor para abertura da Conta Vinculada - R$ 565,00 em Pagamento único</t>
  </si>
  <si>
    <t xml:space="preserve">Valor para manutenção da Conta Vinculada - R$ 126,00 mensais</t>
  </si>
  <si>
    <t xml:space="preserve">Valores máximos admitidos estimados para encargos bancários para operacionalização da conta-depósito no Banco do Brasil.  Qualquer alteração nos valores para valores menores será por conta e risco da contrada</t>
  </si>
  <si>
    <t xml:space="preserve">INSUMO - LOTE I</t>
  </si>
  <si>
    <t xml:space="preserve">QUANTIDADE</t>
  </si>
  <si>
    <t xml:space="preserve">VALOR</t>
  </si>
  <si>
    <t xml:space="preserve">UND</t>
  </si>
  <si>
    <t xml:space="preserve">CCS</t>
  </si>
  <si>
    <t xml:space="preserve">PRODUTOS COM FORNECIMENTO MENSAL</t>
  </si>
  <si>
    <t xml:space="preserve">ÁCIDO MURIÁTICO Embalagem c/ L</t>
  </si>
  <si>
    <t xml:space="preserve">L</t>
  </si>
  <si>
    <t xml:space="preserve">o Valor dos insumos é calculado na planilha "INSUMOS COTAÇÃO"</t>
  </si>
  <si>
    <t xml:space="preserve">ÁGUA SANITÁRIA Embalagem c/ 1L</t>
  </si>
  <si>
    <t xml:space="preserve">ÁLCOOL 46º Embalagem c/ 1L</t>
  </si>
  <si>
    <t xml:space="preserve">CERA LIQ. AMARELA Embalagem c/ 18 litros</t>
  </si>
  <si>
    <t xml:space="preserve">CERA LÍQ. INCOLOR Embalagem c/ 18 litros</t>
  </si>
  <si>
    <t xml:space="preserve">CERA LIQ. PRETA Embalagem c/ 18 litros.</t>
  </si>
  <si>
    <t xml:space="preserve">CERA PASTOSA (CARNAÚBA) Embalagem c/ 400gr</t>
  </si>
  <si>
    <t xml:space="preserve">CERA - REMOVEDOR Embalagem c/ 18 litros</t>
  </si>
  <si>
    <t xml:space="preserve">CERA VERMELHA - Embalagem c/ 750 ml</t>
  </si>
  <si>
    <t xml:space="preserve">CERA c/auto brilho 2 em 1: base seladora e acabamento acrílico C/ 5L</t>
  </si>
  <si>
    <t xml:space="preserve">CLORO Embalagem c/ 5 litros</t>
  </si>
  <si>
    <t xml:space="preserve">CREOLINA 750ml</t>
  </si>
  <si>
    <t xml:space="preserve">DESODORIZADOR DE AMBIENTE</t>
  </si>
  <si>
    <t xml:space="preserve">DESINFETANTE Embalagem c/ 18 litros</t>
  </si>
  <si>
    <t xml:space="preserve">DETERGENTE limpador perfumado RM 10 - Embalagem c/ 5l</t>
  </si>
  <si>
    <t xml:space="preserve">DETERGENTE Embalagem c/ 500ml</t>
  </si>
  <si>
    <t xml:space="preserve">DETERGENTE Embalagem c/ 5l</t>
  </si>
  <si>
    <t xml:space="preserve">DETERGENTE LÍQUIDO Embalagem c/ 5l</t>
  </si>
  <si>
    <t xml:space="preserve">ESPONJA DE LIMPEZA</t>
  </si>
  <si>
    <t xml:space="preserve">FLANELA 30 x 40 cm UND.</t>
  </si>
  <si>
    <t xml:space="preserve">INSETICIDA AEROSOL (MULTIUSO) Embalagem c/ 300ml</t>
  </si>
  <si>
    <t xml:space="preserve">LÃ DE AÇO Embalagem c/ 8 UND</t>
  </si>
  <si>
    <t xml:space="preserve">LIMPA VIDROS Embalagem c/ 500 ml</t>
  </si>
  <si>
    <t xml:space="preserve">LIMPADOR MULTIUSO emb.500 ml</t>
  </si>
  <si>
    <t xml:space="preserve">LUSTRA MÓVEL Frasco 200 ml</t>
  </si>
  <si>
    <t xml:space="preserve">PALHA DE AÇO FINA (fardo)</t>
  </si>
  <si>
    <t xml:space="preserve">PCT</t>
  </si>
  <si>
    <t xml:space="preserve">PANO DE CHÃO alvejado</t>
  </si>
  <si>
    <t xml:space="preserve">PANO DE PIA</t>
  </si>
  <si>
    <t xml:space="preserve">PANO MULTIUSO (pct c/ 5 und)</t>
  </si>
  <si>
    <t xml:space="preserve">PASTA PARA LIMPEZA Embalagem c/ 500g</t>
  </si>
  <si>
    <t xml:space="preserve">PASTA SAPONÁCEA  Embalagem c/ 300g</t>
  </si>
  <si>
    <t xml:space="preserve">KG</t>
  </si>
  <si>
    <t xml:space="preserve">PEDRA SANITÁRIA 20g</t>
  </si>
  <si>
    <t xml:space="preserve">POLIDOR DE METAIS Embalagem c/ 200 ml</t>
  </si>
  <si>
    <t xml:space="preserve">QUEROSENE Embalagem c/ 1L</t>
  </si>
  <si>
    <t xml:space="preserve">REMOVEDOR Embalagem c/1L</t>
  </si>
  <si>
    <t xml:space="preserve">SABÃO DE COCO Embalagem c/ 1Kg </t>
  </si>
  <si>
    <t xml:space="preserve">SABÃO EM BARRA Embalagem c/ 200g</t>
  </si>
  <si>
    <t xml:space="preserve">SABÃO EM PÓ Embalagem c/ 1kg</t>
  </si>
  <si>
    <t xml:space="preserve">SABÃO PASTOSO Embalagem c/ 500g</t>
  </si>
  <si>
    <t xml:space="preserve">SACO PLÁST. 50 LTS BRANCO INFECTANTE com identificação- Embalagem c/ 100und</t>
  </si>
  <si>
    <t xml:space="preserve">SACO PLÁST. 100 LTS BRANCO INFECTANTE com identificação - Embalagem c/ 100und</t>
  </si>
  <si>
    <t xml:space="preserve">SACO PLÁST. 40 LTS PRETO - Embalagem c/ 100und</t>
  </si>
  <si>
    <t xml:space="preserve">SACO PLÁST. 60 LTS PRETO - Embalagem c/ 100und</t>
  </si>
  <si>
    <t xml:space="preserve">SACO PLÁST. 100 LTS PRETO - Embalagem c/ 100und</t>
  </si>
  <si>
    <t xml:space="preserve">SACO PLÁST. 200 LTS PRETO - Embalagem c/ 100und</t>
  </si>
  <si>
    <t xml:space="preserve">SACO PLÁST. 300 LTS PRETO - Embalagem c/ 100und</t>
  </si>
  <si>
    <t xml:space="preserve">SACO PLÁST. 20 LTS VERMELHO - Embalagem c/ 100 und</t>
  </si>
  <si>
    <t xml:space="preserve">SACO PLÁST. 50 LTS VERMELHO - Embalagem c/ 100 und</t>
  </si>
  <si>
    <t xml:space="preserve">SACO PLÁST. 100 LTS VERMELHO - Embalagem c/ 100 und</t>
  </si>
  <si>
    <t xml:space="preserve">SACOS PARA AUTOCLAVAÇÃO DE 5 LTS - Embalagem c/ 100 und</t>
  </si>
  <si>
    <t xml:space="preserve">SACOS PARA AUTOCLAVAÇÃO DE 10 LTS - Embalagem c/ 100 und</t>
  </si>
  <si>
    <t xml:space="preserve">SACOS PARA AUTOCLAVAÇÃO DE 20 LTS - Embalagem c/ 100 und</t>
  </si>
  <si>
    <t xml:space="preserve">DETERGENTE / DESINFETANTE Hospitalar a base de cloreto de didecildimetilamônio e cloridrato de polihexametileno biguanida; bactericida. - Embalagem c/ 5l</t>
  </si>
  <si>
    <t xml:space="preserve">DESINFETANTE componente Ativo: 0,45% de Cloreto de Benzil Alquil Dimetil Amônio / Cloreto de Didecil Dimetilamônio - Lysoform - Embalagem c/ 5l</t>
  </si>
  <si>
    <t xml:space="preserve">SODA CÁUSTICA Embalagem c/ 1 Kg</t>
  </si>
  <si>
    <t xml:space="preserve">VASELINA Embalagem c/ 1L</t>
  </si>
  <si>
    <t xml:space="preserve">PRODUTO COM FORNECIMENTO BIMESTRAL</t>
  </si>
  <si>
    <t xml:space="preserve">RODO BORRACHA 30CM </t>
  </si>
  <si>
    <t xml:space="preserve">RODO BORRACHA 60CM </t>
  </si>
  <si>
    <t xml:space="preserve">REFIL MOP MOLHADO</t>
  </si>
  <si>
    <t xml:space="preserve">REFIL MOP SECO</t>
  </si>
  <si>
    <t xml:space="preserve">VASSOURA DE PIA</t>
  </si>
  <si>
    <t xml:space="preserve">VASSOURA PELO 40CM </t>
  </si>
  <si>
    <t xml:space="preserve">VASSOURA PELO 60CM </t>
  </si>
  <si>
    <t xml:space="preserve">VASSOURA PIAÇAVA 30CM</t>
  </si>
  <si>
    <t xml:space="preserve">VASSOURA PIAÇAVA 40CM</t>
  </si>
  <si>
    <t xml:space="preserve">VASSOURA PIAÇAVA GARI </t>
  </si>
  <si>
    <t xml:space="preserve">PRODUTO COM FORNECIMENTO TRIMESTRAL</t>
  </si>
  <si>
    <t xml:space="preserve">BALDE PLÁSTICO 10LT </t>
  </si>
  <si>
    <t xml:space="preserve">BALDE PLÁSTICO 20LT </t>
  </si>
  <si>
    <t xml:space="preserve">DESENTUPIDOR DE PIA </t>
  </si>
  <si>
    <t xml:space="preserve">DESENTUPIDOR DE VASO </t>
  </si>
  <si>
    <t xml:space="preserve">ESCOVA OVAL NYLON</t>
  </si>
  <si>
    <t xml:space="preserve">PÁ DE LIXO ZINCO C/ CABO LONGO</t>
  </si>
  <si>
    <t xml:space="preserve">VASSOURA METÁLICA P/ JARDIM</t>
  </si>
  <si>
    <t xml:space="preserve">PRODUTO COM FORNECIMENTO SEMESTRAL</t>
  </si>
  <si>
    <t xml:space="preserve">ESPANADOR UND</t>
  </si>
  <si>
    <t xml:space="preserve">LIXEIRA PEDAL GRANDE 100L</t>
  </si>
  <si>
    <t xml:space="preserve">LIXEIRA PEDAL MÉDIA 50L</t>
  </si>
  <si>
    <t xml:space="preserve">PÁ DE LIXO SEM TAMPA</t>
  </si>
  <si>
    <t xml:space="preserve">VASSOURA DE TETO CABO 170CM</t>
  </si>
  <si>
    <t xml:space="preserve">PRODUTO COM FORNECIMENTO PERMANENTE (vida útil de 5 anos) </t>
  </si>
  <si>
    <t xml:space="preserve">ASPIRADOR INDUSTRIAL</t>
  </si>
  <si>
    <t xml:space="preserve">LAVADORA DE PISO A BATERIA ALFA B70 OU SIMILAR</t>
  </si>
  <si>
    <t xml:space="preserve">CARRO CONTENTOR 240L</t>
  </si>
  <si>
    <t xml:space="preserve">CARRO OPERACIONAL OU CARRO FUNCIONAL </t>
  </si>
  <si>
    <t xml:space="preserve">COLETOR DE LIXO FINO 50L</t>
  </si>
  <si>
    <t xml:space="preserve">CARRO CONTENTOR 1.000L</t>
  </si>
  <si>
    <t xml:space="preserve">CARRO ESTRELA C/ RODA DE BORRACHA 200Kg</t>
  </si>
  <si>
    <t xml:space="preserve">CARRO C/ BALDE ESPREMEDOR - 2 AGUAS MOP</t>
  </si>
  <si>
    <t xml:space="preserve">CARRO TIPO PLATAFORMA EM AÇO CAP. 800Kg</t>
  </si>
  <si>
    <t xml:space="preserve">CONE SINALIZADOR</t>
  </si>
  <si>
    <t xml:space="preserve">ENCERADEIRA INDUSTRIAL</t>
  </si>
  <si>
    <t xml:space="preserve">ESCADA DOBRÁVEL DE 2,40M</t>
  </si>
  <si>
    <t xml:space="preserve">ESCADA DOBRÁVEL DE 3,82M</t>
  </si>
  <si>
    <t xml:space="preserve">ESCADA DE ALUMÍNIO 10 DEGRAUS</t>
  </si>
  <si>
    <t xml:space="preserve">ESCADA EXTENSÍVEL DE 23 DEGRAUS</t>
  </si>
  <si>
    <t xml:space="preserve">ESCADA BANQUETA DE ALUMINIO 3 DEGRAUS</t>
  </si>
  <si>
    <t xml:space="preserve">LAVADORA ALTA PRESSÃO (1.450LB)</t>
  </si>
  <si>
    <t xml:space="preserve">KIT MOP MOLHADO</t>
  </si>
  <si>
    <t xml:space="preserve">KIT MOP SECO 60CM</t>
  </si>
  <si>
    <t xml:space="preserve">EXTENSÃO ELÉTRICA - 50M</t>
  </si>
  <si>
    <t xml:space="preserve">MANGUEIRA DE JARDIM REFORÇADA - 50M  1/2"</t>
  </si>
  <si>
    <t xml:space="preserve">SINALIZADOR (PISO MOLHADO)</t>
  </si>
  <si>
    <t xml:space="preserve">Custos Indiretos</t>
  </si>
  <si>
    <t xml:space="preserve">Lucro</t>
  </si>
  <si>
    <t xml:space="preserve">PIS</t>
  </si>
  <si>
    <t xml:space="preserve">COFINS</t>
  </si>
  <si>
    <t xml:space="preserve">ISS</t>
  </si>
  <si>
    <t xml:space="preserve">PRODUTO
COM
FORNECIMENTO MENSAL</t>
  </si>
  <si>
    <t xml:space="preserve">MARCA/MODELO</t>
  </si>
  <si>
    <t xml:space="preserve">Valor Unitário</t>
  </si>
  <si>
    <t xml:space="preserve">Crédito PIS/COFINS</t>
  </si>
  <si>
    <t xml:space="preserve">Valor Unitário s/ tributos e pós-crédito PIS/COFINS</t>
  </si>
  <si>
    <t xml:space="preserve">Subtotal</t>
  </si>
  <si>
    <t xml:space="preserve">Valor Unitário incluindo tributos</t>
  </si>
  <si>
    <t xml:space="preserve">Valor Mensal do Insumo</t>
  </si>
  <si>
    <t xml:space="preserve">DETERGENTE limpador perfumado RM 10-Embalagem c/ 5l</t>
  </si>
  <si>
    <t xml:space="preserve">SACO PLÁST. 50 LTS BRANCO INFECTANTE com identificação - Embalagem c/ 100und</t>
  </si>
  <si>
    <t xml:space="preserve">PRODUTO
COM
FORNECIMENTO BIMESTRAL</t>
  </si>
  <si>
    <t xml:space="preserve">PRODUTO
COM
FORNECIMENTO TRIMESTRAL</t>
  </si>
  <si>
    <t xml:space="preserve">PRODUTO
COM
FORNECIMENTO SEMESTRAL</t>
  </si>
  <si>
    <t xml:space="preserve">PRODUTO
COM
FORNECIMENTO PERMANENTE (vida útil de 5 anos)</t>
  </si>
  <si>
    <t xml:space="preserve">Vida útil do bem em meses</t>
  </si>
  <si>
    <t xml:space="preserve">Taxa anual de depreciação</t>
  </si>
  <si>
    <t xml:space="preserve">Número de meses contratados</t>
  </si>
  <si>
    <t xml:space="preserve">Apropriação mensal</t>
  </si>
  <si>
    <t xml:space="preserve">Servente</t>
  </si>
  <si>
    <t xml:space="preserve">Tipo / Especificações</t>
  </si>
  <si>
    <t xml:space="preserve">Qtd Anual</t>
  </si>
  <si>
    <t xml:space="preserve">Qtd Semestral</t>
  </si>
  <si>
    <t xml:space="preserve">Custo  Unitário</t>
  </si>
  <si>
    <t xml:space="preserve">Custo Anual</t>
  </si>
  <si>
    <t xml:space="preserve">Custo Mensal</t>
  </si>
  <si>
    <t xml:space="preserve">Calça comprida na cor Azul, em Brim, com presilhas para cinto (modelo tradicional).</t>
  </si>
  <si>
    <t xml:space="preserve">Camiseta de malha meia manga em algodão Logo da Empresa na parte da frente - "A SERVIÇO DA UFRJ" nas costas</t>
  </si>
  <si>
    <t xml:space="preserve">Bota de segurança - ref. Marluvas 10vb48 ou similar</t>
  </si>
  <si>
    <t xml:space="preserve">Luva para limpeza em borracha de látex natural, com revestimento interno, reforçada, com superfície externa antiderrapante. Deverá estar em conformidade com as normas da ABNT NBR 13.393 (EPI). (3 pares por mês)</t>
  </si>
  <si>
    <t xml:space="preserve">Crachá em PVC laminado para identificação, frente colorida e verso em preto e branco, com alta resistência e flexibilidade. Frente: nome completo, foto digitalizada, identificação da CONTRATADA e inscrição “A serviço da UFRJ”. Verso: unidade em que desempenha suas atividades e informações adicionais que a CONTRATADA considerar pertinentes</t>
  </si>
  <si>
    <t xml:space="preserve">Encarregado</t>
  </si>
  <si>
    <t xml:space="preserve">Camiseta de malha meia manga em algodão Logo da Empresa a esquerda - "A SERVIÇO DA UFRJ" nas costas</t>
  </si>
  <si>
    <t xml:space="preserve">Jaleco em brim azul marinho, 100% algodão  contendo a inscrição “A serviço da UFRJ” </t>
  </si>
  <si>
    <t xml:space="preserve">Cinto </t>
  </si>
  <si>
    <t xml:space="preserve">Coletor de Resíduos</t>
  </si>
  <si>
    <t xml:space="preserve">Calça comprida na cor Cinza, em Brim, com presilhas para cinto (modelo tradicional).</t>
  </si>
  <si>
    <t xml:space="preserve">Jaleco em brim na cor Cinza, 100% algodão  contendo a inscrição “A serviço da UFRJ” </t>
  </si>
  <si>
    <t xml:space="preserve"> Luva de Malha Revestimento Látex Nitrílico</t>
  </si>
  <si>
    <t xml:space="preserve">Avental de PVC</t>
  </si>
  <si>
    <t xml:space="preserve">Óculos de Segurança</t>
  </si>
  <si>
    <t xml:space="preserve">Mascara descartável tipo cirurgica</t>
  </si>
  <si>
    <t xml:space="preserve">PLANILHA DE CUSTOS E FORMAÇÃO DE PREÇOS - MÃO DE OBRA</t>
  </si>
  <si>
    <t xml:space="preserve">Dados para composição dos custos referentes a mão de obra</t>
  </si>
  <si>
    <t xml:space="preserve">Tipo de Serviço:</t>
  </si>
  <si>
    <t xml:space="preserve">Coletor de Resíduos  44h Seg a Sex</t>
  </si>
  <si>
    <t xml:space="preserve">Classificação Brasileira de Ocupações (CBO)</t>
  </si>
  <si>
    <t xml:space="preserve">5142-30</t>
  </si>
  <si>
    <t xml:space="preserve">Salário Normativo da Categoria Profissional</t>
  </si>
  <si>
    <t xml:space="preserve">Categoria Profissional </t>
  </si>
  <si>
    <t xml:space="preserve">Trabalhadores nas Empresas de Asseio e Conservação</t>
  </si>
  <si>
    <t xml:space="preserve">Data-Base da Categoria (dia/mês/ano) </t>
  </si>
  <si>
    <t xml:space="preserve">Módulo 1 - Composição da Remuneração</t>
  </si>
  <si>
    <t xml:space="preserve">Composição da Remuneração</t>
  </si>
  <si>
    <t xml:space="preserve">%</t>
  </si>
  <si>
    <t xml:space="preserve">Valor (R$)</t>
  </si>
  <si>
    <t xml:space="preserve">Salário-Base</t>
  </si>
  <si>
    <t xml:space="preserve">Adicional de Periculosidade</t>
  </si>
  <si>
    <t xml:space="preserve">Adicional de Insalubridade</t>
  </si>
  <si>
    <t xml:space="preserve">Adicional Noturno</t>
  </si>
  <si>
    <t xml:space="preserve">E</t>
  </si>
  <si>
    <t xml:space="preserve">Adicional de Hora Noturna Reduzida</t>
  </si>
  <si>
    <t xml:space="preserve">F</t>
  </si>
  <si>
    <t xml:space="preserve">DSR sobre o Adicional Noturno</t>
  </si>
  <si>
    <t xml:space="preserve">G</t>
  </si>
  <si>
    <t xml:space="preserve">Adicional de Hora Extra no Feriado Trabalhado</t>
  </si>
  <si>
    <t xml:space="preserve">H</t>
  </si>
  <si>
    <t xml:space="preserve">DSR sobre a Hora Extra no Feriado Trabalhado</t>
  </si>
  <si>
    <t xml:space="preserve">I</t>
  </si>
  <si>
    <t xml:space="preserve">Adicional de Liderança / Gratificação de Encarregado</t>
  </si>
  <si>
    <t xml:space="preserve">J</t>
  </si>
  <si>
    <t xml:space="preserve">Intervalo Intrajornada (caso o empregado trabalhe no periodo destinado)</t>
  </si>
  <si>
    <t xml:space="preserve">K</t>
  </si>
  <si>
    <t xml:space="preserve">Outros (especificar)</t>
  </si>
  <si>
    <t xml:space="preserve">TOTAL</t>
  </si>
  <si>
    <t xml:space="preserve">Módulo 2 - Encargos e Benefícios Anuais, Mensais e Diários</t>
  </si>
  <si>
    <t xml:space="preserve">Sub-Módulo 2.1 - 13º Salário, Férias e Adicional de Férias</t>
  </si>
  <si>
    <t xml:space="preserve">2.1</t>
  </si>
  <si>
    <t xml:space="preserve">13º Salário, Férias e Adicional de Férias</t>
  </si>
  <si>
    <t xml:space="preserve">13º Salário</t>
  </si>
  <si>
    <t xml:space="preserve">Férias e Adicional de Férias</t>
  </si>
  <si>
    <t xml:space="preserve">Férias </t>
  </si>
  <si>
    <t xml:space="preserve">Adicional de Férias</t>
  </si>
  <si>
    <t xml:space="preserve">Sub-Módulo 2.2 - Encargos Previdenciários (GPS), Fundo de Garantia por Tempo de Serviço (FGTS) e outras contribuições</t>
  </si>
  <si>
    <t xml:space="preserve">2.2</t>
  </si>
  <si>
    <t xml:space="preserve">GPS, FGTS e outras contribuições</t>
  </si>
  <si>
    <t xml:space="preserve">INSS</t>
  </si>
  <si>
    <t xml:space="preserve">Salário Educação</t>
  </si>
  <si>
    <t xml:space="preserve">SAT (Risco ambiental do trabalho)</t>
  </si>
  <si>
    <t xml:space="preserve">SESC ou SESI</t>
  </si>
  <si>
    <t xml:space="preserve">SENAI - SENAC</t>
  </si>
  <si>
    <t xml:space="preserve">SEBRAE</t>
  </si>
  <si>
    <t xml:space="preserve">INCRA</t>
  </si>
  <si>
    <t xml:space="preserve">FGTS</t>
  </si>
  <si>
    <t xml:space="preserve">Sub-Módulo 2.3 - Benefícios Mensais e Diários</t>
  </si>
  <si>
    <t xml:space="preserve">2.3</t>
  </si>
  <si>
    <t xml:space="preserve">Benefícios Mensais e Diários</t>
  </si>
  <si>
    <t xml:space="preserve">Transporte</t>
  </si>
  <si>
    <t xml:space="preserve">Auxílio-Refeição/Alimentação</t>
  </si>
  <si>
    <t xml:space="preserve">Assistência Médica e Familiar</t>
  </si>
  <si>
    <t xml:space="preserve">Benefício Social Familiar  - Cláusula Vigésima Nona da CCT</t>
  </si>
  <si>
    <t xml:space="preserve">Contribuição Negocial Patronal - Cláusula Sexagésima Primeira  da CCT</t>
  </si>
  <si>
    <t xml:space="preserve">Outros (Seguro de Vida / Invalidez / Auxílio Funeral)</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</si>
  <si>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</si>
  <si>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</si>
  <si>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</si>
  <si>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</si>
  <si>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Aviso-Prévio Indenizado</t>
  </si>
  <si>
    <t xml:space="preserve">Incidência do FGTS sobre o Aviso-Prévio Indenizado</t>
  </si>
  <si>
    <t xml:space="preserve">Multa sobre FGTS e contribuição social sobre o Aviso Prévio Indenizado</t>
  </si>
  <si>
    <t xml:space="preserve">Aviso-Prévio Trabalhado</t>
  </si>
  <si>
    <t xml:space="preserve">Incidência dos encargos do módulo 2.2 sobre o Aviso-Prévio Trabalhado</t>
  </si>
  <si>
    <t xml:space="preserve">Multa do FGTS e contribuição social sobre o Aviso-Prévio Trabalhado</t>
  </si>
  <si>
    <t xml:space="preserve">Módulo 4 - Custo de Reposição do Profissional Ausente</t>
  </si>
  <si>
    <t xml:space="preserve">Sub-Módulo 4.1 - Ausências Legais</t>
  </si>
  <si>
    <t xml:space="preserve">4.1</t>
  </si>
  <si>
    <t xml:space="preserve">Ausências Legais</t>
  </si>
  <si>
    <t xml:space="preserve">Férias</t>
  </si>
  <si>
    <t xml:space="preserve">Licença Paternidade</t>
  </si>
  <si>
    <t xml:space="preserve">Ausência por acidente de trabalho </t>
  </si>
  <si>
    <r>
      <rPr>
        <sz val="10"/>
        <color rgb="FF000000"/>
        <rFont val="Spranq eco sans"/>
        <family val="0"/>
      </rPr>
      <t xml:space="preserve">Afastamento Maternidade (acima de 120 dias)</t>
    </r>
    <r>
      <rPr>
        <vertAlign val="superscript"/>
        <sz val="10"/>
        <color rgb="FF000000"/>
        <rFont val="Spranq eco sans"/>
        <family val="0"/>
      </rPr>
      <t xml:space="preserve"> (1)</t>
    </r>
  </si>
  <si>
    <t xml:space="preserve">Ausência por Doença</t>
  </si>
  <si>
    <t xml:space="preserve">Incidência dos encargos do módulo 2.2 sobre o Módulo </t>
  </si>
  <si>
    <t xml:space="preserve">4.1.1</t>
  </si>
  <si>
    <t xml:space="preserve">Afastamento Maternidade (120 dias)</t>
  </si>
  <si>
    <t xml:space="preserve">Férias pagas ao Substituto pelos 120 dias de Reposição</t>
  </si>
  <si>
    <t xml:space="preserve">Incidência dos encargos do módulo 2.2 sobre as Férias pagas ao Subistituto pelos 120 dias de Reposição</t>
  </si>
  <si>
    <t xml:space="preserve">Incidência dos encargos do módulo 2.2 sobre a Remuneração e o 13 salário proporcionais aos 120 dias de Reposição</t>
  </si>
  <si>
    <t xml:space="preserve">4.2</t>
  </si>
  <si>
    <t xml:space="preserve">Intervalo Intrajornada</t>
  </si>
  <si>
    <r>
      <rPr>
        <sz val="10"/>
        <color rgb="FF000000"/>
        <rFont val="Spranq eco sans"/>
        <family val="0"/>
      </rPr>
      <t xml:space="preserve">Intervalo de repouso e alimentação (somente se houver cobertura do profissional no período de intervalo para repouso e alimentação) </t>
    </r>
    <r>
      <rPr>
        <vertAlign val="superscript"/>
        <sz val="10"/>
        <color rgb="FF000000"/>
        <rFont val="Spranq eco sans"/>
        <family val="0"/>
      </rPr>
      <t xml:space="preserve">(2)</t>
    </r>
  </si>
  <si>
    <t xml:space="preserve">Quadro-Resumo do Módulo 4 - Custo de Reposição do Profissional Ausente</t>
  </si>
  <si>
    <t xml:space="preserve">Total das Ausências Legais</t>
  </si>
  <si>
    <t xml:space="preserve">Módulo 5 - Insumos Diversos</t>
  </si>
  <si>
    <t xml:space="preserve">Insumos Diversos</t>
  </si>
  <si>
    <t xml:space="preserve">Uniformes</t>
  </si>
  <si>
    <t xml:space="preserve">Materiais</t>
  </si>
  <si>
    <t xml:space="preserve">Equipamentos</t>
  </si>
  <si>
    <t xml:space="preserve">D.1</t>
  </si>
  <si>
    <t xml:space="preserve">Módulo 6 - Custos Indiretos, Tributos e Lucro</t>
  </si>
  <si>
    <t xml:space="preserve">Custos Indiretos, Tributos e Lucro</t>
  </si>
  <si>
    <t xml:space="preserve">Valor líquido mensal dos serviços (sem os tributos)</t>
  </si>
  <si>
    <t xml:space="preserve">Valor mensal dos serviços (incluindo os tributos) - Base para o cálculo dos tributos</t>
  </si>
  <si>
    <t xml:space="preserve">Tributos</t>
  </si>
  <si>
    <t xml:space="preserve">Tributos Federais</t>
  </si>
  <si>
    <t xml:space="preserve">C.1.1</t>
  </si>
  <si>
    <t xml:space="preserve">C.1.2</t>
  </si>
  <si>
    <t xml:space="preserve">C.2</t>
  </si>
  <si>
    <t xml:space="preserve">Tributos Estaduais</t>
  </si>
  <si>
    <t xml:space="preserve">C.2.1</t>
  </si>
  <si>
    <t xml:space="preserve">ICMS</t>
  </si>
  <si>
    <t xml:space="preserve">C.3</t>
  </si>
  <si>
    <t xml:space="preserve">Tributos Municipais</t>
  </si>
  <si>
    <t xml:space="preserve">C.3.1</t>
  </si>
  <si>
    <t xml:space="preserve">C.4</t>
  </si>
  <si>
    <t xml:space="preserve">Outros Tributos (especificar)</t>
  </si>
  <si>
    <t xml:space="preserve">Despesa com Conta Vinculada</t>
  </si>
  <si>
    <t xml:space="preserve">D.1 </t>
  </si>
  <si>
    <r>
      <rPr>
        <sz val="10"/>
        <color rgb="FF000000"/>
        <rFont val="Spranq eco sans"/>
        <family val="0"/>
      </rPr>
      <t xml:space="preserve">Despesa com Abertura de Conta Vinculada</t>
    </r>
    <r>
      <rPr>
        <vertAlign val="superscript"/>
        <sz val="10"/>
        <color rgb="FF000000"/>
        <rFont val="Spranq eco sans"/>
        <family val="0"/>
      </rPr>
      <t xml:space="preserve">(3)</t>
    </r>
  </si>
  <si>
    <t xml:space="preserve">D2</t>
  </si>
  <si>
    <t xml:space="preserve">Despesa com Manutenção da Conta Vinculada</t>
  </si>
  <si>
    <t xml:space="preserve">QUADRO RESUMO DO CUSTO POR EMPREGADO</t>
  </si>
  <si>
    <t xml:space="preserve">MÓDULO 1 - Composição da Remuneração</t>
  </si>
  <si>
    <t xml:space="preserve">B </t>
  </si>
  <si>
    <t xml:space="preserve">MÓDULO 2 - Encargos e Benefícios Anuais, Mensais e Diários</t>
  </si>
  <si>
    <t xml:space="preserve">MÓDULO 3 - Provisão para Rescisão</t>
  </si>
  <si>
    <t xml:space="preserve">MÓDULO 4 - Custo da Reposição do Profissional Ausente</t>
  </si>
  <si>
    <t xml:space="preserve">MÓDULO 5 - Insumos Diversos</t>
  </si>
  <si>
    <t xml:space="preserve">A + B + C + D + E</t>
  </si>
  <si>
    <t xml:space="preserve">MÓDULO 6 - Custos indiretos, Lucro e Tributos</t>
  </si>
  <si>
    <t xml:space="preserve">VALOR TOTAL POR EMPREGADO</t>
  </si>
  <si>
    <r>
      <rPr>
        <vertAlign val="superscript"/>
        <sz val="10"/>
        <color rgb="FF000000"/>
        <rFont val="Spranq eco sans"/>
        <family val="0"/>
      </rPr>
      <t xml:space="preserve">(2) </t>
    </r>
    <r>
      <rPr>
        <sz val="10"/>
        <color rgb="FF000000"/>
        <rFont val="Spranq eco sans"/>
        <family val="0"/>
      </rPr>
      <t xml:space="preserve">Somente preencher caso, por força de cadastro no Ministério do Trabalho, no programa "Empresa Cidadã", a licença maternidade for superior à 120 dias , considerar aqui somento o custo que superar o período de 120 dias.</t>
    </r>
  </si>
  <si>
    <r>
      <rPr>
        <vertAlign val="superscript"/>
        <sz val="10"/>
        <color rgb="FF000000"/>
        <rFont val="Spranq eco sans"/>
        <family val="0"/>
      </rPr>
      <t xml:space="preserve">(3)</t>
    </r>
    <r>
      <rPr>
        <sz val="10"/>
        <color rgb="FF000000"/>
        <rFont val="Spranq eco sans"/>
        <family val="0"/>
      </rPr>
      <t xml:space="preserve"> Custo deverá ser retirado após primeiro ano de Contrato</t>
    </r>
  </si>
  <si>
    <t xml:space="preserve">MEMORIAL DE CÁLCULO  - SERVENTE 44H SEG A SEX</t>
  </si>
  <si>
    <t xml:space="preserve">Divisor de Horas no mês</t>
  </si>
  <si>
    <t xml:space="preserve">Total de Dias do Ano</t>
  </si>
  <si>
    <t xml:space="preserve">Total de Dias Trabalhados no Mês por empregado</t>
  </si>
  <si>
    <t xml:space="preserve">Total da Remuneração (Módulo 1)</t>
  </si>
  <si>
    <t xml:space="preserve">Memória de Cálculo Vale Transporte (Módulo 2)</t>
  </si>
  <si>
    <t xml:space="preserve">Total de Dias do Ano </t>
  </si>
  <si>
    <t xml:space="preserve">Número de Meses</t>
  </si>
  <si>
    <t xml:space="preserve">% de Funcionários Trabalhando </t>
  </si>
  <si>
    <t xml:space="preserve">Número de Vales Transportes / mês</t>
  </si>
  <si>
    <t xml:space="preserve">Valor da Tarifa Modal</t>
  </si>
  <si>
    <t xml:space="preserve">Desconto legal sobre o valor do salário</t>
  </si>
  <si>
    <t xml:space="preserve">Valor do Vale Transporte</t>
  </si>
  <si>
    <t xml:space="preserve">Memória de Cálculo Vale Alimentação (Módulo 2)</t>
  </si>
  <si>
    <t xml:space="preserve">Valor do Vale Alimentação / Refeição</t>
  </si>
  <si>
    <t xml:space="preserve">Desconto legal </t>
  </si>
  <si>
    <t xml:space="preserve">Memória de Cálculo Aviso Prévio Indenizado (Módulo 3)</t>
  </si>
  <si>
    <t xml:space="preserve">Total da Remuneração</t>
  </si>
  <si>
    <t xml:space="preserve">Número de Meses do Ano</t>
  </si>
  <si>
    <t xml:space="preserve">Porcentagem de dispensa sem justa causa com Aviso Prévio Indenizado</t>
  </si>
  <si>
    <t xml:space="preserve">Valor do Aviso Prévio Indenizado</t>
  </si>
  <si>
    <t xml:space="preserve">Memória de Cálculo Multa FGTS e Contribuição Social sobre o Aviso Prévio Indenizado (Módulo 3)</t>
  </si>
  <si>
    <t xml:space="preserve">Porcentagem de dispensas sem justa Causa Com Aviso Prévio Indenizado</t>
  </si>
  <si>
    <t xml:space="preserve">Total de Remuneração</t>
  </si>
  <si>
    <t xml:space="preserve">Base de Cálculo</t>
  </si>
  <si>
    <t xml:space="preserve">Multa sobre FGTS</t>
  </si>
  <si>
    <t xml:space="preserve">Alíquiota mensal de Recolhimento do FGTS</t>
  </si>
  <si>
    <t xml:space="preserve">Valor da Multa FGTS sobre Aviso Prévio Indenizado</t>
  </si>
  <si>
    <t xml:space="preserve">Valor da Multa FGTS e Contribuição Social sobre o Aviso Prévio Indenizado </t>
  </si>
  <si>
    <t xml:space="preserve">Memória de Cálculo Aviso Prévio Trabalhado (Módulo 3)</t>
  </si>
  <si>
    <t xml:space="preserve">Dias do Mês</t>
  </si>
  <si>
    <t xml:space="preserve">Número de dias de redução de jornada</t>
  </si>
  <si>
    <t xml:space="preserve">Porcentagem de dispensa sem justa causa com Aviso Prévio Trabalhado</t>
  </si>
  <si>
    <t xml:space="preserve">Valor do Aviso Prévio Trabalhado</t>
  </si>
  <si>
    <t xml:space="preserve">Memória de Cálculo Multa FGTS e Contribuição Social sobre o Aviso Prévio Trabalhado (Módulo 3)</t>
  </si>
  <si>
    <t xml:space="preserve">Porcentagem de dispensas sem justa Causa Com Aviso Prévio Trabalhado</t>
  </si>
  <si>
    <t xml:space="preserve">Valor da Multa FGTS e Contribuição Social sobre o Aviso Prévio Trabalhado</t>
  </si>
  <si>
    <t xml:space="preserve">Memória de Cálculo Férias (Módulo 4)</t>
  </si>
  <si>
    <t xml:space="preserve">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custo a ser apontado nesta rubrica.</t>
  </si>
  <si>
    <t xml:space="preserve">Memória de Cálculo Ausencias Legais (Módulo 4)</t>
  </si>
  <si>
    <t xml:space="preserve">Total de Remuneração </t>
  </si>
  <si>
    <t xml:space="preserve">Meses do Ano</t>
  </si>
  <si>
    <t xml:space="preserve">Média de Ausencias por Ano </t>
  </si>
  <si>
    <t xml:space="preserve">Valor das Ausencias Legais </t>
  </si>
  <si>
    <t xml:space="preserve">Memória de Cálculo Licença-Paternidade (Módulo 4)</t>
  </si>
  <si>
    <t xml:space="preserve">Média de Dias de Licença por ano </t>
  </si>
  <si>
    <t xml:space="preserve">Porcentagem de incidência de ocorrência da Licença-Paternidade</t>
  </si>
  <si>
    <t xml:space="preserve">Porcentagem de mão de obra masculina contratada</t>
  </si>
  <si>
    <t xml:space="preserve">Valor da Licença-Paternidade </t>
  </si>
  <si>
    <t xml:space="preserve">Memória de Cálculo Ausencia por Acidente de Trabalho (Módulo 4)</t>
  </si>
  <si>
    <t xml:space="preserve">Média de dias pagos pela empresa</t>
  </si>
  <si>
    <t xml:space="preserve">Porcentagem de ocorrência de acidentes de trabalho </t>
  </si>
  <si>
    <t xml:space="preserve">Valor da Ausencia por Acidente de Trabalho</t>
  </si>
  <si>
    <t xml:space="preserve">Memória de Cálculo Ausencia por Doença (Módulo 4)</t>
  </si>
  <si>
    <t xml:space="preserve">Porcentagem de ocorrência por doença</t>
  </si>
  <si>
    <t xml:space="preserve">Valor da Ausencia por Doença</t>
  </si>
  <si>
    <t xml:space="preserve">,</t>
  </si>
  <si>
    <t xml:space="preserve">Memória de Cálculo Afastamento Maternidade (Módulo 4)</t>
  </si>
  <si>
    <t xml:space="preserve">Férias pagas ao Substituto pelos 120 dias de reposição</t>
  </si>
  <si>
    <t xml:space="preserve">Terço Constitucional </t>
  </si>
  <si>
    <t xml:space="preserve">Meses de Afastamento </t>
  </si>
  <si>
    <t xml:space="preserve">Porcentagem de ocorrência do Afastamento Maternidade</t>
  </si>
  <si>
    <t xml:space="preserve">Porcentagem de mão de obra feminina contratada</t>
  </si>
  <si>
    <t xml:space="preserve">Valor da Licença-Maternidade - Férias do Substituto</t>
  </si>
  <si>
    <t xml:space="preserve">Incidência dos encargos (módulo 2.2) - proporcionais 120 dias de Reposição</t>
  </si>
  <si>
    <t xml:space="preserve">Incidência dos encargos (módulo 2.2) </t>
  </si>
  <si>
    <t xml:space="preserve">Valor da Licença-Maternidade - Incidência de Encargos</t>
  </si>
  <si>
    <t xml:space="preserve">Total de contratações CAGED período Out 2020 a Mar 2021 - 77 contratações - 59 (76,62%) masculinas e 18 (49,93%) femininas - Consulta realizada em 04/10/2021</t>
  </si>
  <si>
    <t xml:space="preserve">Servente 44h Seg a Sex</t>
  </si>
  <si>
    <t xml:space="preserve">5143-20</t>
  </si>
  <si>
    <t xml:space="preserve">Total de contratações CAGED período Out 2020 a Mar 2021 - 26.401 contratações -  12.917 (48,93%) masculinas e 13.484 (51,07%) femininas - Consulta realizada em 04/10/2021</t>
  </si>
  <si>
    <t xml:space="preserve">Servente 44h Seg a Sex c/ insalubridade 40%</t>
  </si>
  <si>
    <t xml:space="preserve">MEMORIAL DE CÁLCULO  - SERVENTE C/ INSALUBRIDADE 40 % 44H SEG A SEX</t>
  </si>
  <si>
    <t xml:space="preserve">Servente 44h Seg a Sex c/ insalubridade 20%</t>
  </si>
  <si>
    <t xml:space="preserve">MEMORIAL DE CÁLCULO  - SERVENTE C/ INSALUBRIDADE 20 % 44H SEG A SEX</t>
  </si>
  <si>
    <t xml:space="preserve">Servente Lider 44h Seg a Sex </t>
  </si>
  <si>
    <t xml:space="preserve">MEMORIAL DE CÁLCULO  - SERVENTE LIDER 44H SEG A SEX</t>
  </si>
  <si>
    <t xml:space="preserve">Servente 44h Seg a Sab</t>
  </si>
  <si>
    <t xml:space="preserve">MEMORIAL DE CÁLCULO  - SERVENTE 44H SEG A SAB</t>
  </si>
  <si>
    <t xml:space="preserve">Servente 44h Seg a Sáb c/ insalubridade</t>
  </si>
  <si>
    <t xml:space="preserve">MEMORIAL DE CÁLCULO  - SERVENTE C/ INSALUBRIDADE 44H SEG A SÁB</t>
  </si>
  <si>
    <t xml:space="preserve">Servente Lider 44h Seg a Sáb </t>
  </si>
  <si>
    <t xml:space="preserve">MEMORIAL DE CÁLCULO  - SERVENTE LIDER 44H SEG A SÁB</t>
  </si>
  <si>
    <t xml:space="preserve">Encarregado 44h Seg a Sab</t>
  </si>
  <si>
    <t xml:space="preserve">4101-05</t>
  </si>
  <si>
    <t xml:space="preserve">Piso da Categoria </t>
  </si>
  <si>
    <t xml:space="preserve">MEMORIAL DE CÁLCULO  - ENCARREGADO 44H SEG A SAB</t>
  </si>
  <si>
    <t xml:space="preserve">Total de contratações CAGED período Jul 2019 a Dez 2019 - 2.744 contratações - 1.206 ( 43,95%) masculinas e 1.538 (56,05%) femininas - Consulta realizada em 26/10/2020</t>
  </si>
  <si>
    <t xml:space="preserve">Universidade Federal do Rio de Janeiro</t>
  </si>
  <si>
    <t xml:space="preserve">PRÓ-REITORIA DE GESTÃO E GOVERNANÇA - PR6</t>
  </si>
  <si>
    <t xml:space="preserve">Instrumento de Medição de Resultado (IMR)</t>
  </si>
  <si>
    <t xml:space="preserve">UNIDADE:</t>
  </si>
  <si>
    <t xml:space="preserve">(Unidade) - UFRJ</t>
  </si>
  <si>
    <t xml:space="preserve">EMPRESA:</t>
  </si>
  <si>
    <t xml:space="preserve">CONTRATO:</t>
  </si>
  <si>
    <t xml:space="preserve">MÊS/ANO:</t>
  </si>
  <si>
    <t xml:space="preserve">Marque com "X' a nota correspondente</t>
  </si>
  <si>
    <r>
      <rPr>
        <sz val="9"/>
        <color rgb="FF000000"/>
        <rFont val="Spranq eco sans"/>
        <family val="0"/>
      </rPr>
      <t xml:space="preserve">Módulo A - </t>
    </r>
    <r>
      <rPr>
        <b val="true"/>
        <sz val="9"/>
        <color rgb="FF000000"/>
        <rFont val="Spranq eco sans"/>
        <family val="0"/>
      </rPr>
      <t xml:space="preserve">EQUIPAMENTO / PRODUTO</t>
    </r>
  </si>
  <si>
    <t xml:space="preserve">BOM</t>
  </si>
  <si>
    <t xml:space="preserve">REGULAR</t>
  </si>
  <si>
    <t xml:space="preserve">RUIM</t>
  </si>
  <si>
    <t xml:space="preserve"> FISCAL DO CONTRATO</t>
  </si>
  <si>
    <t xml:space="preserve">ASSINATURA E CARIMBO:</t>
  </si>
  <si>
    <t xml:space="preserve">DATA:</t>
  </si>
  <si>
    <t xml:space="preserve">Equipamentos e Produtos de Limpeza</t>
  </si>
  <si>
    <t xml:space="preserve">X</t>
  </si>
  <si>
    <r>
      <rPr>
        <sz val="9"/>
        <color rgb="FF000000"/>
        <rFont val="Spranq eco sans"/>
        <family val="0"/>
      </rPr>
      <t xml:space="preserve">Módulo B -</t>
    </r>
    <r>
      <rPr>
        <b val="true"/>
        <sz val="9"/>
        <color rgb="FF000000"/>
        <rFont val="Spranq eco sans"/>
        <family val="0"/>
      </rPr>
      <t xml:space="preserve"> PESSOAL / APRESENTAÇÃO / EPI</t>
    </r>
  </si>
  <si>
    <t xml:space="preserve">Quantidade da Equipe</t>
  </si>
  <si>
    <t xml:space="preserve">Apresentação - Uniformização</t>
  </si>
  <si>
    <t xml:space="preserve">B.3</t>
  </si>
  <si>
    <t xml:space="preserve">Equipamento de Proteção Individual</t>
  </si>
  <si>
    <t xml:space="preserve">B.4</t>
  </si>
  <si>
    <t xml:space="preserve">Qualidade da Equipe</t>
  </si>
  <si>
    <r>
      <rPr>
        <sz val="9"/>
        <color rgb="FF000000"/>
        <rFont val="Spranq eco sans"/>
        <family val="0"/>
      </rPr>
      <t xml:space="preserve">Módulo C - </t>
    </r>
    <r>
      <rPr>
        <b val="true"/>
        <sz val="9"/>
        <color rgb="FF000000"/>
        <rFont val="Spranq eco sans"/>
        <family val="0"/>
      </rPr>
      <t xml:space="preserve">FREQUÊNCIA DOS SERVIÇOS</t>
    </r>
  </si>
  <si>
    <t xml:space="preserve">Cumprimento de cronograma e atividades</t>
  </si>
  <si>
    <r>
      <rPr>
        <sz val="9"/>
        <color rgb="FF000000"/>
        <rFont val="Spranq eco sans"/>
        <family val="0"/>
      </rPr>
      <t xml:space="preserve">Módulo D - </t>
    </r>
    <r>
      <rPr>
        <b val="true"/>
        <sz val="9"/>
        <color rgb="FF000000"/>
        <rFont val="Spranq eco sans"/>
        <family val="0"/>
      </rPr>
      <t xml:space="preserve">INSPEÇÃO DOS SERVIÇOS NAS ÁREAS</t>
    </r>
  </si>
  <si>
    <t xml:space="preserve">Não se Aplica</t>
  </si>
  <si>
    <t xml:space="preserve">ACESSÓRIOS SANITÁRIOS (espelhos, toalheiro, saboneteia e afins)</t>
  </si>
  <si>
    <t xml:space="preserve">D.2</t>
  </si>
  <si>
    <t xml:space="preserve">LOUÇAS SANITÁRIAS (vaso, mictório)</t>
  </si>
  <si>
    <t xml:space="preserve"> DIRETOR DA UNIDADE</t>
  </si>
  <si>
    <t xml:space="preserve">D.3</t>
  </si>
  <si>
    <t xml:space="preserve">MÓVEIS</t>
  </si>
  <si>
    <t xml:space="preserve">D.4</t>
  </si>
  <si>
    <t xml:space="preserve">PAREDES e AZULEJOS</t>
  </si>
  <si>
    <t xml:space="preserve">D.5</t>
  </si>
  <si>
    <t xml:space="preserve">PIA e CUBA</t>
  </si>
  <si>
    <t xml:space="preserve">D.6</t>
  </si>
  <si>
    <t xml:space="preserve">PISO</t>
  </si>
  <si>
    <t xml:space="preserve">D.7</t>
  </si>
  <si>
    <t xml:space="preserve">RECIPIENTE PARA RESÍDUOS (lixeira)</t>
  </si>
  <si>
    <t xml:space="preserve">D.8</t>
  </si>
  <si>
    <t xml:space="preserve">SAÍDA DE AR CONDICIONADO e EXAUSTOR</t>
  </si>
  <si>
    <t xml:space="preserve">D.9</t>
  </si>
  <si>
    <t xml:space="preserve">TETO</t>
  </si>
  <si>
    <t xml:space="preserve">D.10</t>
  </si>
  <si>
    <t xml:space="preserve">VIDROS, ESQUADRIAS ou FACHADA ENVIDRAÇADA</t>
  </si>
  <si>
    <t xml:space="preserve">D.11</t>
  </si>
  <si>
    <t xml:space="preserve">RECOLHIMENTO DE RESÍDUOS (recolhimento do lixo até o destino interno)</t>
  </si>
  <si>
    <t xml:space="preserve">D.12</t>
  </si>
  <si>
    <t xml:space="preserve">ESCADA, ELEVADOR OU RAMPA</t>
  </si>
  <si>
    <t xml:space="preserve">Nota Obtida</t>
  </si>
  <si>
    <t xml:space="preserve">Qtd de Itens avaliados</t>
  </si>
  <si>
    <t xml:space="preserve">Equivalência</t>
  </si>
  <si>
    <t xml:space="preserve">Pontos obtidos</t>
  </si>
  <si>
    <t xml:space="preserve">Total de Pontos</t>
  </si>
  <si>
    <t xml:space="preserve">Pontos</t>
  </si>
  <si>
    <r>
      <rPr>
        <i val="true"/>
        <sz val="9"/>
        <color rgb="FF000000"/>
        <rFont val="Spranq eco sans"/>
        <family val="0"/>
      </rPr>
      <t xml:space="preserve">Número de Serventes previstos para sua unidade</t>
    </r>
    <r>
      <rPr>
        <i val="true"/>
        <vertAlign val="superscript"/>
        <sz val="9"/>
        <color rgb="FF000000"/>
        <rFont val="Spranq eco sans"/>
        <family val="0"/>
      </rPr>
      <t xml:space="preserve">(*)</t>
    </r>
    <r>
      <rPr>
        <i val="true"/>
        <sz val="9"/>
        <color rgb="FF000000"/>
        <rFont val="Spranq eco sans"/>
        <family val="0"/>
      </rPr>
      <t xml:space="preserve">:</t>
    </r>
  </si>
  <si>
    <t xml:space="preserve">Número de Serventes presentes no mês avaliado:</t>
  </si>
  <si>
    <t xml:space="preserve">NOTA</t>
  </si>
  <si>
    <t xml:space="preserve">RESULTADO</t>
  </si>
  <si>
    <t xml:space="preserve">% DE LIBERAÇÃO</t>
  </si>
  <si>
    <t xml:space="preserve">NOTA MAIOR OU IGUAL A 93 PONTOS</t>
  </si>
  <si>
    <t xml:space="preserve">NOTA ENTRE 92 E  90 PONTOS</t>
  </si>
  <si>
    <t xml:space="preserve">NOTA ENTRE 89 E 88 PONTOS</t>
  </si>
  <si>
    <r>
      <rPr>
        <sz val="9"/>
        <color rgb="FF000000"/>
        <rFont val="Spranq eco sans"/>
        <family val="0"/>
      </rPr>
      <t xml:space="preserve">Valor mensal c/ mão de Obra</t>
    </r>
    <r>
      <rPr>
        <vertAlign val="superscript"/>
        <sz val="9"/>
        <color rgb="FF000000"/>
        <rFont val="Spranq eco sans"/>
        <family val="0"/>
      </rPr>
      <t xml:space="preserve"> </t>
    </r>
  </si>
  <si>
    <t xml:space="preserve">NOTA ENTRE 87 E 86 PONTOS</t>
  </si>
  <si>
    <t xml:space="preserve">Valor mensal c/ material</t>
  </si>
  <si>
    <t xml:space="preserve">NOTA ENTRE 85 E 84 PONTOS </t>
  </si>
  <si>
    <r>
      <rPr>
        <sz val="9"/>
        <color rgb="FF000000"/>
        <rFont val="Spranq eco sans"/>
        <family val="0"/>
      </rPr>
      <t xml:space="preserve">Valor mensal do contrato</t>
    </r>
    <r>
      <rPr>
        <vertAlign val="superscript"/>
        <sz val="9"/>
        <color rgb="FF000000"/>
        <rFont val="Spranq eco sans"/>
        <family val="0"/>
      </rPr>
      <t xml:space="preserve"> </t>
    </r>
  </si>
  <si>
    <t xml:space="preserve">NOTA ENTRE 83 E 82 PONTOS </t>
  </si>
  <si>
    <t xml:space="preserve">Percentual de liberação</t>
  </si>
  <si>
    <t xml:space="preserve">NOTA MENOR OU IGUAL A 81 PONTOS</t>
  </si>
  <si>
    <t xml:space="preserve">Valor liberado para Faturamento</t>
  </si>
  <si>
    <t xml:space="preserve">pag 01/02</t>
  </si>
  <si>
    <t xml:space="preserve">OCORRÊNCIAS OBSERVADAS EM RELAÇÃO À CONTRATADA – JUSTIFICATIVAS DA AVALIAÇÃO:</t>
  </si>
  <si>
    <t xml:space="preserve">Este relatório resumo é obrigatório principalmente nos casos em que a fiscalização apontar falhas na execução do contrato atribuindo notas inferiores a 03 (três) nos itens avaliados.  Deve ser usado para relatar todas as falhas ocorridas durante a execução do objeto.</t>
  </si>
  <si>
    <t xml:space="preserve">CIENTE DO DIRETOR DA UNIDADE</t>
  </si>
  <si>
    <t xml:space="preserve">CIENTE DO FISCAL DO CONTRATO</t>
  </si>
  <si>
    <t xml:space="preserve">pag 02/02</t>
  </si>
  <si>
    <t xml:space="preserve">UNIVERSIDADE FEDERAL DO RIO DE JANEIRO  </t>
  </si>
  <si>
    <t xml:space="preserve">INSTRUMENTO DE CONSOLIDAÇÃO DE RESULTADO DOS SERVIÇOS DE LIMPEZA</t>
  </si>
  <si>
    <t xml:space="preserve">CONTRATO Nº:</t>
  </si>
  <si>
    <t xml:space="preserve">CONTRATADA:</t>
  </si>
  <si>
    <t xml:space="preserve">FISCAL ADMINISTRATIVO:</t>
  </si>
  <si>
    <t xml:space="preserve">AVALIAÇÃO REFERENTE AO PERÍODO:</t>
  </si>
  <si>
    <t xml:space="preserve">ÁREA:</t>
  </si>
  <si>
    <t xml:space="preserve">QUANTIDADE DE UNIDADES COM FISCAL OPERACIONAL NA ÁREA:</t>
  </si>
  <si>
    <t xml:space="preserve">UNIDADES BENEFICIADAS COM O SERVIÇO</t>
  </si>
  <si>
    <t xml:space="preserve">Nota Final</t>
  </si>
  <si>
    <t xml:space="preserve">MÉDIA GERAL</t>
  </si>
  <si>
    <t xml:space="preserve">CONCEITO FINAL</t>
  </si>
  <si>
    <t xml:space="preserve">Conceito</t>
  </si>
  <si>
    <t xml:space="preserve">Nota Média Mensal Apurada</t>
  </si>
  <si>
    <t xml:space="preserve">Avaliações realizadas ANO 20XX/20XX</t>
  </si>
  <si>
    <t xml:space="preserve">Maior ou Igual a 93</t>
  </si>
  <si>
    <t xml:space="preserve">Mês 01</t>
  </si>
  <si>
    <t xml:space="preserve">Mês 07</t>
  </si>
  <si>
    <t xml:space="preserve">Entre 92 e 90</t>
  </si>
  <si>
    <t xml:space="preserve">Mês 02</t>
  </si>
  <si>
    <t xml:space="preserve">Mês 08</t>
  </si>
  <si>
    <t xml:space="preserve">Entre 89 e 88</t>
  </si>
  <si>
    <t xml:space="preserve">Mês 03</t>
  </si>
  <si>
    <t xml:space="preserve">Mês 09</t>
  </si>
  <si>
    <t xml:space="preserve">Entre 87 e 86</t>
  </si>
  <si>
    <t xml:space="preserve">Mês 04</t>
  </si>
  <si>
    <t xml:space="preserve">Mês 10</t>
  </si>
  <si>
    <t xml:space="preserve">Entre 85 e 84</t>
  </si>
  <si>
    <t xml:space="preserve">Mês 05</t>
  </si>
  <si>
    <t xml:space="preserve">Mês 11</t>
  </si>
  <si>
    <t xml:space="preserve">Entre 83 e 82</t>
  </si>
  <si>
    <t xml:space="preserve">Mês 06</t>
  </si>
  <si>
    <t xml:space="preserve">Mês 12</t>
  </si>
  <si>
    <t xml:space="preserve">Menor ou Igual a 81</t>
  </si>
  <si>
    <t xml:space="preserve">Média Acumulada</t>
  </si>
  <si>
    <t xml:space="preserve">Sanção:</t>
  </si>
  <si>
    <t xml:space="preserve">Fiscal Administrativo</t>
  </si>
  <si>
    <t xml:space="preserve">Gestor PR-6</t>
  </si>
  <si>
    <t xml:space="preserve">Responsável da Contratada</t>
  </si>
  <si>
    <t xml:space="preserve">CONTROLE DE MATERIAIS DO (Unidade) - UFRJ</t>
  </si>
  <si>
    <t xml:space="preserve">Valor estimado mensal:</t>
  </si>
  <si>
    <t xml:space="preserve">ITEM</t>
  </si>
  <si>
    <t xml:space="preserve">QTD. Mensal</t>
  </si>
  <si>
    <t xml:space="preserve">Controle Anual dos Recebimentos ao longo do ano de contato</t>
  </si>
  <si>
    <t xml:space="preserve">Qtd Anual Estimada</t>
  </si>
  <si>
    <t xml:space="preserve">Saldo</t>
  </si>
  <si>
    <t xml:space="preserve">Valor Unitário Mensal</t>
  </si>
  <si>
    <t xml:space="preserve">Controle dos Pagamentos a serem efetuados ao longo do ano de contato</t>
  </si>
  <si>
    <t xml:space="preserve">1º</t>
  </si>
  <si>
    <t xml:space="preserve">2º</t>
  </si>
  <si>
    <t xml:space="preserve">3º</t>
  </si>
  <si>
    <t xml:space="preserve">4º</t>
  </si>
  <si>
    <t xml:space="preserve">5º</t>
  </si>
  <si>
    <t xml:space="preserve">6º</t>
  </si>
  <si>
    <t xml:space="preserve">7º</t>
  </si>
  <si>
    <t xml:space="preserve">8º</t>
  </si>
  <si>
    <t xml:space="preserve">9º</t>
  </si>
  <si>
    <t xml:space="preserve">10º</t>
  </si>
  <si>
    <t xml:space="preserve">11º</t>
  </si>
  <si>
    <t xml:space="preserve">12º</t>
  </si>
  <si>
    <t xml:space="preserve">Valor Mensal à Receber</t>
  </si>
  <si>
    <t xml:space="preserve">Assinatura do Fiscal: _____________________________________________________ Assinatura Rep. Empresa __________________________________________________</t>
  </si>
  <si>
    <t xml:space="preserve">Data:_______/________/_________</t>
  </si>
  <si>
    <t xml:space="preserve">1º mês de Contrato</t>
  </si>
  <si>
    <t xml:space="preserve">2º mês de Contrato</t>
  </si>
  <si>
    <t xml:space="preserve">3º mês de Contrato</t>
  </si>
  <si>
    <t xml:space="preserve">4º mês de Contrato</t>
  </si>
  <si>
    <t xml:space="preserve">5º mês de Contrato</t>
  </si>
  <si>
    <t xml:space="preserve">6º mês de Contrato</t>
  </si>
  <si>
    <t xml:space="preserve">7º mês de Contrato</t>
  </si>
  <si>
    <t xml:space="preserve">8º mês de Contrato</t>
  </si>
  <si>
    <t xml:space="preserve">9º mês de Contrato</t>
  </si>
  <si>
    <t xml:space="preserve">10º mês de Contrato</t>
  </si>
  <si>
    <t xml:space="preserve">11º mês de Contrato</t>
  </si>
  <si>
    <t xml:space="preserve">12º mês de Contrato</t>
  </si>
  <si>
    <t xml:space="preserve">Instrumento de Medição de Resultado (IMR) - CONTROLE DE ÁREA FÍSICA LIMPA</t>
  </si>
  <si>
    <t xml:space="preserve">Prédio do CCS</t>
  </si>
  <si>
    <t xml:space="preserve">MÊS / ANO</t>
  </si>
  <si>
    <t xml:space="preserve">CONTRATADO</t>
  </si>
  <si>
    <t xml:space="preserve">ÁREA LIMPA AFERIDA NO MÊS</t>
  </si>
  <si>
    <t xml:space="preserve">Valor Liberado</t>
  </si>
  <si>
    <t xml:space="preserve">ÁREA </t>
  </si>
  <si>
    <t xml:space="preserve">Carga Horária</t>
  </si>
  <si>
    <r>
      <rPr>
        <sz val="11"/>
        <color rgb="FF000000"/>
        <rFont val="Spranq eco sans"/>
        <family val="0"/>
      </rPr>
      <t xml:space="preserve">M</t>
    </r>
    <r>
      <rPr>
        <vertAlign val="superscript"/>
        <sz val="11"/>
        <color rgb="FF000000"/>
        <rFont val="Spranq eco sans"/>
        <family val="0"/>
      </rPr>
      <t xml:space="preserve">2</t>
    </r>
  </si>
  <si>
    <r>
      <rPr>
        <sz val="11"/>
        <color rgb="FF000000"/>
        <rFont val="Spranq eco sans"/>
        <family val="0"/>
      </rPr>
      <t xml:space="preserve">Valor m</t>
    </r>
    <r>
      <rPr>
        <vertAlign val="superscript"/>
        <sz val="11"/>
        <color rgb="FF000000"/>
        <rFont val="Spranq eco sans"/>
        <family val="0"/>
      </rPr>
      <t xml:space="preserve">2</t>
    </r>
  </si>
  <si>
    <t xml:space="preserve">Diurno </t>
  </si>
  <si>
    <t xml:space="preserve">44h Seg a Sex</t>
  </si>
  <si>
    <t xml:space="preserve">Esquadria</t>
  </si>
  <si>
    <t xml:space="preserve">44h Seg a Sáb</t>
  </si>
  <si>
    <t xml:space="preserve">OBS: Somente preencher as áreas em branco</t>
  </si>
  <si>
    <t xml:space="preserve">DIRETOR DA UNIDADE</t>
  </si>
  <si>
    <t xml:space="preserve">FISCAL DO CONTRATO</t>
  </si>
</sst>
</file>

<file path=xl/styles.xml><?xml version="1.0" encoding="utf-8"?>
<styleSheet xmlns="http://schemas.openxmlformats.org/spreadsheetml/2006/main">
  <numFmts count="25">
    <numFmt numFmtId="164" formatCode="General"/>
    <numFmt numFmtId="165" formatCode="&quot; R$ &quot;#,##0.00\ ;&quot; R$ (&quot;#,##0.00\);&quot; R$ -&quot;00\ ;\ @\ "/>
    <numFmt numFmtId="166" formatCode="0%"/>
    <numFmt numFmtId="167" formatCode="#,##0"/>
    <numFmt numFmtId="168" formatCode="[$R$]\ #,##0.00"/>
    <numFmt numFmtId="169" formatCode="#&quot;    m²&quot;"/>
    <numFmt numFmtId="170" formatCode="#&quot; m²&quot;"/>
    <numFmt numFmtId="171" formatCode="&quot;R$ &quot;#,##0.00"/>
    <numFmt numFmtId="172" formatCode="#,##0.00000000"/>
    <numFmt numFmtId="173" formatCode="#,##0.00"/>
    <numFmt numFmtId="174" formatCode="#,##0;\-#,##0"/>
    <numFmt numFmtId="175" formatCode="0.000000000"/>
    <numFmt numFmtId="176" formatCode="[$R$]\ #,##0.00\ ;\-[$R$]\ #,##0.00\ ;[$R$]&quot; -&quot;00\ ;\ @\ "/>
    <numFmt numFmtId="177" formatCode="\ #,##0.00\ ;\-#,##0.00\ ;\-00\ ;\ @\ "/>
    <numFmt numFmtId="178" formatCode="@"/>
    <numFmt numFmtId="179" formatCode="0.00%"/>
    <numFmt numFmtId="180" formatCode="&quot; R$ &quot;#,##0.00\ ;&quot; R$ (&quot;#,##0.00\);&quot; R$ -&quot;#\ ;@\ "/>
    <numFmt numFmtId="181" formatCode="MMM/YY"/>
    <numFmt numFmtId="182" formatCode="#,##0.00;\-#,##0.00"/>
    <numFmt numFmtId="183" formatCode="[$R$]\ #,##0.00;[RED]\-[$R$]\ #,##0.00"/>
    <numFmt numFmtId="184" formatCode="&quot;R$ &quot;#,##0.00\ ;&quot;(R$ &quot;#,##0.00\)"/>
    <numFmt numFmtId="185" formatCode="0\ ;\-0\ "/>
    <numFmt numFmtId="186" formatCode="[$R$]\ #,##0.00;\-[$R$]\ #,##0.00"/>
    <numFmt numFmtId="187" formatCode="DD/MM/YYYY"/>
    <numFmt numFmtId="188" formatCode="0\ ;[RED]\-0\ "/>
  </numFmts>
  <fonts count="64">
    <font>
      <sz val="11"/>
      <color rgb="FF000000"/>
      <name val="Calibri"/>
      <family val="0"/>
    </font>
    <font>
      <sz val="10"/>
      <name val="Arial"/>
      <family val="0"/>
    </font>
    <font>
      <sz val="10"/>
      <name val="Arial"/>
      <family val="0"/>
    </font>
    <font>
      <sz val="10"/>
      <name val="Arial"/>
      <family val="0"/>
    </font>
    <font>
      <sz val="10"/>
      <color rgb="FF000000"/>
      <name val="Arial"/>
      <family val="0"/>
    </font>
    <font>
      <b val="true"/>
      <sz val="11"/>
      <color rgb="FF000000"/>
      <name val="Calibri"/>
      <family val="0"/>
    </font>
    <font>
      <b val="true"/>
      <sz val="11"/>
      <color rgb="FF9C0006"/>
      <name val="Calibri"/>
      <family val="0"/>
    </font>
    <font>
      <b val="true"/>
      <sz val="11"/>
      <color rgb="FFFFFFFF"/>
      <name val="Calibri"/>
      <family val="0"/>
    </font>
    <font>
      <b val="true"/>
      <sz val="11"/>
      <color rgb="FF006100"/>
      <name val="Calibri"/>
      <family val="0"/>
    </font>
    <font>
      <sz val="11"/>
      <color rgb="FF006100"/>
      <name val="Calibri"/>
      <family val="0"/>
    </font>
    <font>
      <sz val="11"/>
      <color rgb="FF9C6500"/>
      <name val="Calibri"/>
      <family val="0"/>
    </font>
    <font>
      <sz val="11"/>
      <color rgb="FF9C0006"/>
      <name val="Calibri"/>
      <family val="0"/>
    </font>
    <font>
      <sz val="11"/>
      <color rgb="FF000000"/>
      <name val="Spranq eco sans"/>
      <family val="0"/>
    </font>
    <font>
      <sz val="8"/>
      <color rgb="FF000000"/>
      <name val="Spranq eco sans"/>
      <family val="0"/>
    </font>
    <font>
      <sz val="12"/>
      <color rgb="FF000000"/>
      <name val="Spranq eco sans"/>
      <family val="0"/>
    </font>
    <font>
      <b val="true"/>
      <sz val="14"/>
      <color rgb="FFFF0000"/>
      <name val="Spranq eco sans"/>
      <family val="0"/>
    </font>
    <font>
      <b val="true"/>
      <sz val="14"/>
      <color rgb="FFFF0000"/>
      <name val="Arial"/>
      <family val="0"/>
    </font>
    <font>
      <sz val="8"/>
      <color rgb="FFFF0000"/>
      <name val="Spranq eco sans"/>
      <family val="0"/>
    </font>
    <font>
      <b val="true"/>
      <sz val="8"/>
      <color rgb="FF000000"/>
      <name val="Spranq eco sans"/>
      <family val="0"/>
    </font>
    <font>
      <b val="true"/>
      <sz val="12"/>
      <color rgb="FF000000"/>
      <name val="Spranq eco sans"/>
      <family val="0"/>
    </font>
    <font>
      <b val="true"/>
      <sz val="10"/>
      <color rgb="FF000000"/>
      <name val="Spranq eco sans"/>
      <family val="0"/>
    </font>
    <font>
      <sz val="7"/>
      <color rgb="FF000000"/>
      <name val="Spranq eco sans"/>
      <family val="0"/>
    </font>
    <font>
      <b val="true"/>
      <sz val="7"/>
      <color rgb="FFFFFFFF"/>
      <name val="Spranq eco sans"/>
      <family val="0"/>
    </font>
    <font>
      <sz val="9"/>
      <color rgb="FF000000"/>
      <name val="Spranq eco sans"/>
      <family val="0"/>
    </font>
    <font>
      <sz val="10"/>
      <color rgb="FFFFFFFF"/>
      <name val="Spranq eco sans"/>
      <family val="0"/>
    </font>
    <font>
      <sz val="10"/>
      <color rgb="FF000000"/>
      <name val="Spranq eco sans"/>
      <family val="0"/>
    </font>
    <font>
      <b val="true"/>
      <sz val="11"/>
      <color rgb="FFFFFFFF"/>
      <name val="Spranq eco sans"/>
      <family val="0"/>
    </font>
    <font>
      <b val="true"/>
      <sz val="10"/>
      <color rgb="FFFF0000"/>
      <name val="Spranq eco sans"/>
      <family val="0"/>
    </font>
    <font>
      <b val="true"/>
      <sz val="10"/>
      <color rgb="FFFFFFFF"/>
      <name val="Spranq eco sans"/>
      <family val="0"/>
    </font>
    <font>
      <b val="true"/>
      <sz val="7"/>
      <color rgb="FF000000"/>
      <name val="Spranq eco sans"/>
      <family val="0"/>
    </font>
    <font>
      <b val="true"/>
      <sz val="9"/>
      <color rgb="FFFFFFFF"/>
      <name val="Spranq eco sans"/>
      <family val="0"/>
    </font>
    <font>
      <b val="true"/>
      <vertAlign val="superscript"/>
      <sz val="8"/>
      <color rgb="FF000000"/>
      <name val="Spranq eco sans"/>
      <family val="0"/>
    </font>
    <font>
      <b val="true"/>
      <sz val="9"/>
      <color rgb="FF000000"/>
      <name val="Spranq eco sans"/>
      <family val="0"/>
    </font>
    <font>
      <b val="true"/>
      <sz val="11"/>
      <color rgb="FF000000"/>
      <name val="Spranq eco sans"/>
      <family val="0"/>
    </font>
    <font>
      <vertAlign val="superscript"/>
      <sz val="8"/>
      <color rgb="FF000000"/>
      <name val="Spranq eco sans"/>
      <family val="0"/>
    </font>
    <font>
      <vertAlign val="superscript"/>
      <sz val="9"/>
      <color rgb="FF000000"/>
      <name val="Spranq eco sans"/>
      <family val="0"/>
    </font>
    <font>
      <b val="true"/>
      <sz val="8"/>
      <color rgb="FFFFFFFF"/>
      <name val="Spranq eco sans"/>
      <family val="0"/>
    </font>
    <font>
      <sz val="8"/>
      <color rgb="FFFFFFFF"/>
      <name val="Spranq eco sans"/>
      <family val="0"/>
    </font>
    <font>
      <b val="true"/>
      <sz val="8"/>
      <color rgb="FFFF0000"/>
      <name val="Spranq eco sans"/>
      <family val="0"/>
    </font>
    <font>
      <b val="true"/>
      <sz val="8"/>
      <color rgb="FFF2F2F2"/>
      <name val="Spranq eco sans"/>
      <family val="0"/>
    </font>
    <font>
      <b val="true"/>
      <sz val="6"/>
      <color rgb="FFFFFFFF"/>
      <name val="Spranq eco sans"/>
      <family val="0"/>
    </font>
    <font>
      <b val="true"/>
      <sz val="12"/>
      <color rgb="FFFF0000"/>
      <name val="Spranq eco sans"/>
      <family val="0"/>
    </font>
    <font>
      <sz val="10"/>
      <color rgb="FFFF0000"/>
      <name val="Spranq eco sans"/>
      <family val="0"/>
    </font>
    <font>
      <i val="true"/>
      <sz val="10"/>
      <color rgb="FF000000"/>
      <name val="Spranq eco sans"/>
      <family val="0"/>
    </font>
    <font>
      <vertAlign val="superscript"/>
      <sz val="10"/>
      <color rgb="FF000000"/>
      <name val="Spranq eco sans"/>
      <family val="0"/>
    </font>
    <font>
      <b val="true"/>
      <u val="single"/>
      <sz val="9"/>
      <color rgb="FF000000"/>
      <name val="Spranq eco sans"/>
      <family val="0"/>
    </font>
    <font>
      <sz val="9"/>
      <color rgb="FFFFFFFF"/>
      <name val="Spranq eco sans"/>
      <family val="0"/>
    </font>
    <font>
      <sz val="14"/>
      <color rgb="FF000000"/>
      <name val="Spranq eco sans"/>
      <family val="0"/>
    </font>
    <font>
      <b val="true"/>
      <sz val="20"/>
      <color rgb="FF000000"/>
      <name val="Spranq eco sans"/>
      <family val="0"/>
    </font>
    <font>
      <sz val="10"/>
      <color rgb="FFFF0000"/>
      <name val="Arial"/>
      <family val="0"/>
    </font>
    <font>
      <i val="true"/>
      <sz val="9"/>
      <color rgb="FF000000"/>
      <name val="Spranq eco sans"/>
      <family val="0"/>
    </font>
    <font>
      <i val="true"/>
      <vertAlign val="superscript"/>
      <sz val="9"/>
      <color rgb="FF000000"/>
      <name val="Spranq eco sans"/>
      <family val="0"/>
    </font>
    <font>
      <sz val="6"/>
      <color rgb="FF000000"/>
      <name val="Spranq eco sans"/>
      <family val="0"/>
    </font>
    <font>
      <b val="true"/>
      <i val="true"/>
      <sz val="9"/>
      <color rgb="FF000000"/>
      <name val="Spranq eco sans"/>
      <family val="0"/>
    </font>
    <font>
      <sz val="15"/>
      <color rgb="FF000000"/>
      <name val="Arial"/>
      <family val="0"/>
    </font>
    <font>
      <i val="true"/>
      <sz val="10"/>
      <color rgb="FF000000"/>
      <name val="Arial"/>
      <family val="0"/>
    </font>
    <font>
      <sz val="8"/>
      <color rgb="FF000000"/>
      <name val="Arial"/>
      <family val="0"/>
    </font>
    <font>
      <b val="true"/>
      <sz val="10"/>
      <color rgb="FFFFFFFF"/>
      <name val="Arial"/>
      <family val="0"/>
    </font>
    <font>
      <sz val="10"/>
      <color rgb="FFFFFFFF"/>
      <name val="Arial"/>
      <family val="0"/>
    </font>
    <font>
      <sz val="16"/>
      <color rgb="FF000000"/>
      <name val="Spranq eco sans"/>
      <family val="0"/>
    </font>
    <font>
      <sz val="20"/>
      <color rgb="FF000000"/>
      <name val="Spranq eco sans"/>
      <family val="0"/>
    </font>
    <font>
      <b val="true"/>
      <i val="true"/>
      <sz val="8"/>
      <color rgb="FFFF0000"/>
      <name val="Spranq eco sans"/>
      <family val="0"/>
    </font>
    <font>
      <vertAlign val="superscript"/>
      <sz val="11"/>
      <color rgb="FF000000"/>
      <name val="Spranq eco sans"/>
      <family val="0"/>
    </font>
    <font>
      <sz val="11"/>
      <color rgb="FFFF0000"/>
      <name val="Spranq eco sans"/>
      <family val="0"/>
    </font>
  </fonts>
  <fills count="35">
    <fill>
      <patternFill patternType="none"/>
    </fill>
    <fill>
      <patternFill patternType="gray125"/>
    </fill>
    <fill>
      <patternFill patternType="solid">
        <fgColor rgb="FF00B050"/>
        <bgColor rgb="FF008080"/>
      </patternFill>
    </fill>
    <fill>
      <patternFill patternType="solid">
        <fgColor rgb="FFFFFF00"/>
        <bgColor rgb="FFFFEB9C"/>
      </patternFill>
    </fill>
    <fill>
      <patternFill patternType="solid">
        <fgColor rgb="FFFF0000"/>
        <bgColor rgb="FF9C0006"/>
      </patternFill>
    </fill>
    <fill>
      <patternFill patternType="solid">
        <fgColor rgb="FFFFC7CE"/>
        <bgColor rgb="FFFCD5B4"/>
      </patternFill>
    </fill>
    <fill>
      <patternFill patternType="solid">
        <fgColor rgb="FFC6EFCE"/>
        <bgColor rgb="FFDCE6F1"/>
      </patternFill>
    </fill>
    <fill>
      <patternFill patternType="solid">
        <fgColor rgb="FFFFEB9C"/>
        <bgColor rgb="FFFCD5B4"/>
      </patternFill>
    </fill>
    <fill>
      <patternFill patternType="solid">
        <fgColor rgb="FFC5D9F1"/>
        <bgColor rgb="FFB8CCE4"/>
      </patternFill>
    </fill>
    <fill>
      <patternFill patternType="solid">
        <fgColor rgb="FFC0C0C0"/>
        <bgColor rgb="FFBFBFBF"/>
      </patternFill>
    </fill>
    <fill>
      <patternFill patternType="solid">
        <fgColor rgb="FFB1A0C7"/>
        <bgColor rgb="FFA6A6A6"/>
      </patternFill>
    </fill>
    <fill>
      <patternFill patternType="solid">
        <fgColor rgb="FFBFBFBF"/>
        <bgColor rgb="FFC0C0C0"/>
      </patternFill>
    </fill>
    <fill>
      <patternFill patternType="solid">
        <fgColor rgb="FF403151"/>
        <bgColor rgb="FF244062"/>
      </patternFill>
    </fill>
    <fill>
      <patternFill patternType="solid">
        <fgColor rgb="FF000000"/>
        <bgColor rgb="FF0D0D0D"/>
      </patternFill>
    </fill>
    <fill>
      <patternFill patternType="solid">
        <fgColor rgb="FF974706"/>
        <bgColor rgb="FF9C6500"/>
      </patternFill>
    </fill>
    <fill>
      <patternFill patternType="solid">
        <fgColor rgb="FFDA9694"/>
        <bgColor rgb="FFB1A0C7"/>
      </patternFill>
    </fill>
    <fill>
      <patternFill patternType="solid">
        <fgColor rgb="FFE4DFEC"/>
        <bgColor rgb="FFDCE6F1"/>
      </patternFill>
    </fill>
    <fill>
      <patternFill patternType="solid">
        <fgColor rgb="FFFFFFFF"/>
        <bgColor rgb="FFF2F2F2"/>
      </patternFill>
    </fill>
    <fill>
      <patternFill patternType="solid">
        <fgColor rgb="FFDCE6F1"/>
        <bgColor rgb="FFE4DFEC"/>
      </patternFill>
    </fill>
    <fill>
      <patternFill patternType="solid">
        <fgColor rgb="FFB8CCE4"/>
        <bgColor rgb="FFC5D9F1"/>
      </patternFill>
    </fill>
    <fill>
      <patternFill patternType="solid">
        <fgColor rgb="FF244062"/>
        <bgColor rgb="FF403151"/>
      </patternFill>
    </fill>
    <fill>
      <patternFill patternType="solid">
        <fgColor rgb="FFE6B8B7"/>
        <bgColor rgb="FFFABF8F"/>
      </patternFill>
    </fill>
    <fill>
      <patternFill patternType="solid">
        <fgColor rgb="FFFCD5B4"/>
        <bgColor rgb="FFFFC7CE"/>
      </patternFill>
    </fill>
    <fill>
      <patternFill patternType="solid">
        <fgColor rgb="FFFABF8F"/>
        <bgColor rgb="FFE6B8B7"/>
      </patternFill>
    </fill>
    <fill>
      <patternFill patternType="solid">
        <fgColor rgb="FFA6A6A6"/>
        <bgColor rgb="FFB1A0C7"/>
      </patternFill>
    </fill>
    <fill>
      <patternFill patternType="solid">
        <fgColor rgb="FFF2F2F2"/>
        <bgColor rgb="FFFFFFFF"/>
      </patternFill>
    </fill>
    <fill>
      <patternFill patternType="solid">
        <fgColor rgb="FF595959"/>
        <bgColor rgb="FF403151"/>
      </patternFill>
    </fill>
    <fill>
      <patternFill patternType="solid">
        <fgColor rgb="FFD9D9D9"/>
        <bgColor rgb="FFE4DFEC"/>
      </patternFill>
    </fill>
    <fill>
      <patternFill patternType="solid">
        <fgColor rgb="FF808080"/>
        <bgColor rgb="FFA6A6A6"/>
      </patternFill>
    </fill>
    <fill>
      <patternFill patternType="solid">
        <fgColor rgb="FF0D0D0D"/>
        <bgColor rgb="FF000000"/>
      </patternFill>
    </fill>
    <fill>
      <patternFill patternType="solid">
        <fgColor rgb="FFCCC0DA"/>
        <bgColor rgb="FFC0C0C0"/>
      </patternFill>
    </fill>
    <fill>
      <patternFill patternType="solid">
        <fgColor rgb="FFE26B0A"/>
        <bgColor rgb="FF9C6500"/>
      </patternFill>
    </fill>
    <fill>
      <patternFill patternType="solid">
        <fgColor rgb="FF538DD5"/>
        <bgColor rgb="FF808080"/>
      </patternFill>
    </fill>
    <fill>
      <patternFill patternType="solid">
        <fgColor rgb="FF7030A0"/>
        <bgColor rgb="FF993366"/>
      </patternFill>
    </fill>
    <fill>
      <patternFill patternType="solid">
        <fgColor rgb="FF8DB4E2"/>
        <bgColor rgb="FFA6A6A6"/>
      </patternFill>
    </fill>
  </fills>
  <borders count="67">
    <border diagonalUp="false" diagonalDown="false">
      <left/>
      <right/>
      <top/>
      <bottom/>
      <diagonal/>
    </border>
    <border diagonalUp="false" diagonalDown="false">
      <left style="hair"/>
      <right style="hair"/>
      <top style="hair"/>
      <bottom style="hair"/>
      <diagonal/>
    </border>
    <border diagonalUp="false" diagonalDown="false">
      <left style="hair"/>
      <right/>
      <top/>
      <bottom style="hair"/>
      <diagonal/>
    </border>
    <border diagonalUp="false" diagonalDown="false">
      <left style="hair"/>
      <right/>
      <top style="hair"/>
      <bottom style="hair"/>
      <diagonal/>
    </border>
    <border diagonalUp="false" diagonalDown="false">
      <left style="hair"/>
      <right/>
      <top style="hair"/>
      <bottom style="medium"/>
      <diagonal/>
    </border>
    <border diagonalUp="false" diagonalDown="false">
      <left style="medium"/>
      <right style="medium"/>
      <top style="medium"/>
      <bottom style="hair"/>
      <diagonal/>
    </border>
    <border diagonalUp="false" diagonalDown="false">
      <left style="medium"/>
      <right style="medium"/>
      <top style="hair"/>
      <bottom style="medium"/>
      <diagonal/>
    </border>
    <border diagonalUp="false" diagonalDown="false">
      <left style="medium"/>
      <right style="medium"/>
      <top style="medium"/>
      <bottom style="medium"/>
      <diagonal/>
    </border>
    <border diagonalUp="false" diagonalDown="false">
      <left/>
      <right/>
      <top style="medium"/>
      <bottom/>
      <diagonal/>
    </border>
    <border diagonalUp="false" diagonalDown="false">
      <left style="hair"/>
      <right style="hair"/>
      <top style="medium"/>
      <bottom/>
      <diagonal/>
    </border>
    <border diagonalUp="false" diagonalDown="false">
      <left style="hair"/>
      <right style="medium"/>
      <top style="medium"/>
      <bottom/>
      <diagonal/>
    </border>
    <border diagonalUp="false" diagonalDown="false">
      <left style="medium"/>
      <right/>
      <top style="medium"/>
      <bottom/>
      <diagonal/>
    </border>
    <border diagonalUp="false" diagonalDown="false">
      <left style="medium"/>
      <right style="hair"/>
      <top style="medium"/>
      <bottom style="hair"/>
      <diagonal/>
    </border>
    <border diagonalUp="false" diagonalDown="false">
      <left style="hair"/>
      <right style="hair"/>
      <top style="medium"/>
      <bottom style="hair"/>
      <diagonal/>
    </border>
    <border diagonalUp="false" diagonalDown="false">
      <left style="hair"/>
      <right style="medium"/>
      <top style="medium"/>
      <bottom style="hair"/>
      <diagonal/>
    </border>
    <border diagonalUp="false" diagonalDown="false">
      <left style="medium"/>
      <right style="hair"/>
      <top style="hair"/>
      <bottom style="hair"/>
      <diagonal/>
    </border>
    <border diagonalUp="false" diagonalDown="false">
      <left style="hair"/>
      <right style="medium"/>
      <top style="hair"/>
      <bottom style="hair"/>
      <diagonal/>
    </border>
    <border diagonalUp="false" diagonalDown="false">
      <left style="medium"/>
      <right style="hair"/>
      <top/>
      <bottom style="hair"/>
      <diagonal/>
    </border>
    <border diagonalUp="false" diagonalDown="false">
      <left style="medium"/>
      <right style="hair"/>
      <top style="hair"/>
      <bottom style="medium"/>
      <diagonal/>
    </border>
    <border diagonalUp="false" diagonalDown="false">
      <left style="hair"/>
      <right style="medium"/>
      <top style="hair"/>
      <bottom style="medium"/>
      <diagonal/>
    </border>
    <border diagonalUp="false" diagonalDown="false">
      <left style="hair"/>
      <right style="hair"/>
      <top/>
      <bottom style="hair"/>
      <diagonal/>
    </border>
    <border diagonalUp="false" diagonalDown="false">
      <left/>
      <right style="hair"/>
      <top style="hair"/>
      <bottom style="hair"/>
      <diagonal/>
    </border>
    <border diagonalUp="false" diagonalDown="false">
      <left/>
      <right style="hair"/>
      <top style="hair"/>
      <bottom style="medium"/>
      <diagonal/>
    </border>
    <border diagonalUp="false" diagonalDown="false">
      <left style="hair"/>
      <right style="hair"/>
      <top style="hair"/>
      <bottom style="medium"/>
      <diagonal/>
    </border>
    <border diagonalUp="false" diagonalDown="false">
      <left style="medium"/>
      <right/>
      <top/>
      <bottom style="medium"/>
      <diagonal/>
    </border>
    <border diagonalUp="false" diagonalDown="false">
      <left/>
      <right style="medium"/>
      <top/>
      <bottom style="medium"/>
      <diagonal/>
    </border>
    <border diagonalUp="false" diagonalDown="false">
      <left style="medium"/>
      <right style="medium"/>
      <top/>
      <bottom style="medium"/>
      <diagonal/>
    </border>
    <border diagonalUp="false" diagonalDown="false">
      <left style="medium"/>
      <right/>
      <top style="hair"/>
      <bottom/>
      <diagonal/>
    </border>
    <border diagonalUp="false" diagonalDown="false">
      <left/>
      <right/>
      <top style="hair"/>
      <bottom/>
      <diagonal/>
    </border>
    <border diagonalUp="false" diagonalDown="false">
      <left/>
      <right style="medium"/>
      <top style="hair"/>
      <bottom/>
      <diagonal/>
    </border>
    <border diagonalUp="false" diagonalDown="false">
      <left style="medium"/>
      <right/>
      <top/>
      <bottom/>
      <diagonal/>
    </border>
    <border diagonalUp="false" diagonalDown="false">
      <left/>
      <right style="medium"/>
      <top/>
      <bottom/>
      <diagonal/>
    </border>
    <border diagonalUp="false" diagonalDown="false">
      <left/>
      <right/>
      <top/>
      <bottom style="medium"/>
      <diagonal/>
    </border>
    <border diagonalUp="false" diagonalDown="false">
      <left style="medium"/>
      <right style="medium"/>
      <top style="hair"/>
      <bottom style="hair"/>
      <diagonal/>
    </border>
    <border diagonalUp="false" diagonalDown="false">
      <left/>
      <right/>
      <top style="medium"/>
      <bottom style="medium"/>
      <diagonal/>
    </border>
    <border diagonalUp="false" diagonalDown="false">
      <left style="medium"/>
      <right style="hair"/>
      <top style="medium"/>
      <bottom style="medium"/>
      <diagonal/>
    </border>
    <border diagonalUp="false" diagonalDown="false">
      <left style="hair"/>
      <right style="medium"/>
      <top/>
      <bottom style="medium"/>
      <diagonal/>
    </border>
    <border diagonalUp="false" diagonalDown="false">
      <left/>
      <right style="hair"/>
      <top style="medium"/>
      <bottom/>
      <diagonal/>
    </border>
    <border diagonalUp="false" diagonalDown="false">
      <left style="hair"/>
      <right/>
      <top style="medium"/>
      <bottom style="hair"/>
      <diagonal/>
    </border>
    <border diagonalUp="false" diagonalDown="false">
      <left style="medium"/>
      <right style="medium"/>
      <top style="medium"/>
      <bottom/>
      <diagonal/>
    </border>
    <border diagonalUp="false" diagonalDown="false">
      <left style="medium"/>
      <right style="medium"/>
      <top/>
      <bottom/>
      <diagonal/>
    </border>
    <border diagonalUp="false" diagonalDown="false">
      <left style="hair"/>
      <right style="hair"/>
      <top style="medium"/>
      <bottom style="medium"/>
      <diagonal/>
    </border>
    <border diagonalUp="false" diagonalDown="false">
      <left style="hair"/>
      <right/>
      <top style="medium"/>
      <bottom style="medium"/>
      <diagonal/>
    </border>
    <border diagonalUp="false" diagonalDown="false">
      <left style="medium"/>
      <right/>
      <top/>
      <bottom style="hair"/>
      <diagonal/>
    </border>
    <border diagonalUp="false" diagonalDown="false">
      <left style="medium"/>
      <right style="medium"/>
      <top/>
      <bottom style="hair"/>
      <diagonal/>
    </border>
    <border diagonalUp="false" diagonalDown="false">
      <left style="medium"/>
      <right/>
      <top style="hair"/>
      <bottom style="hair"/>
      <diagonal/>
    </border>
    <border diagonalUp="false" diagonalDown="false">
      <left/>
      <right/>
      <top style="hair"/>
      <bottom style="hair"/>
      <diagonal/>
    </border>
    <border diagonalUp="false" diagonalDown="false">
      <left style="hair"/>
      <right style="hair"/>
      <top style="hair"/>
      <bottom/>
      <diagonal/>
    </border>
    <border diagonalUp="false" diagonalDown="false">
      <left/>
      <right style="hair"/>
      <top style="medium"/>
      <bottom style="hair"/>
      <diagonal/>
    </border>
    <border diagonalUp="false" diagonalDown="false">
      <left/>
      <right style="hair"/>
      <top/>
      <bottom style="hair"/>
      <diagonal/>
    </border>
    <border diagonalUp="false" diagonalDown="false">
      <left style="hair"/>
      <right style="medium"/>
      <top/>
      <bottom style="hair"/>
      <diagonal/>
    </border>
    <border diagonalUp="false" diagonalDown="false">
      <left style="medium"/>
      <right style="hair"/>
      <top style="hair"/>
      <bottom/>
      <diagonal/>
    </border>
    <border diagonalUp="false" diagonalDown="false">
      <left style="hair"/>
      <right style="medium"/>
      <top style="hair"/>
      <bottom/>
      <diagonal/>
    </border>
    <border diagonalUp="false" diagonalDown="false">
      <left/>
      <right style="hair"/>
      <top style="hair"/>
      <bottom/>
      <diagonal/>
    </border>
    <border diagonalUp="false" diagonalDown="false">
      <left style="hair"/>
      <right/>
      <top style="hair"/>
      <bottom/>
      <diagonal/>
    </border>
    <border diagonalUp="false" diagonalDown="false">
      <left style="medium"/>
      <right style="medium"/>
      <top style="hair"/>
      <bottom/>
      <diagonal/>
    </border>
    <border diagonalUp="false" diagonalDown="false">
      <left style="medium"/>
      <right style="hair"/>
      <top/>
      <bottom style="medium"/>
      <diagonal/>
    </border>
    <border diagonalUp="false" diagonalDown="false">
      <left style="hair"/>
      <right style="medium"/>
      <top style="medium"/>
      <bottom style="medium"/>
      <diagonal/>
    </border>
    <border diagonalUp="false" diagonalDown="false">
      <left/>
      <right/>
      <top/>
      <bottom style="hair"/>
      <diagonal/>
    </border>
    <border diagonalUp="false" diagonalDown="false">
      <left style="hair"/>
      <right style="hair"/>
      <top/>
      <bottom/>
      <diagonal/>
    </border>
    <border diagonalUp="false" diagonalDown="false">
      <left style="medium"/>
      <right/>
      <top style="medium"/>
      <bottom style="medium"/>
      <diagonal/>
    </border>
    <border diagonalUp="false" diagonalDown="false">
      <left/>
      <right style="medium"/>
      <top style="medium"/>
      <bottom/>
      <diagonal/>
    </border>
    <border diagonalUp="false" diagonalDown="false">
      <left style="hair"/>
      <right/>
      <top/>
      <bottom/>
      <diagonal/>
    </border>
    <border diagonalUp="false" diagonalDown="false">
      <left/>
      <right style="medium"/>
      <top style="medium"/>
      <bottom style="medium"/>
      <diagonal/>
    </border>
    <border diagonalUp="false" diagonalDown="false">
      <left style="hair"/>
      <right style="hair"/>
      <top/>
      <bottom style="medium"/>
      <diagonal/>
    </border>
    <border diagonalUp="false" diagonalDown="false">
      <left style="hair"/>
      <right/>
      <top/>
      <bottom style="medium"/>
      <diagonal/>
    </border>
    <border diagonalUp="false" diagonalDown="false">
      <left/>
      <right style="hair"/>
      <top/>
      <bottom/>
      <diagonal/>
    </border>
  </borders>
  <cellStyleXfs count="3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4" fontId="5" fillId="2" borderId="0" applyFont="true" applyBorder="false" applyAlignment="true" applyProtection="false">
      <alignment horizontal="general" vertical="bottom" textRotation="0" wrapText="false" indent="0" shrinkToFit="false"/>
    </xf>
    <xf numFmtId="164" fontId="5" fillId="3" borderId="0" applyFont="true" applyBorder="false" applyAlignment="true" applyProtection="false">
      <alignment horizontal="general" vertical="bottom" textRotation="0" wrapText="false" indent="0" shrinkToFit="false"/>
    </xf>
    <xf numFmtId="164" fontId="5" fillId="4" borderId="0" applyFont="true" applyBorder="false" applyAlignment="true" applyProtection="false">
      <alignment horizontal="general" vertical="bottom" textRotation="0" wrapText="false" indent="0" shrinkToFit="false"/>
    </xf>
    <xf numFmtId="164" fontId="6" fillId="5" borderId="0" applyFont="true" applyBorder="false" applyAlignment="true" applyProtection="false">
      <alignment horizontal="general" vertical="bottom" textRotation="0" wrapText="false" indent="0" shrinkToFit="false"/>
    </xf>
    <xf numFmtId="164" fontId="7" fillId="4" borderId="0" applyFont="true" applyBorder="false" applyAlignment="true" applyProtection="false">
      <alignment horizontal="general" vertical="bottom" textRotation="0" wrapText="false" indent="0" shrinkToFit="false"/>
    </xf>
    <xf numFmtId="164" fontId="8" fillId="6" borderId="0" applyFont="true" applyBorder="false" applyAlignment="true" applyProtection="false">
      <alignment horizontal="general" vertical="bottom" textRotation="0" wrapText="false" indent="0" shrinkToFit="false"/>
    </xf>
    <xf numFmtId="164" fontId="9" fillId="6" borderId="0" applyFont="true" applyBorder="false" applyAlignment="true" applyProtection="false">
      <alignment horizontal="general" vertical="bottom" textRotation="0" wrapText="false" indent="0" shrinkToFit="false"/>
    </xf>
    <xf numFmtId="164" fontId="10" fillId="7" borderId="0" applyFont="true" applyBorder="false" applyAlignment="true" applyProtection="false">
      <alignment horizontal="general" vertical="bottom" textRotation="0" wrapText="false" indent="0" shrinkToFit="false"/>
    </xf>
    <xf numFmtId="164" fontId="11" fillId="5" borderId="0" applyFont="true" applyBorder="false" applyAlignment="true" applyProtection="false">
      <alignment horizontal="general" vertical="bottom" textRotation="0" wrapText="false" indent="0" shrinkToFit="false"/>
    </xf>
  </cellStyleXfs>
  <cellXfs count="933">
    <xf numFmtId="164" fontId="0" fillId="0" borderId="0" xfId="0" applyFont="false" applyBorder="false" applyAlignment="false" applyProtection="false">
      <alignment horizontal="general" vertical="bottom"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7" fontId="12" fillId="0" borderId="0" xfId="0" applyFont="true" applyBorder="false" applyAlignment="false" applyProtection="false">
      <alignment horizontal="general" vertical="bottom" textRotation="0" wrapText="fals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3" fillId="0" borderId="1" xfId="0" applyFont="true" applyBorder="true" applyAlignment="true" applyProtection="false">
      <alignment horizontal="center" vertical="center" textRotation="0" wrapText="true" indent="0" shrinkToFit="false"/>
      <protection locked="true" hidden="false"/>
    </xf>
    <xf numFmtId="164" fontId="15" fillId="0" borderId="0" xfId="0" applyFont="true" applyBorder="false" applyAlignment="true" applyProtection="false">
      <alignment horizontal="center" vertical="bottom" textRotation="0" wrapText="fals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3" fillId="0" borderId="0" xfId="0" applyFont="true" applyBorder="false" applyAlignment="true" applyProtection="false">
      <alignment horizontal="general" vertical="center" textRotation="0" wrapText="true" indent="0" shrinkToFit="false"/>
      <protection locked="true" hidden="false"/>
    </xf>
    <xf numFmtId="164" fontId="13" fillId="8" borderId="1" xfId="0" applyFont="true" applyBorder="true" applyAlignment="true" applyProtection="false">
      <alignment horizontal="general" vertical="center" textRotation="0" wrapText="true" indent="0" shrinkToFit="false"/>
      <protection locked="true" hidden="false"/>
    </xf>
    <xf numFmtId="164" fontId="17" fillId="8" borderId="1" xfId="0" applyFont="true" applyBorder="true" applyAlignment="true" applyProtection="false">
      <alignment horizontal="left" vertical="center" textRotation="0" wrapText="tru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3" fillId="8" borderId="1" xfId="0" applyFont="true" applyBorder="true" applyAlignment="true" applyProtection="true">
      <alignment horizontal="left" vertical="center" textRotation="0" wrapText="true" indent="0" shrinkToFit="false"/>
      <protection locked="false" hidden="false"/>
    </xf>
    <xf numFmtId="164" fontId="13" fillId="0" borderId="0" xfId="0" applyFont="true" applyBorder="false" applyAlignment="true" applyProtection="true">
      <alignment horizontal="general" vertical="center" textRotation="0" wrapText="true" indent="0" shrinkToFit="false"/>
      <protection locked="false" hidden="false"/>
    </xf>
    <xf numFmtId="164" fontId="18" fillId="0" borderId="2" xfId="0" applyFont="true" applyBorder="true" applyAlignment="true" applyProtection="false">
      <alignment horizontal="center" vertical="bottom" textRotation="0" wrapText="false" indent="0" shrinkToFit="false"/>
      <protection locked="true" hidden="false"/>
    </xf>
    <xf numFmtId="164" fontId="18" fillId="0" borderId="1" xfId="0" applyFont="true" applyBorder="true" applyAlignment="true" applyProtection="false">
      <alignment horizontal="general" vertical="top" textRotation="0" wrapText="true" indent="0" shrinkToFit="false"/>
      <protection locked="true" hidden="false"/>
    </xf>
    <xf numFmtId="164" fontId="18" fillId="0" borderId="1" xfId="0" applyFont="true" applyBorder="true" applyAlignment="true" applyProtection="false">
      <alignment horizontal="center" vertical="top" textRotation="0" wrapText="true" indent="0" shrinkToFit="false"/>
      <protection locked="true" hidden="false"/>
    </xf>
    <xf numFmtId="164" fontId="19" fillId="0" borderId="0" xfId="0" applyFont="true" applyBorder="false" applyAlignment="false" applyProtection="false">
      <alignment horizontal="general" vertical="bottom" textRotation="0" wrapText="false" indent="0" shrinkToFit="false"/>
      <protection locked="true" hidden="false"/>
    </xf>
    <xf numFmtId="167" fontId="18" fillId="0" borderId="1" xfId="0" applyFont="true" applyBorder="true" applyAlignment="true" applyProtection="false">
      <alignment horizontal="general" vertical="top" textRotation="0" wrapText="true" indent="0" shrinkToFit="false"/>
      <protection locked="true" hidden="false"/>
    </xf>
    <xf numFmtId="164" fontId="18" fillId="0" borderId="1" xfId="0" applyFont="true" applyBorder="true" applyAlignment="true" applyProtection="false">
      <alignment horizontal="general" vertical="center" textRotation="0" wrapText="true" indent="0" shrinkToFit="false"/>
      <protection locked="true" hidden="false"/>
    </xf>
    <xf numFmtId="167" fontId="18" fillId="0" borderId="1" xfId="0" applyFont="true" applyBorder="true" applyAlignment="true" applyProtection="false">
      <alignment horizontal="left" vertical="center" textRotation="0" wrapText="true" indent="0" shrinkToFit="false"/>
      <protection locked="true" hidden="false"/>
    </xf>
    <xf numFmtId="164" fontId="18" fillId="0" borderId="3" xfId="0" applyFont="true" applyBorder="true" applyAlignment="true" applyProtection="false">
      <alignment horizontal="left" vertical="center" textRotation="0" wrapText="true" indent="0" shrinkToFit="false"/>
      <protection locked="true" hidden="false"/>
    </xf>
    <xf numFmtId="164" fontId="18" fillId="8" borderId="3" xfId="0" applyFont="true" applyBorder="true" applyAlignment="true" applyProtection="false">
      <alignment horizontal="left" vertical="center" textRotation="0" wrapText="true" indent="0" shrinkToFit="false"/>
      <protection locked="true" hidden="false"/>
    </xf>
    <xf numFmtId="164" fontId="18" fillId="0" borderId="1" xfId="0" applyFont="true" applyBorder="true" applyAlignment="true" applyProtection="false">
      <alignment horizontal="center" vertical="center" textRotation="0" wrapText="true" indent="0" shrinkToFit="false"/>
      <protection locked="true" hidden="false"/>
    </xf>
    <xf numFmtId="164" fontId="18" fillId="0" borderId="1" xfId="0" applyFont="true" applyBorder="true" applyAlignment="true" applyProtection="false">
      <alignment horizontal="left" vertical="center" textRotation="0" wrapText="true" indent="0" shrinkToFit="false"/>
      <protection locked="true" hidden="false"/>
    </xf>
    <xf numFmtId="168" fontId="18" fillId="8" borderId="1" xfId="20" applyFont="true" applyBorder="true" applyAlignment="true" applyProtection="false">
      <alignment horizontal="right" vertical="center" textRotation="0" wrapText="true" indent="0" shrinkToFit="false"/>
      <protection locked="true" hidden="false"/>
    </xf>
    <xf numFmtId="164" fontId="18" fillId="0" borderId="4" xfId="0" applyFont="true" applyBorder="true" applyAlignment="true" applyProtection="false">
      <alignment horizontal="center" vertical="bottom" textRotation="0" wrapText="false" indent="0" shrinkToFit="false"/>
      <protection locked="true" hidden="false"/>
    </xf>
    <xf numFmtId="164" fontId="20" fillId="9" borderId="5" xfId="0" applyFont="true" applyBorder="true" applyAlignment="true" applyProtection="false">
      <alignment horizontal="center" vertical="center" textRotation="0" wrapText="true" indent="0" shrinkToFit="false"/>
      <protection locked="true" hidden="false"/>
    </xf>
    <xf numFmtId="164" fontId="20" fillId="10" borderId="6" xfId="0" applyFont="true" applyBorder="true" applyAlignment="true" applyProtection="false">
      <alignment horizontal="center" vertical="center" textRotation="0" wrapText="true" indent="0" shrinkToFit="false"/>
      <protection locked="true" hidden="false"/>
    </xf>
    <xf numFmtId="164" fontId="21" fillId="0" borderId="0" xfId="0" applyFont="true" applyBorder="false" applyAlignment="false" applyProtection="false">
      <alignment horizontal="general" vertical="bottom" textRotation="0" wrapText="false" indent="0" shrinkToFit="false"/>
      <protection locked="true" hidden="false"/>
    </xf>
    <xf numFmtId="167" fontId="21" fillId="0" borderId="0" xfId="0" applyFont="true" applyBorder="false" applyAlignment="false" applyProtection="false">
      <alignment horizontal="general" vertical="bottom" textRotation="0" wrapText="false" indent="0" shrinkToFit="false"/>
      <protection locked="true" hidden="false"/>
    </xf>
    <xf numFmtId="164" fontId="18" fillId="11" borderId="7" xfId="0" applyFont="true" applyBorder="true" applyAlignment="true" applyProtection="false">
      <alignment horizontal="center" vertical="center" textRotation="0" wrapText="false" indent="0" shrinkToFit="false"/>
      <protection locked="true" hidden="false"/>
    </xf>
    <xf numFmtId="164" fontId="22" fillId="12" borderId="7" xfId="0" applyFont="true" applyBorder="true" applyAlignment="true" applyProtection="false">
      <alignment horizontal="center" vertical="center" textRotation="0" wrapText="true" indent="0" shrinkToFit="false"/>
      <protection locked="true" hidden="false"/>
    </xf>
    <xf numFmtId="164" fontId="22" fillId="12" borderId="8" xfId="0" applyFont="true" applyBorder="true" applyAlignment="true" applyProtection="false">
      <alignment horizontal="general" vertical="center" textRotation="0" wrapText="true" indent="0" shrinkToFit="false"/>
      <protection locked="true" hidden="false"/>
    </xf>
    <xf numFmtId="167" fontId="22" fillId="12" borderId="9" xfId="0" applyFont="true" applyBorder="true" applyAlignment="true" applyProtection="false">
      <alignment horizontal="center" vertical="center" textRotation="0" wrapText="true" indent="0" shrinkToFit="false"/>
      <protection locked="true" hidden="false"/>
    </xf>
    <xf numFmtId="164" fontId="22" fillId="12" borderId="9" xfId="0" applyFont="true" applyBorder="true" applyAlignment="true" applyProtection="false">
      <alignment horizontal="center" vertical="center" textRotation="0" wrapText="true" indent="0" shrinkToFit="false"/>
      <protection locked="true" hidden="false"/>
    </xf>
    <xf numFmtId="164" fontId="22" fillId="12" borderId="10" xfId="0" applyFont="true" applyBorder="true" applyAlignment="true" applyProtection="false">
      <alignment horizontal="center" vertical="center" textRotation="0" wrapText="true" indent="0" shrinkToFit="false"/>
      <protection locked="true" hidden="false"/>
    </xf>
    <xf numFmtId="164" fontId="23" fillId="0" borderId="0" xfId="0" applyFont="true" applyBorder="false" applyAlignment="true" applyProtection="false">
      <alignment horizontal="center" vertical="center" textRotation="0" wrapText="true" indent="0" shrinkToFit="false"/>
      <protection locked="true" hidden="false"/>
    </xf>
    <xf numFmtId="169" fontId="13" fillId="0" borderId="0" xfId="0" applyFont="true" applyBorder="false" applyAlignment="true" applyProtection="false">
      <alignment horizontal="right" vertical="bottom" textRotation="0" wrapText="true" indent="0" shrinkToFit="false"/>
      <protection locked="true" hidden="false"/>
    </xf>
    <xf numFmtId="164" fontId="24" fillId="12" borderId="11" xfId="0" applyFont="true" applyBorder="true" applyAlignment="true" applyProtection="false">
      <alignment horizontal="general" vertical="center" textRotation="0" wrapText="true" indent="0" shrinkToFit="false"/>
      <protection locked="true" hidden="false"/>
    </xf>
    <xf numFmtId="164" fontId="25" fillId="0" borderId="1" xfId="0" applyFont="true" applyBorder="true" applyAlignment="true" applyProtection="false">
      <alignment horizontal="general" vertical="center" textRotation="0" wrapText="true" indent="0" shrinkToFit="false"/>
      <protection locked="true" hidden="false"/>
    </xf>
    <xf numFmtId="170" fontId="25" fillId="0" borderId="1" xfId="0" applyFont="true" applyBorder="true" applyAlignment="true" applyProtection="false">
      <alignment horizontal="right" vertical="center" textRotation="0" wrapText="true" indent="0" shrinkToFit="false"/>
      <protection locked="true" hidden="false"/>
    </xf>
    <xf numFmtId="167" fontId="25" fillId="0" borderId="1" xfId="20" applyFont="true" applyBorder="true" applyAlignment="true" applyProtection="false">
      <alignment horizontal="right" vertical="center" textRotation="0" wrapText="false" indent="0" shrinkToFit="false"/>
      <protection locked="true" hidden="false"/>
    </xf>
    <xf numFmtId="168" fontId="25" fillId="0" borderId="1" xfId="20" applyFont="true" applyBorder="true" applyAlignment="true" applyProtection="false">
      <alignment horizontal="right" vertical="center"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9" fontId="13" fillId="0" borderId="0" xfId="0" applyFont="true" applyBorder="false" applyAlignment="true" applyProtection="false">
      <alignment horizontal="right" vertical="bottom"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4" fontId="26" fillId="0" borderId="0" xfId="0" applyFont="true" applyBorder="false" applyAlignment="true" applyProtection="false">
      <alignment horizontal="right" vertical="bottom" textRotation="0" wrapText="false" indent="0" shrinkToFit="false"/>
      <protection locked="true" hidden="false"/>
    </xf>
    <xf numFmtId="165" fontId="27" fillId="0" borderId="0" xfId="20" applyFont="true" applyBorder="false" applyAlignment="true" applyProtection="false">
      <alignment horizontal="right" vertical="bottom" textRotation="0" wrapText="false" indent="0" shrinkToFit="false"/>
      <protection locked="true" hidden="false"/>
    </xf>
    <xf numFmtId="165" fontId="28" fillId="0" borderId="0" xfId="20" applyFont="true" applyBorder="false" applyAlignment="true" applyProtection="false">
      <alignment horizontal="right" vertical="bottom" textRotation="0" wrapText="false" indent="0" shrinkToFit="false"/>
      <protection locked="true" hidden="false"/>
    </xf>
    <xf numFmtId="165" fontId="12" fillId="0" borderId="0" xfId="0" applyFont="true" applyBorder="false" applyAlignment="false" applyProtection="false">
      <alignment horizontal="general" vertical="bottom" textRotation="0" wrapText="false" indent="0" shrinkToFit="false"/>
      <protection locked="true" hidden="false"/>
    </xf>
    <xf numFmtId="164" fontId="29" fillId="0" borderId="4" xfId="0" applyFont="true" applyBorder="true" applyAlignment="true" applyProtection="false">
      <alignment horizontal="center" vertical="bottom" textRotation="0" wrapText="false" indent="0" shrinkToFit="false"/>
      <protection locked="true" hidden="false"/>
    </xf>
    <xf numFmtId="165" fontId="21" fillId="0" borderId="0" xfId="0" applyFont="true" applyBorder="false" applyAlignment="false" applyProtection="false">
      <alignment horizontal="general" vertical="bottom" textRotation="0" wrapText="false" indent="0" shrinkToFit="false"/>
      <protection locked="true" hidden="false"/>
    </xf>
    <xf numFmtId="167" fontId="23"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30" fillId="13" borderId="1" xfId="0" applyFont="true" applyBorder="true" applyAlignment="true" applyProtection="false">
      <alignment horizontal="center" vertical="center" textRotation="0" wrapText="false" indent="0" shrinkToFit="false"/>
      <protection locked="true" hidden="false"/>
    </xf>
    <xf numFmtId="164" fontId="30" fillId="14" borderId="1" xfId="0" applyFont="true" applyBorder="true" applyAlignment="true" applyProtection="false">
      <alignment horizontal="left" vertical="bottom" textRotation="0" wrapText="false" indent="0" shrinkToFit="false"/>
      <protection locked="true" hidden="false"/>
    </xf>
    <xf numFmtId="168" fontId="30" fillId="14" borderId="1" xfId="20" applyFont="true" applyBorder="true" applyAlignment="true" applyProtection="false">
      <alignment horizontal="right" vertical="bottom" textRotation="0" wrapText="false" indent="0" shrinkToFit="false"/>
      <protection locked="true" hidden="false"/>
    </xf>
    <xf numFmtId="165" fontId="12" fillId="0" borderId="0" xfId="20" applyFont="tru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18" fillId="10" borderId="12" xfId="0" applyFont="true" applyBorder="true" applyAlignment="true" applyProtection="false">
      <alignment horizontal="center" vertical="center" textRotation="0" wrapText="true" indent="0" shrinkToFit="false"/>
      <protection locked="true" hidden="false"/>
    </xf>
    <xf numFmtId="164" fontId="18" fillId="10" borderId="13" xfId="0" applyFont="true" applyBorder="true" applyAlignment="true" applyProtection="false">
      <alignment horizontal="center" vertical="center" textRotation="0" wrapText="true" indent="0" shrinkToFit="false"/>
      <protection locked="true" hidden="false"/>
    </xf>
    <xf numFmtId="164" fontId="18" fillId="10" borderId="14" xfId="0" applyFont="true" applyBorder="true" applyAlignment="true" applyProtection="false">
      <alignment horizontal="center" vertical="center" textRotation="0" wrapText="true" indent="0" shrinkToFit="false"/>
      <protection locked="true" hidden="false"/>
    </xf>
    <xf numFmtId="164" fontId="32" fillId="10" borderId="7" xfId="0" applyFont="true" applyBorder="true" applyAlignment="true" applyProtection="false">
      <alignment horizontal="center" vertical="center" textRotation="0" wrapText="true" indent="0" shrinkToFit="false"/>
      <protection locked="true" hidden="false"/>
    </xf>
    <xf numFmtId="171" fontId="13" fillId="0" borderId="0" xfId="20" applyFont="true" applyBorder="false" applyAlignment="false" applyProtection="false">
      <alignment horizontal="general" vertical="bottom" textRotation="0" wrapText="false" indent="0" shrinkToFit="false"/>
      <protection locked="true" hidden="false"/>
    </xf>
    <xf numFmtId="165" fontId="13" fillId="0" borderId="0" xfId="20" applyFont="true" applyBorder="false" applyAlignment="false" applyProtection="false">
      <alignment horizontal="general" vertical="bottom"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false">
      <alignment horizontal="right" vertical="bottom" textRotation="0" wrapText="true" indent="0" shrinkToFit="false"/>
      <protection locked="true" hidden="false"/>
    </xf>
    <xf numFmtId="164" fontId="13" fillId="0" borderId="1" xfId="0" applyFont="true" applyBorder="true" applyAlignment="true" applyProtection="false">
      <alignment horizontal="general" vertical="bottom" textRotation="0" wrapText="true" indent="0" shrinkToFit="false"/>
      <protection locked="true" hidden="false"/>
    </xf>
    <xf numFmtId="169" fontId="13" fillId="0" borderId="1" xfId="0" applyFont="true" applyBorder="true" applyAlignment="true" applyProtection="false">
      <alignment horizontal="right" vertical="bottom" textRotation="0" wrapText="true" indent="0" shrinkToFit="false"/>
      <protection locked="true" hidden="false"/>
    </xf>
    <xf numFmtId="172" fontId="13" fillId="0" borderId="16" xfId="0" applyFont="true" applyBorder="true" applyAlignment="true" applyProtection="false">
      <alignment horizontal="right" vertical="bottom" textRotation="0" wrapText="true" indent="0" shrinkToFit="false"/>
      <protection locked="true" hidden="false"/>
    </xf>
    <xf numFmtId="164" fontId="32" fillId="0" borderId="0" xfId="0" applyFont="true" applyBorder="false" applyAlignment="true" applyProtection="false">
      <alignment horizontal="general" vertical="center" textRotation="0" wrapText="true" indent="0" shrinkToFit="false"/>
      <protection locked="true" hidden="false"/>
    </xf>
    <xf numFmtId="164" fontId="13" fillId="0" borderId="1" xfId="0" applyFont="true" applyBorder="true" applyAlignment="true" applyProtection="false">
      <alignment horizontal="right" vertical="bottom" textRotation="0" wrapText="false" indent="0" shrinkToFit="false"/>
      <protection locked="true" hidden="false"/>
    </xf>
    <xf numFmtId="164" fontId="13" fillId="0" borderId="1" xfId="0" applyFont="true" applyBorder="true" applyAlignment="true" applyProtection="false">
      <alignment horizontal="general" vertical="bottom" textRotation="0" wrapText="false" indent="0" shrinkToFit="false"/>
      <protection locked="true" hidden="false"/>
    </xf>
    <xf numFmtId="169" fontId="13" fillId="0" borderId="1" xfId="0" applyFont="true" applyBorder="true" applyAlignment="true" applyProtection="false">
      <alignment horizontal="right" vertical="bottom" textRotation="0" wrapText="false" indent="0" shrinkToFit="false"/>
      <protection locked="true" hidden="false"/>
    </xf>
    <xf numFmtId="164" fontId="18" fillId="10" borderId="12" xfId="0" applyFont="true" applyBorder="true" applyAlignment="true" applyProtection="false">
      <alignment horizontal="center" vertical="bottom" textRotation="0" wrapText="false" indent="0" shrinkToFit="false"/>
      <protection locked="true" hidden="false"/>
    </xf>
    <xf numFmtId="164" fontId="13" fillId="0" borderId="14" xfId="0" applyFont="true" applyBorder="true" applyAlignment="true" applyProtection="false">
      <alignment horizontal="left" vertical="center" textRotation="0" wrapText="true" indent="0" shrinkToFit="false"/>
      <protection locked="true" hidden="false"/>
    </xf>
    <xf numFmtId="164" fontId="18" fillId="10" borderId="17" xfId="0" applyFont="true" applyBorder="true" applyAlignment="true" applyProtection="false">
      <alignment horizontal="center" vertical="bottom" textRotation="0" wrapText="false" indent="0" shrinkToFit="false"/>
      <protection locked="true" hidden="false"/>
    </xf>
    <xf numFmtId="164" fontId="13" fillId="0" borderId="16" xfId="0" applyFont="true" applyBorder="true" applyAlignment="true" applyProtection="false">
      <alignment horizontal="left" vertical="center" textRotation="0" wrapText="true" indent="0" shrinkToFit="false"/>
      <protection locked="true" hidden="false"/>
    </xf>
    <xf numFmtId="164" fontId="18" fillId="10" borderId="18" xfId="0" applyFont="true" applyBorder="true" applyAlignment="true" applyProtection="false">
      <alignment horizontal="center" vertical="bottom" textRotation="0" wrapText="false" indent="0" shrinkToFit="false"/>
      <protection locked="true" hidden="false"/>
    </xf>
    <xf numFmtId="164" fontId="18" fillId="0" borderId="19" xfId="0" applyFont="true" applyBorder="true" applyAlignment="true" applyProtection="false">
      <alignment horizontal="left" vertical="center" textRotation="0" wrapText="true" indent="0" shrinkToFit="false"/>
      <protection locked="true" hidden="false"/>
    </xf>
    <xf numFmtId="164" fontId="12" fillId="10" borderId="12" xfId="0" applyFont="true" applyBorder="true" applyAlignment="true" applyProtection="false">
      <alignment horizontal="center" vertical="bottom" textRotation="0" wrapText="false" indent="0" shrinkToFit="false"/>
      <protection locked="true" hidden="false"/>
    </xf>
    <xf numFmtId="164" fontId="18" fillId="10" borderId="13" xfId="0"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5" fontId="12" fillId="0" borderId="0" xfId="0" applyFont="true" applyBorder="false" applyAlignment="false" applyProtection="false">
      <alignment horizontal="general" vertical="bottom" textRotation="0" wrapText="false" indent="0" shrinkToFit="false"/>
      <protection locked="true" hidden="false"/>
    </xf>
    <xf numFmtId="165" fontId="12" fillId="0" borderId="0" xfId="20" applyFont="true" applyBorder="false" applyAlignment="false" applyProtection="false">
      <alignment horizontal="general" vertical="bottom" textRotation="0" wrapText="false" indent="0" shrinkToFit="false"/>
      <protection locked="true" hidden="false"/>
    </xf>
    <xf numFmtId="164" fontId="18" fillId="10" borderId="15" xfId="0" applyFont="true" applyBorder="true" applyAlignment="true" applyProtection="false">
      <alignment horizontal="right" vertical="bottom" textRotation="0" wrapText="false" indent="0" shrinkToFit="false"/>
      <protection locked="true" hidden="false"/>
    </xf>
    <xf numFmtId="171" fontId="18" fillId="0" borderId="1" xfId="0" applyFont="true" applyBorder="true" applyAlignment="true" applyProtection="false">
      <alignment horizontal="general" vertical="center" textRotation="0" wrapText="false" indent="0" shrinkToFit="false"/>
      <protection locked="true" hidden="false"/>
    </xf>
    <xf numFmtId="171" fontId="18" fillId="0" borderId="1" xfId="0" applyFont="true" applyBorder="true" applyAlignment="true" applyProtection="false">
      <alignment horizontal="general" vertical="center" textRotation="0" wrapText="true" indent="0" shrinkToFit="false"/>
      <protection locked="true" hidden="false"/>
    </xf>
    <xf numFmtId="171" fontId="18" fillId="0" borderId="20" xfId="0" applyFont="true" applyBorder="true" applyAlignment="true" applyProtection="false">
      <alignment horizontal="general" vertical="center" textRotation="0" wrapText="false" indent="0" shrinkToFit="false"/>
      <protection locked="true" hidden="false"/>
    </xf>
    <xf numFmtId="171" fontId="18" fillId="0" borderId="20" xfId="0" applyFont="true" applyBorder="true" applyAlignment="true" applyProtection="false">
      <alignment horizontal="general" vertical="center" textRotation="0" wrapText="true" indent="0" shrinkToFit="false"/>
      <protection locked="true" hidden="false"/>
    </xf>
    <xf numFmtId="164" fontId="13" fillId="0" borderId="1" xfId="0" applyFont="true" applyBorder="true" applyAlignment="true" applyProtection="false">
      <alignment horizontal="left" vertical="bottom" textRotation="0" wrapText="true" indent="0" shrinkToFit="false"/>
      <protection locked="true" hidden="false"/>
    </xf>
    <xf numFmtId="164" fontId="18" fillId="10" borderId="15" xfId="0" applyFont="true" applyBorder="true" applyAlignment="true" applyProtection="false">
      <alignment horizontal="center" vertical="bottom" textRotation="0" wrapText="false" indent="0" shrinkToFit="false"/>
      <protection locked="true" hidden="false"/>
    </xf>
    <xf numFmtId="164" fontId="18" fillId="10" borderId="1" xfId="0" applyFont="true" applyBorder="true" applyAlignment="true" applyProtection="false">
      <alignment horizontal="center" vertical="bottom" textRotation="0" wrapText="false" indent="0" shrinkToFit="false"/>
      <protection locked="true" hidden="false"/>
    </xf>
    <xf numFmtId="164" fontId="18" fillId="10" borderId="1" xfId="0" applyFont="true" applyBorder="true" applyAlignment="true" applyProtection="false">
      <alignment horizontal="center" vertical="bottom" textRotation="0" wrapText="true" indent="0" shrinkToFit="false"/>
      <protection locked="true" hidden="false"/>
    </xf>
    <xf numFmtId="165" fontId="33" fillId="0" borderId="0" xfId="20" applyFont="true" applyBorder="false" applyAlignment="false" applyProtection="false">
      <alignment horizontal="general" vertical="bottom" textRotation="0" wrapText="false" indent="0" shrinkToFit="false"/>
      <protection locked="true" hidden="false"/>
    </xf>
    <xf numFmtId="167" fontId="12" fillId="0" borderId="0" xfId="0" applyFont="true" applyBorder="false" applyAlignment="false" applyProtection="false">
      <alignment horizontal="general" vertical="bottom" textRotation="0" wrapText="false" indent="0" shrinkToFit="false"/>
      <protection locked="true" hidden="false"/>
    </xf>
    <xf numFmtId="164" fontId="13" fillId="0" borderId="21" xfId="0" applyFont="true" applyBorder="true" applyAlignment="true" applyProtection="false">
      <alignment horizontal="right" vertical="bottom" textRotation="0" wrapText="false" indent="0" shrinkToFit="false"/>
      <protection locked="true" hidden="false"/>
    </xf>
    <xf numFmtId="164" fontId="13" fillId="0" borderId="15" xfId="0" applyFont="true" applyBorder="true" applyAlignment="true" applyProtection="false">
      <alignment horizontal="general" vertical="bottom" textRotation="0" wrapText="true" indent="0" shrinkToFit="false"/>
      <protection locked="true" hidden="false"/>
    </xf>
    <xf numFmtId="167" fontId="13" fillId="0" borderId="1" xfId="0" applyFont="true" applyBorder="true" applyAlignment="false" applyProtection="true">
      <alignment horizontal="general" vertical="bottom" textRotation="0" wrapText="false" indent="0" shrinkToFit="false"/>
      <protection locked="false" hidden="false"/>
    </xf>
    <xf numFmtId="171" fontId="13" fillId="0" borderId="16" xfId="0" applyFont="true" applyBorder="true" applyAlignment="false" applyProtection="false">
      <alignment horizontal="general" vertical="bottom" textRotation="0" wrapText="false" indent="0" shrinkToFit="false"/>
      <protection locked="true" hidden="false"/>
    </xf>
    <xf numFmtId="167" fontId="33" fillId="0" borderId="0" xfId="20" applyFont="true" applyBorder="false" applyAlignment="false" applyProtection="false">
      <alignment horizontal="general" vertical="bottom" textRotation="0" wrapText="false" indent="0" shrinkToFit="false"/>
      <protection locked="true" hidden="false"/>
    </xf>
    <xf numFmtId="164" fontId="13" fillId="0" borderId="18" xfId="0" applyFont="true" applyBorder="true" applyAlignment="true" applyProtection="false">
      <alignment horizontal="center" vertical="center" textRotation="0" wrapText="false" indent="0" shrinkToFit="false"/>
      <protection locked="true" hidden="false"/>
    </xf>
    <xf numFmtId="164" fontId="13" fillId="0" borderId="22" xfId="0" applyFont="true" applyBorder="true" applyAlignment="true" applyProtection="false">
      <alignment horizontal="right" vertical="bottom" textRotation="0" wrapText="false" indent="0" shrinkToFit="false"/>
      <protection locked="true" hidden="false"/>
    </xf>
    <xf numFmtId="164" fontId="13" fillId="0" borderId="23" xfId="0" applyFont="true" applyBorder="true" applyAlignment="true" applyProtection="false">
      <alignment horizontal="general" vertical="bottom" textRotation="0" wrapText="false" indent="0" shrinkToFit="false"/>
      <protection locked="true" hidden="false"/>
    </xf>
    <xf numFmtId="169" fontId="13" fillId="0" borderId="23" xfId="0" applyFont="true" applyBorder="true" applyAlignment="true" applyProtection="false">
      <alignment horizontal="right" vertical="bottom" textRotation="0" wrapText="false" indent="0" shrinkToFit="false"/>
      <protection locked="true" hidden="false"/>
    </xf>
    <xf numFmtId="172" fontId="13" fillId="0" borderId="19" xfId="0" applyFont="true" applyBorder="true" applyAlignment="true" applyProtection="false">
      <alignment horizontal="right" vertical="bottom" textRotation="0" wrapText="true" indent="0" shrinkToFit="false"/>
      <protection locked="true" hidden="false"/>
    </xf>
    <xf numFmtId="164" fontId="18" fillId="10" borderId="24" xfId="0" applyFont="true" applyBorder="true" applyAlignment="true" applyProtection="false">
      <alignment horizontal="center" vertical="bottom" textRotation="0" wrapText="false" indent="0" shrinkToFit="false"/>
      <protection locked="true" hidden="false"/>
    </xf>
    <xf numFmtId="164" fontId="18" fillId="10" borderId="25" xfId="0" applyFont="true" applyBorder="true" applyAlignment="true" applyProtection="false">
      <alignment horizontal="center" vertical="bottom" textRotation="0" wrapText="false" indent="0" shrinkToFit="false"/>
      <protection locked="true" hidden="false"/>
    </xf>
    <xf numFmtId="169" fontId="18" fillId="10" borderId="26" xfId="0" applyFont="true" applyBorder="true" applyAlignment="true" applyProtection="false">
      <alignment horizontal="right" vertical="bottom" textRotation="0" wrapText="false" indent="0" shrinkToFit="false"/>
      <protection locked="true" hidden="false"/>
    </xf>
    <xf numFmtId="164" fontId="13" fillId="10" borderId="5" xfId="0" applyFont="true" applyBorder="true" applyAlignment="true" applyProtection="false">
      <alignment horizontal="left" vertical="bottom" textRotation="0" wrapText="false" indent="0" shrinkToFit="false"/>
      <protection locked="true" hidden="false"/>
    </xf>
    <xf numFmtId="165" fontId="13" fillId="0" borderId="0" xfId="0" applyFont="true" applyBorder="false" applyAlignment="false" applyProtection="false">
      <alignment horizontal="general" vertical="bottom" textRotation="0" wrapText="false" indent="0" shrinkToFit="false"/>
      <protection locked="true" hidden="false"/>
    </xf>
    <xf numFmtId="164" fontId="12" fillId="0" borderId="27" xfId="0" applyFont="true" applyBorder="true" applyAlignment="false" applyProtection="false">
      <alignment horizontal="general" vertical="bottom" textRotation="0" wrapText="false" indent="0" shrinkToFit="false"/>
      <protection locked="true" hidden="false"/>
    </xf>
    <xf numFmtId="164" fontId="13" fillId="0" borderId="28" xfId="0" applyFont="true" applyBorder="true" applyAlignment="false" applyProtection="false">
      <alignment horizontal="general" vertical="bottom" textRotation="0" wrapText="false" indent="0" shrinkToFit="false"/>
      <protection locked="true" hidden="false"/>
    </xf>
    <xf numFmtId="164" fontId="13" fillId="0" borderId="29" xfId="0" applyFont="true" applyBorder="true" applyAlignment="false" applyProtection="false">
      <alignment horizontal="general" vertical="bottom" textRotation="0" wrapText="false" indent="0" shrinkToFit="false"/>
      <protection locked="true" hidden="false"/>
    </xf>
    <xf numFmtId="164" fontId="12" fillId="0" borderId="30" xfId="0" applyFont="true" applyBorder="true" applyAlignment="false" applyProtection="false">
      <alignment horizontal="general" vertical="bottom" textRotation="0" wrapText="false" indent="0" shrinkToFit="false"/>
      <protection locked="true" hidden="false"/>
    </xf>
    <xf numFmtId="164" fontId="13" fillId="0" borderId="31" xfId="0" applyFont="true" applyBorder="true" applyAlignment="false" applyProtection="false">
      <alignment horizontal="general" vertical="bottom" textRotation="0" wrapText="false" indent="0" shrinkToFit="false"/>
      <protection locked="true" hidden="false"/>
    </xf>
    <xf numFmtId="166" fontId="12" fillId="0" borderId="0" xfId="23" applyFont="true" applyBorder="false" applyAlignment="false" applyProtection="false">
      <alignment horizontal="general" vertical="bottom" textRotation="0" wrapText="false" indent="0" shrinkToFit="false"/>
      <protection locked="true" hidden="false"/>
    </xf>
    <xf numFmtId="164" fontId="12" fillId="0" borderId="24" xfId="0" applyFont="true" applyBorder="true" applyAlignment="false" applyProtection="false">
      <alignment horizontal="general" vertical="bottom" textRotation="0" wrapText="false" indent="0" shrinkToFit="false"/>
      <protection locked="true" hidden="false"/>
    </xf>
    <xf numFmtId="164" fontId="13" fillId="0" borderId="32" xfId="0" applyFont="true" applyBorder="true" applyAlignment="false" applyProtection="false">
      <alignment horizontal="general" vertical="bottom" textRotation="0" wrapText="false" indent="0" shrinkToFit="false"/>
      <protection locked="true" hidden="false"/>
    </xf>
    <xf numFmtId="164" fontId="13" fillId="0" borderId="25" xfId="0" applyFont="true" applyBorder="true" applyAlignment="false" applyProtection="false">
      <alignment horizontal="general" vertical="bottom" textRotation="0" wrapText="false" indent="0" shrinkToFit="false"/>
      <protection locked="true" hidden="false"/>
    </xf>
    <xf numFmtId="164" fontId="13" fillId="0" borderId="0" xfId="0" applyFont="true" applyBorder="false" applyAlignment="true" applyProtection="false">
      <alignment horizontal="general" vertical="bottom" textRotation="0" wrapText="false" indent="0" shrinkToFit="false"/>
      <protection locked="true" hidden="false"/>
    </xf>
    <xf numFmtId="167" fontId="13" fillId="0" borderId="0" xfId="0" applyFont="true" applyBorder="false" applyAlignment="true" applyProtection="false">
      <alignment horizontal="right" vertical="bottom" textRotation="0" wrapText="false" indent="0" shrinkToFit="false"/>
      <protection locked="true" hidden="false"/>
    </xf>
    <xf numFmtId="164" fontId="23" fillId="10" borderId="5" xfId="0" applyFont="true" applyBorder="true" applyAlignment="true" applyProtection="false">
      <alignment horizontal="center" vertical="center" textRotation="0" wrapText="false" indent="0" shrinkToFit="false"/>
      <protection locked="true" hidden="false"/>
    </xf>
    <xf numFmtId="164" fontId="23" fillId="0" borderId="33" xfId="0"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left" vertical="bottom" textRotation="0" wrapText="true" indent="0" shrinkToFit="false"/>
      <protection locked="true" hidden="false"/>
    </xf>
    <xf numFmtId="164" fontId="23" fillId="0" borderId="15" xfId="0" applyFont="true" applyBorder="true" applyAlignment="true" applyProtection="false">
      <alignment horizontal="right" vertical="bottom" textRotation="0" wrapText="false" indent="0" shrinkToFit="false"/>
      <protection locked="true" hidden="false"/>
    </xf>
    <xf numFmtId="164" fontId="23" fillId="0" borderId="16" xfId="0" applyFont="true" applyBorder="true" applyAlignment="false" applyProtection="false">
      <alignment horizontal="general" vertical="bottom" textRotation="0" wrapText="false" indent="0" shrinkToFit="false"/>
      <protection locked="true" hidden="false"/>
    </xf>
    <xf numFmtId="165" fontId="12" fillId="0" borderId="0" xfId="20" applyFont="true" applyBorder="false" applyAlignment="true" applyProtection="false">
      <alignment horizontal="center" vertical="bottom" textRotation="0" wrapText="false" indent="0" shrinkToFit="false"/>
      <protection locked="true" hidden="false"/>
    </xf>
    <xf numFmtId="164" fontId="12" fillId="0" borderId="0" xfId="0" applyFont="true" applyBorder="false" applyAlignment="true" applyProtection="false">
      <alignment horizontal="center" vertical="bottom" textRotation="0" wrapText="false" indent="0" shrinkToFit="false"/>
      <protection locked="true" hidden="false"/>
    </xf>
    <xf numFmtId="173" fontId="12" fillId="0" borderId="0" xfId="0" applyFont="tru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true" applyProtection="false">
      <alignment horizontal="general" vertical="bottom" textRotation="0" wrapText="false" indent="0" shrinkToFit="false"/>
      <protection locked="true" hidden="false"/>
    </xf>
    <xf numFmtId="167" fontId="13" fillId="0" borderId="0" xfId="0" applyFont="true" applyBorder="false" applyAlignment="true" applyProtection="false">
      <alignment horizontal="right" vertical="bottom" textRotation="0" wrapText="false" indent="0" shrinkToFit="false"/>
      <protection locked="true" hidden="false"/>
    </xf>
    <xf numFmtId="164" fontId="18" fillId="10" borderId="1" xfId="0" applyFont="true" applyBorder="true" applyAlignment="true" applyProtection="false">
      <alignment horizontal="right" vertical="bottom" textRotation="0" wrapText="false" indent="0" shrinkToFit="false"/>
      <protection locked="true" hidden="false"/>
    </xf>
    <xf numFmtId="169" fontId="18" fillId="10" borderId="1" xfId="0" applyFont="true" applyBorder="true" applyAlignment="false" applyProtection="false">
      <alignment horizontal="general" vertical="bottom" textRotation="0" wrapText="false" indent="0" shrinkToFit="false"/>
      <protection locked="true" hidden="false"/>
    </xf>
    <xf numFmtId="171" fontId="18" fillId="10" borderId="19" xfId="20" applyFont="true" applyBorder="true" applyAlignment="true" applyProtection="false">
      <alignment horizontal="center" vertical="center" textRotation="0" wrapText="false" indent="0" shrinkToFit="false"/>
      <protection locked="true" hidden="false"/>
    </xf>
    <xf numFmtId="164" fontId="23" fillId="0" borderId="30" xfId="0" applyFont="true" applyBorder="true" applyAlignment="true" applyProtection="false">
      <alignment horizontal="right" vertical="bottom" textRotation="0" wrapText="false" indent="0" shrinkToFit="false"/>
      <protection locked="true" hidden="false"/>
    </xf>
    <xf numFmtId="164" fontId="23" fillId="0" borderId="31" xfId="0" applyFont="true" applyBorder="true" applyAlignment="false" applyProtection="false">
      <alignment horizontal="general" vertical="bottom" textRotation="0" wrapText="false" indent="0" shrinkToFit="false"/>
      <protection locked="true" hidden="false"/>
    </xf>
    <xf numFmtId="164" fontId="18" fillId="10" borderId="18" xfId="0" applyFont="true" applyBorder="true" applyAlignment="true" applyProtection="false">
      <alignment horizontal="right" vertical="bottom" textRotation="0" wrapText="false" indent="0" shrinkToFit="false"/>
      <protection locked="true" hidden="false"/>
    </xf>
    <xf numFmtId="164" fontId="18" fillId="10" borderId="23" xfId="0" applyFont="true" applyBorder="true" applyAlignment="true" applyProtection="false">
      <alignment horizontal="right" vertical="bottom" textRotation="0" wrapText="false" indent="0" shrinkToFit="false"/>
      <protection locked="true" hidden="false"/>
    </xf>
    <xf numFmtId="165" fontId="18" fillId="10" borderId="23" xfId="20" applyFont="true" applyBorder="true" applyAlignment="false" applyProtection="false">
      <alignment horizontal="general" vertical="bottom" textRotation="0" wrapText="false" indent="0" shrinkToFit="false"/>
      <protection locked="true" hidden="false"/>
    </xf>
    <xf numFmtId="164" fontId="23" fillId="0" borderId="30" xfId="0" applyFont="true" applyBorder="true" applyAlignment="false" applyProtection="false">
      <alignment horizontal="general" vertical="bottom" textRotation="0" wrapText="false" indent="0" shrinkToFit="false"/>
      <protection locked="true" hidden="false"/>
    </xf>
    <xf numFmtId="168" fontId="13" fillId="0" borderId="0" xfId="0" applyFont="true" applyBorder="false" applyAlignment="false" applyProtection="false">
      <alignment horizontal="general" vertical="bottom" textRotation="0" wrapText="false" indent="0" shrinkToFit="false"/>
      <protection locked="true" hidden="false"/>
    </xf>
    <xf numFmtId="168" fontId="18" fillId="0" borderId="0" xfId="20" applyFont="true" applyBorder="false" applyAlignment="true" applyProtection="false">
      <alignment horizontal="right" vertical="center" textRotation="0" wrapText="false" indent="0" shrinkToFit="false"/>
      <protection locked="true" hidden="false"/>
    </xf>
    <xf numFmtId="174" fontId="12" fillId="0" borderId="0" xfId="20" applyFont="true" applyBorder="false" applyAlignment="false" applyProtection="false">
      <alignment horizontal="general" vertical="bottom" textRotation="0" wrapText="false" indent="0" shrinkToFit="false"/>
      <protection locked="true" hidden="false"/>
    </xf>
    <xf numFmtId="175" fontId="23" fillId="0" borderId="16" xfId="0" applyFont="true" applyBorder="true" applyAlignment="false" applyProtection="false">
      <alignment horizontal="general" vertical="bottom" textRotation="0" wrapText="false" indent="0" shrinkToFit="false"/>
      <protection locked="true" hidden="false"/>
    </xf>
    <xf numFmtId="164" fontId="13" fillId="0" borderId="0" xfId="0" applyFont="true" applyBorder="false" applyAlignment="true" applyProtection="false">
      <alignment horizontal="center" vertical="center" textRotation="0" wrapText="true" indent="0" shrinkToFit="false"/>
      <protection locked="true" hidden="false"/>
    </xf>
    <xf numFmtId="164" fontId="23" fillId="0" borderId="18" xfId="0" applyFont="true" applyBorder="true" applyAlignment="true" applyProtection="false">
      <alignment horizontal="right" vertical="bottom" textRotation="0" wrapText="false" indent="0" shrinkToFit="false"/>
      <protection locked="true" hidden="false"/>
    </xf>
    <xf numFmtId="175" fontId="23" fillId="0" borderId="19" xfId="0" applyFont="true" applyBorder="true" applyAlignment="false" applyProtection="false">
      <alignment horizontal="general" vertical="bottom" textRotation="0" wrapText="false" indent="0" shrinkToFit="false"/>
      <protection locked="true" hidden="false"/>
    </xf>
    <xf numFmtId="171" fontId="12" fillId="0" borderId="0" xfId="20" applyFont="true" applyBorder="false" applyAlignment="false" applyProtection="false">
      <alignment horizontal="general" vertical="bottom" textRotation="0" wrapText="false" indent="0" shrinkToFit="false"/>
      <protection locked="true" hidden="false"/>
    </xf>
    <xf numFmtId="171" fontId="18" fillId="0" borderId="1" xfId="0" applyFont="true" applyBorder="true" applyAlignment="true" applyProtection="false">
      <alignment horizontal="center" vertical="center" textRotation="0" wrapText="false" indent="0" shrinkToFit="false"/>
      <protection locked="true" hidden="false"/>
    </xf>
    <xf numFmtId="167" fontId="13" fillId="0" borderId="1" xfId="0" applyFont="true" applyBorder="true" applyAlignment="false" applyProtection="true">
      <alignment horizontal="general" vertical="bottom" textRotation="0" wrapText="false" indent="0" shrinkToFit="false"/>
      <protection locked="false" hidden="false"/>
    </xf>
    <xf numFmtId="164" fontId="13" fillId="0" borderId="0" xfId="0" applyFont="true" applyBorder="fals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false">
      <alignment horizontal="left" vertical="bottom" textRotation="0" wrapText="false" indent="0" shrinkToFit="false"/>
      <protection locked="true" hidden="false"/>
    </xf>
    <xf numFmtId="165" fontId="18" fillId="10" borderId="19" xfId="20" applyFont="true" applyBorder="true" applyAlignment="true" applyProtection="false">
      <alignment horizontal="center" vertical="center" textRotation="0" wrapText="false" indent="0" shrinkToFit="false"/>
      <protection locked="true" hidden="false"/>
    </xf>
    <xf numFmtId="164" fontId="23" fillId="0" borderId="15" xfId="0" applyFont="true" applyBorder="true" applyAlignment="true" applyProtection="false">
      <alignment horizontal="right" vertical="bottom" textRotation="0" wrapText="true" indent="0" shrinkToFit="false"/>
      <protection locked="true" hidden="false"/>
    </xf>
    <xf numFmtId="164" fontId="18" fillId="0" borderId="0" xfId="0" applyFont="true" applyBorder="false" applyAlignment="true" applyProtection="false">
      <alignment horizontal="general" vertical="bottom" textRotation="0" wrapText="false" indent="0" shrinkToFit="false"/>
      <protection locked="true" hidden="false"/>
    </xf>
    <xf numFmtId="167" fontId="18" fillId="0" borderId="0" xfId="0" applyFont="true" applyBorder="false" applyAlignment="true" applyProtection="false">
      <alignment horizontal="general" vertical="bottom" textRotation="0" wrapText="false" indent="0" shrinkToFit="false"/>
      <protection locked="true" hidden="false"/>
    </xf>
    <xf numFmtId="164" fontId="18" fillId="0" borderId="34" xfId="0" applyFont="true" applyBorder="true" applyAlignment="true" applyProtection="false">
      <alignment horizontal="left" vertical="center" textRotation="0" wrapText="false" indent="0" shrinkToFit="false"/>
      <protection locked="true" hidden="false"/>
    </xf>
    <xf numFmtId="165" fontId="18" fillId="0" borderId="0" xfId="20" applyFont="true" applyBorder="false" applyAlignment="true" applyProtection="false">
      <alignment horizontal="right" vertical="center" textRotation="0" wrapText="false" indent="0" shrinkToFit="false"/>
      <protection locked="true" hidden="false"/>
    </xf>
    <xf numFmtId="171" fontId="18" fillId="15" borderId="1" xfId="0" applyFont="true" applyBorder="true" applyAlignment="true" applyProtection="false">
      <alignment horizontal="center" vertical="center" textRotation="0" wrapText="false" indent="0" shrinkToFit="false"/>
      <protection locked="true" hidden="false"/>
    </xf>
    <xf numFmtId="171" fontId="18" fillId="0" borderId="20" xfId="0" applyFont="true" applyBorder="true" applyAlignment="true" applyProtection="false">
      <alignment horizontal="center" vertical="center" textRotation="0" wrapText="false" indent="0" shrinkToFit="false"/>
      <protection locked="true" hidden="false"/>
    </xf>
    <xf numFmtId="164" fontId="13" fillId="0" borderId="0" xfId="0" applyFont="true" applyBorder="false" applyAlignment="true" applyProtection="false">
      <alignment horizontal="right" vertical="bottom" textRotation="0" wrapText="false" indent="0" shrinkToFit="false"/>
      <protection locked="true" hidden="false"/>
    </xf>
    <xf numFmtId="165" fontId="12" fillId="0" borderId="0" xfId="20" applyFont="true" applyBorder="false" applyAlignment="true" applyProtection="false">
      <alignment horizontal="right" vertical="bottom" textRotation="0" wrapText="false" indent="0" shrinkToFit="false"/>
      <protection locked="true" hidden="false"/>
    </xf>
    <xf numFmtId="165" fontId="12" fillId="0" borderId="0" xfId="20" applyFont="true" applyBorder="false" applyAlignment="true" applyProtection="false">
      <alignment horizontal="general" vertical="bottom" textRotation="0" wrapText="false" indent="0" shrinkToFit="false"/>
      <protection locked="true" hidden="false"/>
    </xf>
    <xf numFmtId="167" fontId="13" fillId="15" borderId="1" xfId="0" applyFont="true" applyBorder="true" applyAlignment="false" applyProtection="true">
      <alignment horizontal="general" vertical="bottom" textRotation="0" wrapText="false" indent="0" shrinkToFit="false"/>
      <protection locked="false" hidden="false"/>
    </xf>
    <xf numFmtId="165" fontId="13" fillId="0" borderId="0" xfId="20" applyFont="true" applyBorder="false" applyAlignment="true" applyProtection="false">
      <alignment horizontal="general" vertical="bottom" textRotation="0" wrapText="false" indent="0" shrinkToFit="false"/>
      <protection locked="true" hidden="false"/>
    </xf>
    <xf numFmtId="165" fontId="13" fillId="0" borderId="0" xfId="20" applyFont="true" applyBorder="false" applyAlignment="true" applyProtection="false">
      <alignment horizontal="right" vertical="bottom" textRotation="0" wrapText="false" indent="0" shrinkToFit="false"/>
      <protection locked="true" hidden="false"/>
    </xf>
    <xf numFmtId="164" fontId="36" fillId="12" borderId="35" xfId="0" applyFont="true" applyBorder="true" applyAlignment="true" applyProtection="false">
      <alignment horizontal="left" vertical="center" textRotation="0" wrapText="false" indent="0" shrinkToFit="false"/>
      <protection locked="true" hidden="false"/>
    </xf>
    <xf numFmtId="165" fontId="36" fillId="12" borderId="36" xfId="20" applyFont="true" applyBorder="true" applyAlignment="true" applyProtection="false">
      <alignment horizontal="right" vertical="center" textRotation="0" wrapText="false" indent="0" shrinkToFit="false"/>
      <protection locked="true" hidden="false"/>
    </xf>
    <xf numFmtId="164" fontId="13" fillId="10" borderId="1" xfId="0" applyFont="true" applyBorder="true" applyAlignment="true" applyProtection="false">
      <alignment horizontal="center" vertical="center" textRotation="0" wrapText="false" indent="0" shrinkToFit="false"/>
      <protection locked="true" hidden="false"/>
    </xf>
    <xf numFmtId="164" fontId="13" fillId="10" borderId="1" xfId="0" applyFont="true" applyBorder="true" applyAlignment="true" applyProtection="false">
      <alignment horizontal="center" vertical="center" textRotation="0" wrapText="true" indent="0" shrinkToFit="false"/>
      <protection locked="true" hidden="false"/>
    </xf>
    <xf numFmtId="164" fontId="18" fillId="10" borderId="1" xfId="0" applyFont="true" applyBorder="true" applyAlignment="true" applyProtection="false">
      <alignment horizontal="left" vertical="center" textRotation="0" wrapText="false" indent="0" shrinkToFit="false"/>
      <protection locked="true" hidden="false"/>
    </xf>
    <xf numFmtId="164" fontId="18" fillId="10" borderId="1" xfId="0" applyFont="true" applyBorder="true" applyAlignment="true" applyProtection="false">
      <alignment horizontal="general" vertical="center" textRotation="0" wrapText="false" indent="0" shrinkToFit="false"/>
      <protection locked="true" hidden="false"/>
    </xf>
    <xf numFmtId="176" fontId="18" fillId="10" borderId="1" xfId="0" applyFont="true" applyBorder="true" applyAlignment="true" applyProtection="false">
      <alignment horizontal="general" vertical="center" textRotation="0" wrapText="false" indent="0" shrinkToFit="false"/>
      <protection locked="true" hidden="false"/>
    </xf>
    <xf numFmtId="176" fontId="13" fillId="0" borderId="0" xfId="0" applyFont="true" applyBorder="false" applyAlignment="false" applyProtection="false">
      <alignment horizontal="general" vertical="bottom" textRotation="0" wrapText="false" indent="0" shrinkToFit="false"/>
      <protection locked="true" hidden="false"/>
    </xf>
    <xf numFmtId="164" fontId="36" fillId="12" borderId="37" xfId="0" applyFont="true" applyBorder="true" applyAlignment="true" applyProtection="false">
      <alignment horizontal="left" vertical="center" textRotation="0" wrapText="false" indent="0" shrinkToFit="false"/>
      <protection locked="true" hidden="false"/>
    </xf>
    <xf numFmtId="177" fontId="12" fillId="0" borderId="0" xfId="0" applyFont="true" applyBorder="false" applyAlignment="false" applyProtection="false">
      <alignment horizontal="general" vertical="bottom" textRotation="0" wrapText="false" indent="0" shrinkToFit="false"/>
      <protection locked="true" hidden="false"/>
    </xf>
    <xf numFmtId="164" fontId="36" fillId="12" borderId="12" xfId="0" applyFont="true" applyBorder="true" applyAlignment="true" applyProtection="false">
      <alignment horizontal="left" vertical="center" textRotation="0" wrapText="true" indent="0" shrinkToFit="false"/>
      <protection locked="true" hidden="false"/>
    </xf>
    <xf numFmtId="164" fontId="36" fillId="12" borderId="13" xfId="0" applyFont="true" applyBorder="true" applyAlignment="true" applyProtection="false">
      <alignment horizontal="center" vertical="center" textRotation="0" wrapText="true" indent="0" shrinkToFit="false"/>
      <protection locked="true" hidden="false"/>
    </xf>
    <xf numFmtId="164" fontId="36" fillId="12" borderId="14" xfId="0" applyFont="true" applyBorder="true" applyAlignment="true" applyProtection="false">
      <alignment horizontal="center" vertical="center" textRotation="0" wrapText="true" indent="0" shrinkToFit="false"/>
      <protection locked="true" hidden="false"/>
    </xf>
    <xf numFmtId="164" fontId="18" fillId="16" borderId="12" xfId="0" applyFont="true" applyBorder="true" applyAlignment="true" applyProtection="false">
      <alignment horizontal="left" vertical="center" textRotation="0" wrapText="true" indent="0" shrinkToFit="false"/>
      <protection locked="true" hidden="false"/>
    </xf>
    <xf numFmtId="164" fontId="18" fillId="16" borderId="13" xfId="0" applyFont="true" applyBorder="true" applyAlignment="true" applyProtection="false">
      <alignment horizontal="center" vertical="center" textRotation="0" wrapText="true" indent="0" shrinkToFit="false"/>
      <protection locked="true" hidden="false"/>
    </xf>
    <xf numFmtId="164" fontId="18" fillId="16" borderId="14" xfId="0" applyFont="true" applyBorder="true" applyAlignment="true" applyProtection="false">
      <alignment horizontal="center" vertical="center" textRotation="0" wrapText="true" indent="0" shrinkToFit="false"/>
      <protection locked="true" hidden="false"/>
    </xf>
    <xf numFmtId="164" fontId="37" fillId="12" borderId="15" xfId="0" applyFont="true" applyBorder="true" applyAlignment="true" applyProtection="false">
      <alignment horizontal="left" vertical="bottom" textRotation="0" wrapText="true" indent="0" shrinkToFit="false"/>
      <protection locked="true" hidden="false"/>
    </xf>
    <xf numFmtId="169" fontId="37" fillId="12" borderId="1" xfId="0" applyFont="true" applyBorder="true" applyAlignment="true" applyProtection="false">
      <alignment horizontal="general" vertical="bottom" textRotation="0" wrapText="true" indent="0" shrinkToFit="false"/>
      <protection locked="true" hidden="false"/>
    </xf>
    <xf numFmtId="171" fontId="37" fillId="12" borderId="1" xfId="0" applyFont="true" applyBorder="true" applyAlignment="true" applyProtection="false">
      <alignment horizontal="general" vertical="bottom" textRotation="0" wrapText="true" indent="0" shrinkToFit="false"/>
      <protection locked="true" hidden="false"/>
    </xf>
    <xf numFmtId="171" fontId="37" fillId="12" borderId="16" xfId="0" applyFont="true" applyBorder="true" applyAlignment="true" applyProtection="false">
      <alignment horizontal="general" vertical="bottom" textRotation="0" wrapText="true" indent="0" shrinkToFit="false"/>
      <protection locked="true" hidden="false"/>
    </xf>
    <xf numFmtId="164" fontId="13" fillId="16" borderId="15" xfId="0" applyFont="true" applyBorder="true" applyAlignment="true" applyProtection="false">
      <alignment horizontal="left" vertical="center" textRotation="0" wrapText="true" indent="0" shrinkToFit="false"/>
      <protection locked="true" hidden="false"/>
    </xf>
    <xf numFmtId="169" fontId="13" fillId="16" borderId="1" xfId="0" applyFont="true" applyBorder="true" applyAlignment="true" applyProtection="false">
      <alignment horizontal="general" vertical="bottom" textRotation="0" wrapText="true" indent="0" shrinkToFit="false"/>
      <protection locked="true" hidden="false"/>
    </xf>
    <xf numFmtId="171" fontId="13" fillId="16" borderId="1" xfId="0" applyFont="true" applyBorder="true" applyAlignment="true" applyProtection="false">
      <alignment horizontal="general" vertical="bottom" textRotation="0" wrapText="true" indent="0" shrinkToFit="false"/>
      <protection locked="true" hidden="false"/>
    </xf>
    <xf numFmtId="171" fontId="13" fillId="16" borderId="16" xfId="0" applyFont="true" applyBorder="true" applyAlignment="true" applyProtection="false">
      <alignment horizontal="general" vertical="bottom" textRotation="0" wrapText="true" indent="0" shrinkToFit="false"/>
      <protection locked="true" hidden="false"/>
    </xf>
    <xf numFmtId="164" fontId="37" fillId="12" borderId="18" xfId="0" applyFont="true" applyBorder="true" applyAlignment="true" applyProtection="false">
      <alignment horizontal="left" vertical="bottom" textRotation="0" wrapText="true" indent="0" shrinkToFit="false"/>
      <protection locked="true" hidden="false"/>
    </xf>
    <xf numFmtId="169" fontId="37" fillId="12" borderId="23" xfId="0" applyFont="true" applyBorder="true" applyAlignment="true" applyProtection="false">
      <alignment horizontal="general" vertical="bottom" textRotation="0" wrapText="true" indent="0" shrinkToFit="false"/>
      <protection locked="true" hidden="false"/>
    </xf>
    <xf numFmtId="171" fontId="37" fillId="12" borderId="23" xfId="0" applyFont="true" applyBorder="true" applyAlignment="true" applyProtection="false">
      <alignment horizontal="general" vertical="bottom" textRotation="0" wrapText="true" indent="0" shrinkToFit="false"/>
      <protection locked="true" hidden="false"/>
    </xf>
    <xf numFmtId="171" fontId="37" fillId="12" borderId="19" xfId="0" applyFont="true" applyBorder="true" applyAlignment="true" applyProtection="false">
      <alignment horizontal="general" vertical="bottom" textRotation="0" wrapText="true" indent="0" shrinkToFit="false"/>
      <protection locked="true" hidden="false"/>
    </xf>
    <xf numFmtId="164" fontId="13" fillId="16" borderId="18" xfId="0" applyFont="true" applyBorder="true" applyAlignment="true" applyProtection="false">
      <alignment horizontal="left" vertical="center" textRotation="0" wrapText="true" indent="0" shrinkToFit="false"/>
      <protection locked="true" hidden="false"/>
    </xf>
    <xf numFmtId="169" fontId="13" fillId="16" borderId="23" xfId="0" applyFont="true" applyBorder="true" applyAlignment="true" applyProtection="false">
      <alignment horizontal="general" vertical="bottom" textRotation="0" wrapText="true" indent="0" shrinkToFit="false"/>
      <protection locked="true" hidden="false"/>
    </xf>
    <xf numFmtId="171" fontId="13" fillId="16" borderId="23" xfId="0" applyFont="true" applyBorder="true" applyAlignment="true" applyProtection="false">
      <alignment horizontal="general" vertical="bottom" textRotation="0" wrapText="true" indent="0" shrinkToFit="false"/>
      <protection locked="true" hidden="false"/>
    </xf>
    <xf numFmtId="171" fontId="13" fillId="16" borderId="19" xfId="0" applyFont="true" applyBorder="true" applyAlignment="true" applyProtection="false">
      <alignment horizontal="general" vertical="bottom" textRotation="0" wrapText="true" indent="0" shrinkToFit="false"/>
      <protection locked="true" hidden="false"/>
    </xf>
    <xf numFmtId="164" fontId="12" fillId="0" borderId="0" xfId="0" applyFont="true" applyBorder="false" applyAlignment="true" applyProtection="false">
      <alignment horizontal="left" vertical="bottom" textRotation="0" wrapText="true" indent="0" shrinkToFit="false"/>
      <protection locked="true" hidden="false"/>
    </xf>
    <xf numFmtId="164" fontId="12" fillId="0" borderId="0" xfId="0" applyFont="true" applyBorder="false" applyAlignment="true" applyProtection="false">
      <alignment horizontal="general" vertical="bottom" textRotation="0" wrapText="true" indent="0" shrinkToFit="false"/>
      <protection locked="true" hidden="false"/>
    </xf>
    <xf numFmtId="164" fontId="12" fillId="0" borderId="0" xfId="0" applyFont="true" applyBorder="false" applyAlignment="true" applyProtection="false">
      <alignment horizontal="left" vertical="bottom" textRotation="0" wrapText="false" indent="0" shrinkToFit="false"/>
      <protection locked="true" hidden="false"/>
    </xf>
    <xf numFmtId="164" fontId="18" fillId="16" borderId="12" xfId="0" applyFont="true" applyBorder="true" applyAlignment="true" applyProtection="false">
      <alignment horizontal="general" vertical="center" textRotation="0" wrapText="true" indent="0" shrinkToFit="false"/>
      <protection locked="true" hidden="false"/>
    </xf>
    <xf numFmtId="171" fontId="13" fillId="0" borderId="0" xfId="0" applyFont="true" applyBorder="false" applyAlignment="false" applyProtection="false">
      <alignment horizontal="general" vertical="bottom" textRotation="0" wrapText="false" indent="0" shrinkToFit="false"/>
      <protection locked="true" hidden="false"/>
    </xf>
    <xf numFmtId="165" fontId="13" fillId="0" borderId="0" xfId="20" applyFont="true" applyBorder="false" applyAlignment="false" applyProtection="false">
      <alignment horizontal="general" vertical="bottom" textRotation="0" wrapText="false" indent="0" shrinkToFit="false"/>
      <protection locked="true" hidden="false"/>
    </xf>
    <xf numFmtId="164" fontId="36" fillId="12" borderId="38" xfId="0" applyFont="true" applyBorder="true" applyAlignment="true" applyProtection="false">
      <alignment horizontal="center" vertical="center" textRotation="0" wrapText="true" indent="0" shrinkToFit="false"/>
      <protection locked="true" hidden="false"/>
    </xf>
    <xf numFmtId="171" fontId="37" fillId="12" borderId="3" xfId="0" applyFont="true" applyBorder="true" applyAlignment="true" applyProtection="false">
      <alignment horizontal="general" vertical="bottom" textRotation="0" wrapText="true" indent="0" shrinkToFit="false"/>
      <protection locked="true" hidden="false"/>
    </xf>
    <xf numFmtId="171" fontId="37" fillId="12" borderId="4" xfId="0" applyFont="true" applyBorder="true" applyAlignment="true" applyProtection="false">
      <alignment horizontal="general" vertical="bottom" textRotation="0" wrapText="true" indent="0" shrinkToFit="false"/>
      <protection locked="true" hidden="false"/>
    </xf>
    <xf numFmtId="164" fontId="18" fillId="0" borderId="30" xfId="0" applyFont="true" applyBorder="true" applyAlignment="true" applyProtection="false">
      <alignment horizontal="left" vertical="center" textRotation="0" wrapText="true" indent="0" shrinkToFit="false"/>
      <protection locked="true" hidden="false"/>
    </xf>
    <xf numFmtId="164" fontId="18" fillId="0" borderId="0" xfId="0" applyFont="true" applyBorder="false" applyAlignment="true" applyProtection="false">
      <alignment horizontal="center" vertical="center" textRotation="0" wrapText="true" indent="0" shrinkToFit="false"/>
      <protection locked="true" hidden="false"/>
    </xf>
    <xf numFmtId="164" fontId="13" fillId="0" borderId="30" xfId="0" applyFont="true" applyBorder="true" applyAlignment="true" applyProtection="false">
      <alignment horizontal="left" vertical="center" textRotation="0" wrapText="true" indent="0" shrinkToFit="false"/>
      <protection locked="true" hidden="false"/>
    </xf>
    <xf numFmtId="169" fontId="13" fillId="0" borderId="0" xfId="0" applyFont="true" applyBorder="false" applyAlignment="true" applyProtection="false">
      <alignment horizontal="general" vertical="bottom" textRotation="0" wrapText="true" indent="0" shrinkToFit="false"/>
      <protection locked="true" hidden="false"/>
    </xf>
    <xf numFmtId="171" fontId="13" fillId="0" borderId="0" xfId="0" applyFont="true" applyBorder="false" applyAlignment="true" applyProtection="false">
      <alignment horizontal="general" vertical="bottom" textRotation="0" wrapText="true" indent="0" shrinkToFit="false"/>
      <protection locked="true" hidden="false"/>
    </xf>
    <xf numFmtId="164" fontId="13" fillId="0" borderId="0" xfId="0" applyFont="true" applyBorder="false" applyAlignment="true" applyProtection="false">
      <alignment horizontal="general" vertical="bottom" textRotation="0" wrapText="true" indent="0" shrinkToFit="false"/>
      <protection locked="true" hidden="false"/>
    </xf>
    <xf numFmtId="171" fontId="13" fillId="0" borderId="0" xfId="0" applyFont="true" applyBorder="false" applyAlignment="true" applyProtection="false">
      <alignment horizontal="center" vertical="bottom" textRotation="0" wrapText="true" indent="0" shrinkToFit="false"/>
      <protection locked="true" hidden="false"/>
    </xf>
    <xf numFmtId="178" fontId="37" fillId="12" borderId="1" xfId="0" applyFont="true" applyBorder="true" applyAlignment="true" applyProtection="false">
      <alignment horizontal="center" vertical="center" textRotation="0" wrapText="true" indent="0" shrinkToFit="false"/>
      <protection locked="true" hidden="false"/>
    </xf>
    <xf numFmtId="178" fontId="13" fillId="16" borderId="1" xfId="0" applyFont="true" applyBorder="true" applyAlignment="true" applyProtection="false">
      <alignment horizontal="center" vertical="center" textRotation="0" wrapText="true" indent="0" shrinkToFit="false"/>
      <protection locked="true" hidden="false"/>
    </xf>
    <xf numFmtId="178" fontId="37" fillId="12" borderId="23" xfId="0" applyFont="true" applyBorder="true" applyAlignment="true" applyProtection="false">
      <alignment horizontal="center" vertical="center" textRotation="0" wrapText="true" indent="0" shrinkToFit="false"/>
      <protection locked="true" hidden="false"/>
    </xf>
    <xf numFmtId="178" fontId="13" fillId="16" borderId="23" xfId="0" applyFont="true" applyBorder="true" applyAlignment="true" applyProtection="false">
      <alignment horizontal="center" vertical="center" textRotation="0" wrapText="true" indent="0" shrinkToFit="false"/>
      <protection locked="true" hidden="false"/>
    </xf>
    <xf numFmtId="171" fontId="13" fillId="0" borderId="0" xfId="0" applyFont="true" applyBorder="false" applyAlignment="true" applyProtection="false">
      <alignment horizontal="general" vertical="bottom" textRotation="0" wrapText="true" indent="0" shrinkToFit="false"/>
      <protection locked="true" hidden="false"/>
    </xf>
    <xf numFmtId="171" fontId="13" fillId="0" borderId="0" xfId="0" applyFont="true" applyBorder="false" applyAlignment="true" applyProtection="false">
      <alignment horizontal="general" vertical="bottom" textRotation="0" wrapText="false" indent="0" shrinkToFit="false"/>
      <protection locked="true" hidden="false"/>
    </xf>
    <xf numFmtId="164" fontId="38" fillId="16" borderId="39" xfId="0" applyFont="true" applyBorder="true" applyAlignment="true" applyProtection="false">
      <alignment horizontal="center" vertical="center" textRotation="0" wrapText="false" indent="0" shrinkToFit="false"/>
      <protection locked="true" hidden="false"/>
    </xf>
    <xf numFmtId="164" fontId="18" fillId="16" borderId="40" xfId="0" applyFont="true" applyBorder="true" applyAlignment="true" applyProtection="false">
      <alignment horizontal="center" vertical="bottom" textRotation="0" wrapText="false" indent="0" shrinkToFit="false"/>
      <protection locked="true" hidden="false"/>
    </xf>
    <xf numFmtId="164" fontId="13" fillId="16" borderId="26" xfId="0" applyFont="true" applyBorder="true" applyAlignment="true" applyProtection="false">
      <alignment horizontal="center" vertical="bottom" textRotation="0" wrapText="true" indent="0" shrinkToFit="false"/>
      <protection locked="true" hidden="false"/>
    </xf>
    <xf numFmtId="164" fontId="18" fillId="10" borderId="35" xfId="0" applyFont="true" applyBorder="true" applyAlignment="true" applyProtection="false">
      <alignment horizontal="center" vertical="bottom" textRotation="0" wrapText="false" indent="0" shrinkToFit="false"/>
      <protection locked="true" hidden="false"/>
    </xf>
    <xf numFmtId="164" fontId="18" fillId="10" borderId="41" xfId="0" applyFont="true" applyBorder="true" applyAlignment="true" applyProtection="false">
      <alignment horizontal="center" vertical="bottom" textRotation="0" wrapText="false" indent="0" shrinkToFit="false"/>
      <protection locked="true" hidden="false"/>
    </xf>
    <xf numFmtId="164" fontId="18" fillId="10" borderId="41" xfId="0" applyFont="true" applyBorder="true" applyAlignment="true" applyProtection="false">
      <alignment horizontal="center" vertical="bottom" textRotation="0" wrapText="true" indent="0" shrinkToFit="false"/>
      <protection locked="true" hidden="false"/>
    </xf>
    <xf numFmtId="164" fontId="18" fillId="10" borderId="42" xfId="0" applyFont="true" applyBorder="true" applyAlignment="true" applyProtection="false">
      <alignment horizontal="center" vertical="center" textRotation="0" wrapText="true" indent="0" shrinkToFit="false"/>
      <protection locked="true" hidden="false"/>
    </xf>
    <xf numFmtId="164" fontId="18" fillId="10" borderId="7" xfId="0" applyFont="true" applyBorder="true" applyAlignment="true" applyProtection="false">
      <alignment horizontal="center" vertical="center" textRotation="0" wrapText="true" indent="0" shrinkToFit="false"/>
      <protection locked="true" hidden="false"/>
    </xf>
    <xf numFmtId="164" fontId="13" fillId="17" borderId="17" xfId="0" applyFont="true" applyBorder="true" applyAlignment="true" applyProtection="false">
      <alignment horizontal="left" vertical="bottom" textRotation="0" wrapText="true" indent="0" shrinkToFit="false"/>
      <protection locked="true" hidden="false"/>
    </xf>
    <xf numFmtId="164" fontId="13" fillId="17" borderId="20" xfId="0" applyFont="true" applyBorder="true" applyAlignment="true" applyProtection="false">
      <alignment horizontal="left" vertical="bottom" textRotation="0" wrapText="true" indent="0" shrinkToFit="false"/>
      <protection locked="true" hidden="false"/>
    </xf>
    <xf numFmtId="167" fontId="13" fillId="0" borderId="20" xfId="0" applyFont="true" applyBorder="true" applyAlignment="true" applyProtection="false">
      <alignment horizontal="general" vertical="bottom" textRotation="0" wrapText="true" indent="0" shrinkToFit="false"/>
      <protection locked="true" hidden="false"/>
    </xf>
    <xf numFmtId="167" fontId="13" fillId="0" borderId="2" xfId="0" applyFont="true" applyBorder="true" applyAlignment="true" applyProtection="false">
      <alignment horizontal="right" vertical="bottom" textRotation="0" wrapText="true" indent="0" shrinkToFit="false"/>
      <protection locked="true" hidden="false"/>
    </xf>
    <xf numFmtId="167" fontId="13" fillId="0" borderId="43" xfId="0" applyFont="true" applyBorder="true" applyAlignment="true" applyProtection="false">
      <alignment horizontal="right" vertical="bottom" textRotation="0" wrapText="true" indent="0" shrinkToFit="false"/>
      <protection locked="true" hidden="false"/>
    </xf>
    <xf numFmtId="167" fontId="13" fillId="0" borderId="44" xfId="0" applyFont="true" applyBorder="true" applyAlignment="true" applyProtection="false">
      <alignment horizontal="right" vertical="bottom" textRotation="0" wrapText="false" indent="0" shrinkToFit="false"/>
      <protection locked="true" hidden="false"/>
    </xf>
    <xf numFmtId="165" fontId="12" fillId="0" borderId="0" xfId="20" applyFont="true" applyBorder="false" applyAlignment="true" applyProtection="false">
      <alignment horizontal="general" vertical="bottom" textRotation="0" wrapText="true" indent="0" shrinkToFit="false"/>
      <protection locked="true" hidden="false"/>
    </xf>
    <xf numFmtId="164" fontId="13" fillId="17" borderId="15" xfId="0" applyFont="true" applyBorder="true" applyAlignment="true" applyProtection="false">
      <alignment horizontal="left" vertical="bottom" textRotation="0" wrapText="true" indent="0" shrinkToFit="false"/>
      <protection locked="true" hidden="false"/>
    </xf>
    <xf numFmtId="164" fontId="13" fillId="17" borderId="1" xfId="0" applyFont="true" applyBorder="true" applyAlignment="true" applyProtection="false">
      <alignment horizontal="left" vertical="bottom" textRotation="0" wrapText="true" indent="0" shrinkToFit="false"/>
      <protection locked="true" hidden="false"/>
    </xf>
    <xf numFmtId="167" fontId="13" fillId="0" borderId="1" xfId="0" applyFont="true" applyBorder="true" applyAlignment="true" applyProtection="false">
      <alignment horizontal="general" vertical="bottom" textRotation="0" wrapText="true" indent="0" shrinkToFit="false"/>
      <protection locked="true" hidden="false"/>
    </xf>
    <xf numFmtId="167" fontId="13" fillId="0" borderId="3" xfId="0" applyFont="true" applyBorder="true" applyAlignment="true" applyProtection="false">
      <alignment horizontal="right" vertical="bottom" textRotation="0" wrapText="true" indent="0" shrinkToFit="false"/>
      <protection locked="true" hidden="false"/>
    </xf>
    <xf numFmtId="167" fontId="13" fillId="0" borderId="45" xfId="0" applyFont="true" applyBorder="true" applyAlignment="true" applyProtection="false">
      <alignment horizontal="right" vertical="bottom" textRotation="0" wrapText="true" indent="0" shrinkToFit="false"/>
      <protection locked="true" hidden="false"/>
    </xf>
    <xf numFmtId="167" fontId="13" fillId="0" borderId="33" xfId="0" applyFont="true" applyBorder="true" applyAlignment="true" applyProtection="false">
      <alignment horizontal="right" vertical="bottom" textRotation="0" wrapText="false" indent="0" shrinkToFit="false"/>
      <protection locked="true" hidden="false"/>
    </xf>
    <xf numFmtId="167" fontId="13" fillId="0" borderId="33" xfId="20" applyFont="true" applyBorder="true" applyAlignment="true" applyProtection="false">
      <alignment horizontal="general" vertical="bottom" textRotation="0" wrapText="true" indent="0" shrinkToFit="false"/>
      <protection locked="true" hidden="false"/>
    </xf>
    <xf numFmtId="167" fontId="13" fillId="0" borderId="0" xfId="0" applyFont="true" applyBorder="false" applyAlignment="false" applyProtection="false">
      <alignment horizontal="general" vertical="bottom" textRotation="0" wrapText="false" indent="0" shrinkToFit="false"/>
      <protection locked="true" hidden="false"/>
    </xf>
    <xf numFmtId="167" fontId="18" fillId="0" borderId="26" xfId="0" applyFont="true" applyBorder="true" applyAlignment="true" applyProtection="false">
      <alignment horizontal="right" vertical="bottom" textRotation="0" wrapText="false" indent="0" shrinkToFit="false"/>
      <protection locked="true" hidden="false"/>
    </xf>
    <xf numFmtId="167" fontId="18" fillId="0" borderId="0" xfId="0" applyFont="true" applyBorder="false" applyAlignment="true" applyProtection="false">
      <alignment horizontal="right" vertical="bottom" textRotation="0" wrapText="false" indent="0" shrinkToFit="false"/>
      <protection locked="true" hidden="false"/>
    </xf>
    <xf numFmtId="164" fontId="38" fillId="16" borderId="39" xfId="0" applyFont="true" applyBorder="true" applyAlignment="true" applyProtection="false">
      <alignment horizontal="center" vertical="bottom" textRotation="0" wrapText="false" indent="0" shrinkToFit="false"/>
      <protection locked="true" hidden="false"/>
    </xf>
    <xf numFmtId="164" fontId="13" fillId="17" borderId="17" xfId="0" applyFont="true" applyBorder="true" applyAlignment="true" applyProtection="false">
      <alignment horizontal="left" vertical="bottom" textRotation="0" wrapText="false" indent="0" shrinkToFit="false"/>
      <protection locked="true" hidden="false"/>
    </xf>
    <xf numFmtId="167" fontId="13" fillId="0" borderId="20" xfId="0" applyFont="true" applyBorder="true" applyAlignment="false" applyProtection="false">
      <alignment horizontal="general" vertical="bottom" textRotation="0" wrapText="false" indent="0" shrinkToFit="false"/>
      <protection locked="true" hidden="false"/>
    </xf>
    <xf numFmtId="167" fontId="13" fillId="0" borderId="2" xfId="0" applyFont="true" applyBorder="true" applyAlignment="true" applyProtection="false">
      <alignment horizontal="right" vertical="bottom" textRotation="0" wrapText="false" indent="0" shrinkToFit="false"/>
      <protection locked="true" hidden="false"/>
    </xf>
    <xf numFmtId="164" fontId="13" fillId="17" borderId="15" xfId="0" applyFont="true" applyBorder="true" applyAlignment="true" applyProtection="false">
      <alignment horizontal="left" vertical="bottom" textRotation="0" wrapText="false" indent="0" shrinkToFit="false"/>
      <protection locked="true" hidden="false"/>
    </xf>
    <xf numFmtId="167" fontId="13" fillId="0" borderId="1" xfId="0" applyFont="true" applyBorder="true" applyAlignment="false" applyProtection="false">
      <alignment horizontal="general" vertical="bottom" textRotation="0" wrapText="false" indent="0" shrinkToFit="false"/>
      <protection locked="true" hidden="false"/>
    </xf>
    <xf numFmtId="167" fontId="13" fillId="0" borderId="3" xfId="0" applyFont="true" applyBorder="true" applyAlignment="true" applyProtection="false">
      <alignment horizontal="right" vertical="bottom" textRotation="0" wrapText="false" indent="0" shrinkToFit="false"/>
      <protection locked="true" hidden="false"/>
    </xf>
    <xf numFmtId="164" fontId="13" fillId="17" borderId="18" xfId="0" applyFont="true" applyBorder="true" applyAlignment="true" applyProtection="false">
      <alignment horizontal="left" vertical="bottom" textRotation="0" wrapText="false" indent="0" shrinkToFit="false"/>
      <protection locked="true" hidden="false"/>
    </xf>
    <xf numFmtId="164" fontId="13" fillId="17" borderId="23" xfId="0" applyFont="true" applyBorder="true" applyAlignment="true" applyProtection="false">
      <alignment horizontal="left" vertical="bottom" textRotation="0" wrapText="false" indent="0" shrinkToFit="false"/>
      <protection locked="true" hidden="false"/>
    </xf>
    <xf numFmtId="167" fontId="13" fillId="0" borderId="23" xfId="0" applyFont="true" applyBorder="true" applyAlignment="false" applyProtection="false">
      <alignment horizontal="general" vertical="bottom" textRotation="0" wrapText="false" indent="0" shrinkToFit="false"/>
      <protection locked="true" hidden="false"/>
    </xf>
    <xf numFmtId="167" fontId="13" fillId="0" borderId="4" xfId="0" applyFont="true" applyBorder="true" applyAlignment="true" applyProtection="false">
      <alignment horizontal="right" vertical="bottom" textRotation="0" wrapText="false" indent="0" shrinkToFit="false"/>
      <protection locked="true" hidden="false"/>
    </xf>
    <xf numFmtId="167" fontId="13" fillId="0" borderId="6" xfId="0" applyFont="true" applyBorder="true" applyAlignment="true" applyProtection="false">
      <alignment horizontal="right" vertical="bottom" textRotation="0" wrapText="false" indent="0" shrinkToFit="false"/>
      <protection locked="true" hidden="false"/>
    </xf>
    <xf numFmtId="167" fontId="13" fillId="0" borderId="6" xfId="20" applyFont="true" applyBorder="true" applyAlignment="false" applyProtection="false">
      <alignment horizontal="general" vertical="bottom" textRotation="0" wrapText="false" indent="0" shrinkToFit="false"/>
      <protection locked="true" hidden="false"/>
    </xf>
    <xf numFmtId="167" fontId="13" fillId="0" borderId="44" xfId="20" applyFont="true" applyBorder="true" applyAlignment="false" applyProtection="false">
      <alignment horizontal="general" vertical="bottom" textRotation="0" wrapText="false" indent="0" shrinkToFit="false"/>
      <protection locked="true" hidden="false"/>
    </xf>
    <xf numFmtId="164" fontId="13" fillId="0" borderId="3" xfId="0" applyFont="true" applyBorder="true" applyAlignment="true" applyProtection="false">
      <alignment horizontal="left" vertical="bottom" textRotation="0" wrapText="false" indent="0" shrinkToFit="false"/>
      <protection locked="true" hidden="false"/>
    </xf>
    <xf numFmtId="164" fontId="13" fillId="0" borderId="46" xfId="0" applyFont="true" applyBorder="true" applyAlignment="true" applyProtection="false">
      <alignment horizontal="left" vertical="bottom" textRotation="0" wrapText="false" indent="0" shrinkToFit="false"/>
      <protection locked="true" hidden="false"/>
    </xf>
    <xf numFmtId="164" fontId="13" fillId="0" borderId="21" xfId="0" applyFont="true" applyBorder="true" applyAlignment="true" applyProtection="false">
      <alignment horizontal="left" vertical="bottom" textRotation="0" wrapText="false" indent="0" shrinkToFit="false"/>
      <protection locked="true" hidden="false"/>
    </xf>
    <xf numFmtId="173" fontId="13" fillId="0" borderId="1" xfId="0" applyFont="true" applyBorder="true" applyAlignment="false" applyProtection="false">
      <alignment horizontal="general" vertical="bottom" textRotation="0" wrapText="false" indent="0" shrinkToFit="false"/>
      <protection locked="true" hidden="false"/>
    </xf>
    <xf numFmtId="164" fontId="21" fillId="0" borderId="0" xfId="0" applyFont="true" applyBorder="false" applyAlignment="true" applyProtection="false">
      <alignment horizontal="center" vertical="bottom" textRotation="0" wrapText="false" indent="0" shrinkToFit="false"/>
      <protection locked="true" hidden="false"/>
    </xf>
    <xf numFmtId="164" fontId="21" fillId="0" borderId="1" xfId="0" applyFont="true" applyBorder="true" applyAlignment="true" applyProtection="false">
      <alignment horizontal="center" vertical="bottom" textRotation="0" wrapText="false" indent="0" shrinkToFit="false"/>
      <protection locked="true" hidden="false"/>
    </xf>
    <xf numFmtId="164" fontId="21" fillId="0" borderId="1" xfId="0" applyFont="true" applyBorder="true" applyAlignment="true" applyProtection="false">
      <alignment horizontal="center" vertical="bottom" textRotation="0" wrapText="true" indent="0" shrinkToFit="false"/>
      <protection locked="true" hidden="false"/>
    </xf>
    <xf numFmtId="173" fontId="21" fillId="0" borderId="1" xfId="0" applyFont="true" applyBorder="true" applyAlignment="true" applyProtection="false">
      <alignment horizontal="center" vertical="center" textRotation="0" wrapText="false" indent="0" shrinkToFit="false"/>
      <protection locked="true" hidden="false"/>
    </xf>
    <xf numFmtId="164" fontId="21" fillId="0" borderId="3" xfId="0" applyFont="true" applyBorder="true" applyAlignment="true" applyProtection="false">
      <alignment horizontal="center" vertical="bottom" textRotation="0" wrapText="false" indent="0" shrinkToFit="false"/>
      <protection locked="true" hidden="false"/>
    </xf>
    <xf numFmtId="164" fontId="13" fillId="0" borderId="1" xfId="0" applyFont="true" applyBorder="true" applyAlignment="false" applyProtection="false">
      <alignment horizontal="general" vertical="bottom" textRotation="0" wrapText="false" indent="0" shrinkToFit="false"/>
      <protection locked="true" hidden="false"/>
    </xf>
    <xf numFmtId="167" fontId="13" fillId="0" borderId="21" xfId="0" applyFont="true" applyBorder="true" applyAlignment="true" applyProtection="false">
      <alignment horizontal="right" vertical="bottom" textRotation="0" wrapText="false" indent="0" shrinkToFit="false"/>
      <protection locked="true" hidden="false"/>
    </xf>
    <xf numFmtId="164" fontId="21" fillId="11" borderId="1" xfId="0" applyFont="true" applyBorder="true" applyAlignment="true" applyProtection="false">
      <alignment horizontal="general" vertical="center" textRotation="0" wrapText="false" indent="0" shrinkToFit="false"/>
      <protection locked="true" hidden="false"/>
    </xf>
    <xf numFmtId="164" fontId="21" fillId="11" borderId="1" xfId="0" applyFont="true" applyBorder="true" applyAlignment="false" applyProtection="false">
      <alignment horizontal="general" vertical="bottom" textRotation="0" wrapText="false" indent="0" shrinkToFit="false"/>
      <protection locked="true" hidden="false"/>
    </xf>
    <xf numFmtId="167" fontId="13" fillId="11" borderId="1" xfId="0" applyFont="true" applyBorder="true" applyAlignment="false" applyProtection="false">
      <alignment horizontal="general" vertical="bottom" textRotation="0" wrapText="false" indent="0" shrinkToFit="false"/>
      <protection locked="true" hidden="false"/>
    </xf>
    <xf numFmtId="167" fontId="13" fillId="11" borderId="1" xfId="0" applyFont="true" applyBorder="true" applyAlignment="true" applyProtection="false">
      <alignment horizontal="right" vertical="bottom" textRotation="0" wrapText="false" indent="0" shrinkToFit="false"/>
      <protection locked="true" hidden="false"/>
    </xf>
    <xf numFmtId="167" fontId="18" fillId="11" borderId="1" xfId="0" applyFont="true" applyBorder="true" applyAlignment="true" applyProtection="false">
      <alignment horizontal="right" vertical="center" textRotation="0" wrapText="false" indent="0" shrinkToFit="false"/>
      <protection locked="true" hidden="false"/>
    </xf>
    <xf numFmtId="164" fontId="13" fillId="0" borderId="0" xfId="0" applyFont="true" applyBorder="false" applyAlignment="true" applyProtection="false">
      <alignment horizontal="left" vertical="bottom" textRotation="0" wrapText="false" indent="0" shrinkToFit="false"/>
      <protection locked="true" hidden="false"/>
    </xf>
    <xf numFmtId="165" fontId="13" fillId="0" borderId="0" xfId="20" applyFont="true" applyBorder="false" applyAlignment="true" applyProtection="false">
      <alignment horizontal="center" vertical="center" textRotation="0" wrapText="false" indent="0" shrinkToFit="false"/>
      <protection locked="true" hidden="false"/>
    </xf>
    <xf numFmtId="164" fontId="13" fillId="0" borderId="0" xfId="0" applyFont="true" applyBorder="false" applyAlignment="true" applyProtection="false">
      <alignment horizontal="center" vertical="center" textRotation="0" wrapText="false" indent="0" shrinkToFit="false"/>
      <protection locked="true" hidden="false"/>
    </xf>
    <xf numFmtId="165" fontId="13" fillId="0" borderId="1" xfId="20" applyFont="true" applyBorder="true" applyAlignment="false" applyProtection="false">
      <alignment horizontal="general" vertical="bottom" textRotation="0" wrapText="false" indent="0" shrinkToFit="false"/>
      <protection locked="true" hidden="false"/>
    </xf>
    <xf numFmtId="164" fontId="21" fillId="0" borderId="1" xfId="0" applyFont="true" applyBorder="true" applyAlignment="true" applyProtection="false">
      <alignment horizontal="general" vertical="center" textRotation="0" wrapText="false" indent="0" shrinkToFit="false"/>
      <protection locked="true" hidden="false"/>
    </xf>
    <xf numFmtId="164" fontId="21" fillId="0" borderId="1" xfId="0" applyFont="true" applyBorder="true" applyAlignment="false" applyProtection="false">
      <alignment horizontal="general" vertical="bottom" textRotation="0" wrapText="false" indent="0" shrinkToFit="false"/>
      <protection locked="true" hidden="false"/>
    </xf>
    <xf numFmtId="167" fontId="13" fillId="0" borderId="1" xfId="0" applyFont="true" applyBorder="true" applyAlignment="false" applyProtection="false">
      <alignment horizontal="general" vertical="bottom" textRotation="0" wrapText="false" indent="0" shrinkToFit="false"/>
      <protection locked="true" hidden="false"/>
    </xf>
    <xf numFmtId="167" fontId="13" fillId="0" borderId="1" xfId="0" applyFont="true" applyBorder="true" applyAlignment="true" applyProtection="false">
      <alignment horizontal="right" vertical="bottom" textRotation="0" wrapText="false" indent="0" shrinkToFit="false"/>
      <protection locked="true" hidden="false"/>
    </xf>
    <xf numFmtId="167" fontId="18" fillId="0" borderId="1" xfId="0" applyFont="true" applyBorder="true" applyAlignment="true" applyProtection="false">
      <alignment horizontal="right" vertical="center" textRotation="0" wrapText="false" indent="0" shrinkToFit="false"/>
      <protection locked="true" hidden="false"/>
    </xf>
    <xf numFmtId="165" fontId="13" fillId="0" borderId="1" xfId="0" applyFont="true" applyBorder="true" applyAlignment="false" applyProtection="false">
      <alignment horizontal="general" vertical="bottom" textRotation="0" wrapText="false" indent="0" shrinkToFit="false"/>
      <protection locked="true" hidden="false"/>
    </xf>
    <xf numFmtId="166" fontId="13" fillId="0" borderId="1" xfId="23" applyFont="true" applyBorder="true" applyAlignment="false" applyProtection="false">
      <alignment horizontal="general" vertical="bottom" textRotation="0" wrapText="false" indent="0" shrinkToFit="false"/>
      <protection locked="true" hidden="false"/>
    </xf>
    <xf numFmtId="164" fontId="21" fillId="0" borderId="1" xfId="0" applyFont="true" applyBorder="true" applyAlignment="true" applyProtection="false">
      <alignment horizontal="left" vertical="bottom" textRotation="0" wrapText="false" indent="0" shrinkToFit="false"/>
      <protection locked="true" hidden="false"/>
    </xf>
    <xf numFmtId="167" fontId="13" fillId="0" borderId="1" xfId="0" applyFont="true" applyBorder="true" applyAlignment="true" applyProtection="false">
      <alignment horizontal="general" vertical="center" textRotation="0" wrapText="false" indent="0" shrinkToFit="false"/>
      <protection locked="true" hidden="false"/>
    </xf>
    <xf numFmtId="164" fontId="13" fillId="0" borderId="1" xfId="0" applyFont="true" applyBorder="true" applyAlignment="true" applyProtection="false">
      <alignment horizontal="general" vertical="center" textRotation="0" wrapText="false" indent="0" shrinkToFit="false"/>
      <protection locked="true" hidden="false"/>
    </xf>
    <xf numFmtId="164" fontId="13" fillId="0" borderId="1" xfId="0" applyFont="true" applyBorder="true" applyAlignment="false" applyProtection="false">
      <alignment horizontal="general" vertical="bottom" textRotation="0" wrapText="false" indent="0" shrinkToFit="false"/>
      <protection locked="true" hidden="false"/>
    </xf>
    <xf numFmtId="167" fontId="18" fillId="0" borderId="47" xfId="0" applyFont="true" applyBorder="true" applyAlignment="true" applyProtection="false">
      <alignment horizontal="right" vertical="center" textRotation="0" wrapText="false" indent="0" shrinkToFit="false"/>
      <protection locked="true" hidden="false"/>
    </xf>
    <xf numFmtId="167" fontId="18" fillId="0" borderId="20" xfId="0" applyFont="true" applyBorder="true" applyAlignment="true" applyProtection="false">
      <alignment horizontal="right" vertical="center" textRotation="0" wrapText="false" indent="0" shrinkToFit="false"/>
      <protection locked="true" hidden="false"/>
    </xf>
    <xf numFmtId="167" fontId="13" fillId="11" borderId="1" xfId="0" applyFont="true" applyBorder="true" applyAlignment="true" applyProtection="false">
      <alignment horizontal="general" vertical="center" textRotation="0" wrapText="false" indent="0" shrinkToFit="false"/>
      <protection locked="true" hidden="false"/>
    </xf>
    <xf numFmtId="167" fontId="18" fillId="11" borderId="47" xfId="0" applyFont="true" applyBorder="true" applyAlignment="true" applyProtection="false">
      <alignment horizontal="right" vertical="center" textRotation="0" wrapText="false" indent="0" shrinkToFit="false"/>
      <protection locked="true" hidden="false"/>
    </xf>
    <xf numFmtId="177" fontId="13" fillId="0" borderId="0" xfId="0" applyFont="true" applyBorder="false" applyAlignment="false" applyProtection="false">
      <alignment horizontal="general" vertical="bottom" textRotation="0" wrapText="false" indent="0" shrinkToFit="false"/>
      <protection locked="true" hidden="false"/>
    </xf>
    <xf numFmtId="164" fontId="13" fillId="11" borderId="1" xfId="0" applyFont="true" applyBorder="true" applyAlignment="false" applyProtection="false">
      <alignment horizontal="general" vertical="bottom" textRotation="0" wrapText="false" indent="0" shrinkToFit="false"/>
      <protection locked="true" hidden="false"/>
    </xf>
    <xf numFmtId="167" fontId="18" fillId="11" borderId="20" xfId="0" applyFont="true" applyBorder="true" applyAlignment="true" applyProtection="false">
      <alignment horizontal="right" vertical="center" textRotation="0" wrapText="false" indent="0" shrinkToFit="false"/>
      <protection locked="true" hidden="false"/>
    </xf>
    <xf numFmtId="167" fontId="18" fillId="0" borderId="47" xfId="0" applyFont="true" applyBorder="true" applyAlignment="true" applyProtection="false">
      <alignment horizontal="right" vertical="center" textRotation="0" wrapText="true" indent="0" shrinkToFit="false"/>
      <protection locked="true" hidden="false"/>
    </xf>
    <xf numFmtId="167" fontId="18" fillId="0" borderId="20" xfId="0" applyFont="true" applyBorder="true" applyAlignment="true" applyProtection="false">
      <alignment horizontal="right" vertical="center" textRotation="0" wrapText="true" indent="0" shrinkToFit="false"/>
      <protection locked="true" hidden="false"/>
    </xf>
    <xf numFmtId="164" fontId="17" fillId="0" borderId="7" xfId="0" applyFont="true" applyBorder="true" applyAlignment="true" applyProtection="false">
      <alignment horizontal="center" vertical="center" textRotation="0" wrapText="tru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7" fontId="13" fillId="0" borderId="0" xfId="0" applyFont="true" applyBorder="false" applyAlignment="true" applyProtection="false">
      <alignment horizontal="general" vertical="center" textRotation="0" wrapText="false" indent="0" shrinkToFit="false"/>
      <protection locked="true" hidden="false"/>
    </xf>
    <xf numFmtId="167" fontId="33" fillId="0" borderId="0" xfId="0" applyFont="true" applyBorder="false" applyAlignment="true" applyProtection="false">
      <alignment horizontal="general" vertical="center" textRotation="0" wrapText="true" indent="0" shrinkToFit="false"/>
      <protection locked="true" hidden="false"/>
    </xf>
    <xf numFmtId="164" fontId="25" fillId="0" borderId="1" xfId="0" applyFont="true" applyBorder="true" applyAlignment="true" applyProtection="false">
      <alignment horizontal="left" vertical="bottom" textRotation="0" wrapText="false" indent="0" shrinkToFit="false"/>
      <protection locked="true" hidden="false"/>
    </xf>
    <xf numFmtId="167" fontId="12" fillId="0" borderId="1" xfId="0" applyFont="true" applyBorder="true" applyAlignment="false" applyProtection="false">
      <alignment horizontal="general" vertical="bottom" textRotation="0" wrapText="false" indent="0" shrinkToFit="false"/>
      <protection locked="true" hidden="false"/>
    </xf>
    <xf numFmtId="164" fontId="13" fillId="11" borderId="1" xfId="0" applyFont="true" applyBorder="true" applyAlignment="true" applyProtection="false">
      <alignment horizontal="center" vertical="center" textRotation="0" wrapText="false" indent="0" shrinkToFit="false"/>
      <protection locked="true" hidden="false"/>
    </xf>
    <xf numFmtId="164" fontId="13" fillId="11" borderId="1" xfId="0"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7" fontId="13" fillId="0" borderId="0" xfId="0" applyFont="true" applyBorder="false" applyAlignment="false" applyProtection="false">
      <alignment horizontal="general" vertical="bottom" textRotation="0" wrapText="false" indent="0" shrinkToFit="false"/>
      <protection locked="true" hidden="false"/>
    </xf>
    <xf numFmtId="164" fontId="13" fillId="11" borderId="1" xfId="0" applyFont="true" applyBorder="true" applyAlignment="true" applyProtection="false">
      <alignment horizontal="left" vertical="bottom" textRotation="0" wrapText="false" indent="0" shrinkToFit="false"/>
      <protection locked="true" hidden="false"/>
    </xf>
    <xf numFmtId="168" fontId="13" fillId="11" borderId="1" xfId="0" applyFont="true" applyBorder="true" applyAlignment="true" applyProtection="false">
      <alignment horizontal="right" vertical="bottom" textRotation="0" wrapText="false" indent="0" shrinkToFit="false"/>
      <protection locked="true" hidden="false"/>
    </xf>
    <xf numFmtId="164" fontId="13" fillId="0" borderId="0" xfId="0" applyFont="true" applyBorder="false" applyAlignment="true" applyProtection="false">
      <alignment horizontal="left" vertical="center" textRotation="0" wrapText="true" indent="0" shrinkToFit="false"/>
      <protection locked="true" hidden="false"/>
    </xf>
    <xf numFmtId="164" fontId="38" fillId="11" borderId="1" xfId="0" applyFont="true" applyBorder="true" applyAlignment="true" applyProtection="false">
      <alignment horizontal="center" vertical="center" textRotation="0" wrapText="true" indent="0" shrinkToFit="false"/>
      <protection locked="true" hidden="false"/>
    </xf>
    <xf numFmtId="164" fontId="13" fillId="0" borderId="11" xfId="0" applyFont="true" applyBorder="true" applyAlignment="false" applyProtection="false">
      <alignment horizontal="general" vertical="bottom" textRotation="0" wrapText="false" indent="0" shrinkToFit="false"/>
      <protection locked="true" hidden="false"/>
    </xf>
    <xf numFmtId="164" fontId="39" fillId="12" borderId="35" xfId="0" applyFont="true" applyBorder="true" applyAlignment="true" applyProtection="false">
      <alignment horizontal="center" vertical="center" textRotation="0" wrapText="false" indent="0" shrinkToFit="false"/>
      <protection locked="true" hidden="false"/>
    </xf>
    <xf numFmtId="164" fontId="39" fillId="12" borderId="13" xfId="0" applyFont="true" applyBorder="true" applyAlignment="true" applyProtection="false">
      <alignment horizontal="center" vertical="bottom" textRotation="0" wrapText="false" indent="0" shrinkToFit="false"/>
      <protection locked="true" hidden="false"/>
    </xf>
    <xf numFmtId="165" fontId="39" fillId="12" borderId="14" xfId="20" applyFont="true" applyBorder="true" applyAlignment="true" applyProtection="false">
      <alignment horizontal="center" vertical="bottom" textRotation="0" wrapText="false" indent="0" shrinkToFit="false"/>
      <protection locked="true" hidden="false"/>
    </xf>
    <xf numFmtId="164" fontId="13" fillId="0" borderId="30" xfId="0" applyFont="true" applyBorder="true" applyAlignment="true" applyProtection="false">
      <alignment horizontal="center" vertical="center" textRotation="0" wrapText="false" indent="0" shrinkToFit="false"/>
      <protection locked="true" hidden="false"/>
    </xf>
    <xf numFmtId="164" fontId="39" fillId="12" borderId="23" xfId="0" applyFont="true" applyBorder="true" applyAlignment="true" applyProtection="false">
      <alignment horizontal="center" vertical="center" textRotation="0" wrapText="false" indent="0" shrinkToFit="false"/>
      <protection locked="true" hidden="false"/>
    </xf>
    <xf numFmtId="164" fontId="40" fillId="12" borderId="1" xfId="0" applyFont="true" applyBorder="true" applyAlignment="true" applyProtection="false">
      <alignment horizontal="center" vertical="center" textRotation="0" wrapText="false" indent="0" shrinkToFit="false"/>
      <protection locked="true" hidden="false"/>
    </xf>
    <xf numFmtId="164" fontId="40" fillId="12" borderId="47" xfId="0" applyFont="true" applyBorder="true" applyAlignment="true" applyProtection="false">
      <alignment horizontal="center" vertical="center" textRotation="0" wrapText="false" indent="0" shrinkToFit="false"/>
      <protection locked="true" hidden="false"/>
    </xf>
    <xf numFmtId="164" fontId="40" fillId="12" borderId="47" xfId="0" applyFont="true" applyBorder="true" applyAlignment="true" applyProtection="false">
      <alignment horizontal="center" vertical="center" textRotation="0" wrapText="true" indent="0" shrinkToFit="false"/>
      <protection locked="true" hidden="false"/>
    </xf>
    <xf numFmtId="164" fontId="40" fillId="12" borderId="16" xfId="0" applyFont="true" applyBorder="true" applyAlignment="true" applyProtection="false">
      <alignment horizontal="center" vertical="center" textRotation="0" wrapText="true" indent="0" shrinkToFit="false"/>
      <protection locked="true" hidden="false"/>
    </xf>
    <xf numFmtId="164" fontId="18" fillId="16" borderId="7" xfId="0" applyFont="true" applyBorder="true" applyAlignment="true" applyProtection="false">
      <alignment horizontal="center" vertical="center" textRotation="90" wrapText="false" indent="0" shrinkToFit="false"/>
      <protection locked="true" hidden="false"/>
    </xf>
    <xf numFmtId="167" fontId="13" fillId="16" borderId="12" xfId="0" applyFont="true" applyBorder="true" applyAlignment="true" applyProtection="false">
      <alignment horizontal="general" vertical="bottom" textRotation="0" wrapText="true" indent="0" shrinkToFit="false"/>
      <protection locked="true" hidden="false"/>
    </xf>
    <xf numFmtId="164" fontId="13" fillId="16" borderId="38" xfId="0" applyFont="true" applyBorder="true" applyAlignment="true" applyProtection="false">
      <alignment horizontal="center" vertical="bottom" textRotation="0" wrapText="true" indent="0" shrinkToFit="false"/>
      <protection locked="true" hidden="false"/>
    </xf>
    <xf numFmtId="164" fontId="13" fillId="16" borderId="12" xfId="0" applyFont="true" applyBorder="true" applyAlignment="true" applyProtection="false">
      <alignment horizontal="right" vertical="center" textRotation="0" wrapText="true" indent="0" shrinkToFit="false"/>
      <protection locked="true" hidden="false"/>
    </xf>
    <xf numFmtId="164" fontId="13" fillId="16" borderId="13" xfId="0" applyFont="true" applyBorder="true" applyAlignment="true" applyProtection="false">
      <alignment horizontal="right" vertical="center" textRotation="0" wrapText="true" indent="0" shrinkToFit="false"/>
      <protection locked="true" hidden="false"/>
    </xf>
    <xf numFmtId="164" fontId="13" fillId="16" borderId="13" xfId="0" applyFont="true" applyBorder="true" applyAlignment="true" applyProtection="false">
      <alignment horizontal="right" vertical="center" textRotation="0" wrapText="false" indent="0" shrinkToFit="false"/>
      <protection locked="true" hidden="false"/>
    </xf>
    <xf numFmtId="164" fontId="13" fillId="16" borderId="14" xfId="0" applyFont="true" applyBorder="true" applyAlignment="true" applyProtection="false">
      <alignment horizontal="right" vertical="center" textRotation="0" wrapText="false" indent="0" shrinkToFit="false"/>
      <protection locked="true" hidden="false"/>
    </xf>
    <xf numFmtId="165" fontId="13" fillId="16" borderId="48" xfId="20" applyFont="true" applyBorder="true" applyAlignment="false" applyProtection="false">
      <alignment horizontal="general" vertical="bottom" textRotation="0" wrapText="false" indent="0" shrinkToFit="false"/>
      <protection locked="true" hidden="false"/>
    </xf>
    <xf numFmtId="165" fontId="13" fillId="18" borderId="12" xfId="20" applyFont="true" applyBorder="true" applyAlignment="false" applyProtection="false">
      <alignment horizontal="general" vertical="bottom" textRotation="0" wrapText="false" indent="0" shrinkToFit="false"/>
      <protection locked="true" hidden="false"/>
    </xf>
    <xf numFmtId="165" fontId="13" fillId="18" borderId="13" xfId="20" applyFont="true" applyBorder="true" applyAlignment="false" applyProtection="false">
      <alignment horizontal="general" vertical="bottom" textRotation="0" wrapText="false" indent="0" shrinkToFit="false"/>
      <protection locked="true" hidden="false"/>
    </xf>
    <xf numFmtId="165" fontId="13" fillId="18" borderId="14" xfId="20" applyFont="true" applyBorder="true" applyAlignment="false" applyProtection="false">
      <alignment horizontal="general" vertical="bottom" textRotation="0" wrapText="false" indent="0" shrinkToFit="false"/>
      <protection locked="true" hidden="false"/>
    </xf>
    <xf numFmtId="164" fontId="41" fillId="0" borderId="0" xfId="0" applyFont="true" applyBorder="false" applyAlignment="true" applyProtection="false">
      <alignment horizontal="center" vertical="center" textRotation="90" wrapText="false" indent="0" shrinkToFit="false"/>
      <protection locked="true" hidden="false"/>
    </xf>
    <xf numFmtId="164" fontId="13" fillId="16" borderId="15" xfId="0" applyFont="true" applyBorder="true" applyAlignment="true" applyProtection="false">
      <alignment horizontal="general" vertical="bottom" textRotation="0" wrapText="true" indent="0" shrinkToFit="false"/>
      <protection locked="true" hidden="false"/>
    </xf>
    <xf numFmtId="164" fontId="13" fillId="16" borderId="3" xfId="0" applyFont="true" applyBorder="true" applyAlignment="true" applyProtection="false">
      <alignment horizontal="center" vertical="bottom" textRotation="0" wrapText="true" indent="0" shrinkToFit="false"/>
      <protection locked="true" hidden="false"/>
    </xf>
    <xf numFmtId="164" fontId="13" fillId="16" borderId="15" xfId="0" applyFont="true" applyBorder="true" applyAlignment="true" applyProtection="false">
      <alignment horizontal="right" vertical="center" textRotation="0" wrapText="true" indent="0" shrinkToFit="false"/>
      <protection locked="true" hidden="false"/>
    </xf>
    <xf numFmtId="164" fontId="13" fillId="16" borderId="1" xfId="0" applyFont="true" applyBorder="true" applyAlignment="true" applyProtection="false">
      <alignment horizontal="right" vertical="center" textRotation="0" wrapText="true" indent="0" shrinkToFit="false"/>
      <protection locked="true" hidden="false"/>
    </xf>
    <xf numFmtId="164" fontId="13" fillId="16" borderId="1" xfId="0" applyFont="true" applyBorder="true" applyAlignment="true" applyProtection="false">
      <alignment horizontal="right" vertical="center" textRotation="0" wrapText="false" indent="0" shrinkToFit="false"/>
      <protection locked="true" hidden="false"/>
    </xf>
    <xf numFmtId="164" fontId="13" fillId="16" borderId="16" xfId="0" applyFont="true" applyBorder="true" applyAlignment="true" applyProtection="false">
      <alignment horizontal="right" vertical="center" textRotation="0" wrapText="false" indent="0" shrinkToFit="false"/>
      <protection locked="true" hidden="false"/>
    </xf>
    <xf numFmtId="165" fontId="13" fillId="16" borderId="21" xfId="20" applyFont="true" applyBorder="true" applyAlignment="false" applyProtection="false">
      <alignment horizontal="general" vertical="bottom" textRotation="0" wrapText="false" indent="0" shrinkToFit="false"/>
      <protection locked="true" hidden="false"/>
    </xf>
    <xf numFmtId="165" fontId="13" fillId="18" borderId="15" xfId="20" applyFont="true" applyBorder="true" applyAlignment="false" applyProtection="false">
      <alignment horizontal="general" vertical="bottom" textRotation="0" wrapText="false" indent="0" shrinkToFit="false"/>
      <protection locked="true" hidden="false"/>
    </xf>
    <xf numFmtId="165" fontId="13" fillId="18" borderId="1" xfId="20" applyFont="true" applyBorder="true" applyAlignment="false" applyProtection="false">
      <alignment horizontal="general" vertical="bottom" textRotation="0" wrapText="false" indent="0" shrinkToFit="false"/>
      <protection locked="true" hidden="false"/>
    </xf>
    <xf numFmtId="165" fontId="13" fillId="18" borderId="16" xfId="20" applyFont="true" applyBorder="true" applyAlignment="false" applyProtection="false">
      <alignment horizontal="general" vertical="bottom" textRotation="0" wrapText="false" indent="0" shrinkToFit="false"/>
      <protection locked="true" hidden="false"/>
    </xf>
    <xf numFmtId="164" fontId="13" fillId="16" borderId="15" xfId="0" applyFont="true" applyBorder="true" applyAlignment="false" applyProtection="false">
      <alignment horizontal="general" vertical="bottom" textRotation="0" wrapText="false" indent="0" shrinkToFit="false"/>
      <protection locked="true" hidden="false"/>
    </xf>
    <xf numFmtId="164" fontId="13" fillId="16" borderId="16" xfId="0" applyFont="true" applyBorder="true" applyAlignment="true" applyProtection="false">
      <alignment horizontal="right" vertical="center" textRotation="0" wrapText="true" indent="0" shrinkToFit="false"/>
      <protection locked="true" hidden="false"/>
    </xf>
    <xf numFmtId="167" fontId="13" fillId="16" borderId="1" xfId="0" applyFont="true" applyBorder="true" applyAlignment="true" applyProtection="false">
      <alignment horizontal="center" vertical="bottom" textRotation="0" wrapText="true" indent="0" shrinkToFit="false"/>
      <protection locked="true" hidden="false"/>
    </xf>
    <xf numFmtId="167" fontId="13" fillId="16" borderId="3" xfId="0" applyFont="true" applyBorder="true" applyAlignment="true" applyProtection="false">
      <alignment horizontal="center" vertical="bottom" textRotation="0" wrapText="true" indent="0" shrinkToFit="false"/>
      <protection locked="true" hidden="false"/>
    </xf>
    <xf numFmtId="164" fontId="13" fillId="16" borderId="18" xfId="0" applyFont="true" applyBorder="true" applyAlignment="true" applyProtection="false">
      <alignment horizontal="general" vertical="bottom" textRotation="0" wrapText="true" indent="0" shrinkToFit="false"/>
      <protection locked="true" hidden="false"/>
    </xf>
    <xf numFmtId="164" fontId="13" fillId="16" borderId="4" xfId="0" applyFont="true" applyBorder="true" applyAlignment="true" applyProtection="false">
      <alignment horizontal="center" vertical="bottom" textRotation="0" wrapText="true" indent="0" shrinkToFit="false"/>
      <protection locked="true" hidden="false"/>
    </xf>
    <xf numFmtId="164" fontId="13" fillId="16" borderId="18" xfId="0" applyFont="true" applyBorder="true" applyAlignment="true" applyProtection="false">
      <alignment horizontal="right" vertical="center" textRotation="0" wrapText="true" indent="0" shrinkToFit="false"/>
      <protection locked="true" hidden="false"/>
    </xf>
    <xf numFmtId="164" fontId="13" fillId="16" borderId="23" xfId="0" applyFont="true" applyBorder="true" applyAlignment="true" applyProtection="false">
      <alignment horizontal="right" vertical="center" textRotation="0" wrapText="true" indent="0" shrinkToFit="false"/>
      <protection locked="true" hidden="false"/>
    </xf>
    <xf numFmtId="164" fontId="13" fillId="16" borderId="23" xfId="0" applyFont="true" applyBorder="true" applyAlignment="true" applyProtection="false">
      <alignment horizontal="right" vertical="center" textRotation="0" wrapText="false" indent="0" shrinkToFit="false"/>
      <protection locked="true" hidden="false"/>
    </xf>
    <xf numFmtId="164" fontId="13" fillId="16" borderId="19" xfId="0" applyFont="true" applyBorder="true" applyAlignment="true" applyProtection="false">
      <alignment horizontal="right" vertical="center" textRotation="0" wrapText="false" indent="0" shrinkToFit="false"/>
      <protection locked="true" hidden="false"/>
    </xf>
    <xf numFmtId="165" fontId="13" fillId="18" borderId="18" xfId="20" applyFont="true" applyBorder="true" applyAlignment="false" applyProtection="false">
      <alignment horizontal="general" vertical="bottom" textRotation="0" wrapText="false" indent="0" shrinkToFit="false"/>
      <protection locked="true" hidden="false"/>
    </xf>
    <xf numFmtId="165" fontId="13" fillId="18" borderId="23" xfId="20" applyFont="true" applyBorder="true" applyAlignment="false" applyProtection="false">
      <alignment horizontal="general" vertical="bottom" textRotation="0" wrapText="false" indent="0" shrinkToFit="false"/>
      <protection locked="true" hidden="false"/>
    </xf>
    <xf numFmtId="165" fontId="13" fillId="18" borderId="19" xfId="20" applyFont="true" applyBorder="true" applyAlignment="false" applyProtection="false">
      <alignment horizontal="general" vertical="bottom" textRotation="0" wrapText="false" indent="0" shrinkToFit="false"/>
      <protection locked="true" hidden="false"/>
    </xf>
    <xf numFmtId="164" fontId="18" fillId="10" borderId="7" xfId="0" applyFont="true" applyBorder="true" applyAlignment="true" applyProtection="false">
      <alignment horizontal="center" vertical="center" textRotation="90" wrapText="true" indent="0" shrinkToFit="false"/>
      <protection locked="true" hidden="false"/>
    </xf>
    <xf numFmtId="164" fontId="13" fillId="10" borderId="12" xfId="0" applyFont="true" applyBorder="true" applyAlignment="true" applyProtection="false">
      <alignment horizontal="general" vertical="bottom" textRotation="0" wrapText="true" indent="0" shrinkToFit="false"/>
      <protection locked="true" hidden="false"/>
    </xf>
    <xf numFmtId="164" fontId="13" fillId="10" borderId="14" xfId="0" applyFont="true" applyBorder="true" applyAlignment="true" applyProtection="false">
      <alignment horizontal="center" vertical="bottom" textRotation="0" wrapText="true" indent="0" shrinkToFit="false"/>
      <protection locked="true" hidden="false"/>
    </xf>
    <xf numFmtId="164" fontId="13" fillId="10" borderId="17" xfId="0" applyFont="true" applyBorder="true" applyAlignment="false" applyProtection="false">
      <alignment horizontal="general" vertical="bottom" textRotation="0" wrapText="false" indent="0" shrinkToFit="false"/>
      <protection locked="true" hidden="false"/>
    </xf>
    <xf numFmtId="164" fontId="13" fillId="10" borderId="49" xfId="0" applyFont="true" applyBorder="true" applyAlignment="false" applyProtection="false">
      <alignment horizontal="general" vertical="bottom" textRotation="0" wrapText="false" indent="0" shrinkToFit="false"/>
      <protection locked="true" hidden="false"/>
    </xf>
    <xf numFmtId="164" fontId="13" fillId="10" borderId="20" xfId="0" applyFont="true" applyBorder="true" applyAlignment="false" applyProtection="false">
      <alignment horizontal="general" vertical="bottom" textRotation="0" wrapText="false" indent="0" shrinkToFit="false"/>
      <protection locked="true" hidden="false"/>
    </xf>
    <xf numFmtId="164" fontId="13" fillId="10" borderId="2" xfId="0" applyFont="true" applyBorder="true" applyAlignment="false" applyProtection="false">
      <alignment horizontal="general" vertical="bottom" textRotation="0" wrapText="false" indent="0" shrinkToFit="false"/>
      <protection locked="true" hidden="false"/>
    </xf>
    <xf numFmtId="164" fontId="13" fillId="10" borderId="50" xfId="0" applyFont="true" applyBorder="true" applyAlignment="false" applyProtection="false">
      <alignment horizontal="general" vertical="bottom" textRotation="0" wrapText="false" indent="0" shrinkToFit="false"/>
      <protection locked="true" hidden="false"/>
    </xf>
    <xf numFmtId="165" fontId="13" fillId="10" borderId="12" xfId="20" applyFont="true" applyBorder="true" applyAlignment="false" applyProtection="false">
      <alignment horizontal="general" vertical="bottom" textRotation="0" wrapText="false" indent="0" shrinkToFit="false"/>
      <protection locked="true" hidden="false"/>
    </xf>
    <xf numFmtId="165" fontId="13" fillId="19" borderId="12" xfId="20" applyFont="true" applyBorder="true" applyAlignment="false" applyProtection="false">
      <alignment horizontal="general" vertical="bottom" textRotation="0" wrapText="false" indent="0" shrinkToFit="false"/>
      <protection locked="true" hidden="false"/>
    </xf>
    <xf numFmtId="165" fontId="13" fillId="19" borderId="13" xfId="20" applyFont="true" applyBorder="true" applyAlignment="false" applyProtection="false">
      <alignment horizontal="general" vertical="bottom" textRotation="0" wrapText="false" indent="0" shrinkToFit="false"/>
      <protection locked="true" hidden="false"/>
    </xf>
    <xf numFmtId="165" fontId="13" fillId="19" borderId="14" xfId="20" applyFont="true" applyBorder="true" applyAlignment="false" applyProtection="false">
      <alignment horizontal="general" vertical="bottom" textRotation="0" wrapText="false" indent="0" shrinkToFit="false"/>
      <protection locked="true" hidden="false"/>
    </xf>
    <xf numFmtId="164" fontId="13" fillId="10" borderId="15" xfId="0" applyFont="true" applyBorder="true" applyAlignment="true" applyProtection="false">
      <alignment horizontal="general" vertical="bottom" textRotation="0" wrapText="true" indent="0" shrinkToFit="false"/>
      <protection locked="true" hidden="false"/>
    </xf>
    <xf numFmtId="164" fontId="13" fillId="10" borderId="16" xfId="0" applyFont="true" applyBorder="true" applyAlignment="true" applyProtection="false">
      <alignment horizontal="center" vertical="bottom" textRotation="0" wrapText="true" indent="0" shrinkToFit="false"/>
      <protection locked="true" hidden="false"/>
    </xf>
    <xf numFmtId="164" fontId="13" fillId="10" borderId="15" xfId="0" applyFont="true" applyBorder="true" applyAlignment="false" applyProtection="false">
      <alignment horizontal="general" vertical="bottom" textRotation="0" wrapText="false" indent="0" shrinkToFit="false"/>
      <protection locked="true" hidden="false"/>
    </xf>
    <xf numFmtId="164" fontId="13" fillId="10" borderId="21" xfId="0" applyFont="true" applyBorder="true" applyAlignment="false" applyProtection="false">
      <alignment horizontal="general" vertical="bottom" textRotation="0" wrapText="false" indent="0" shrinkToFit="false"/>
      <protection locked="true" hidden="false"/>
    </xf>
    <xf numFmtId="164" fontId="13" fillId="10" borderId="1" xfId="0" applyFont="true" applyBorder="true" applyAlignment="false" applyProtection="false">
      <alignment horizontal="general" vertical="bottom" textRotation="0" wrapText="false" indent="0" shrinkToFit="false"/>
      <protection locked="true" hidden="false"/>
    </xf>
    <xf numFmtId="164" fontId="13" fillId="10" borderId="3" xfId="0" applyFont="true" applyBorder="true" applyAlignment="false" applyProtection="false">
      <alignment horizontal="general" vertical="bottom" textRotation="0" wrapText="false" indent="0" shrinkToFit="false"/>
      <protection locked="true" hidden="false"/>
    </xf>
    <xf numFmtId="164" fontId="13" fillId="10" borderId="16" xfId="0" applyFont="true" applyBorder="true" applyAlignment="false" applyProtection="false">
      <alignment horizontal="general" vertical="bottom" textRotation="0" wrapText="false" indent="0" shrinkToFit="false"/>
      <protection locked="true" hidden="false"/>
    </xf>
    <xf numFmtId="165" fontId="13" fillId="10" borderId="15" xfId="20" applyFont="true" applyBorder="true" applyAlignment="false" applyProtection="false">
      <alignment horizontal="general" vertical="bottom" textRotation="0" wrapText="false" indent="0" shrinkToFit="false"/>
      <protection locked="true" hidden="false"/>
    </xf>
    <xf numFmtId="165" fontId="13" fillId="19" borderId="15" xfId="20" applyFont="true" applyBorder="true" applyAlignment="false" applyProtection="false">
      <alignment horizontal="general" vertical="bottom" textRotation="0" wrapText="false" indent="0" shrinkToFit="false"/>
      <protection locked="true" hidden="false"/>
    </xf>
    <xf numFmtId="165" fontId="13" fillId="19" borderId="1" xfId="20" applyFont="true" applyBorder="true" applyAlignment="false" applyProtection="false">
      <alignment horizontal="general" vertical="bottom" textRotation="0" wrapText="false" indent="0" shrinkToFit="false"/>
      <protection locked="true" hidden="false"/>
    </xf>
    <xf numFmtId="165" fontId="13" fillId="19" borderId="16" xfId="20" applyFont="true" applyBorder="true" applyAlignment="false" applyProtection="false">
      <alignment horizontal="general" vertical="bottom" textRotation="0" wrapText="false" indent="0" shrinkToFit="false"/>
      <protection locked="true" hidden="false"/>
    </xf>
    <xf numFmtId="164" fontId="13" fillId="10" borderId="18" xfId="0" applyFont="true" applyBorder="true" applyAlignment="false" applyProtection="false">
      <alignment horizontal="general" vertical="bottom" textRotation="0" wrapText="false" indent="0" shrinkToFit="false"/>
      <protection locked="true" hidden="false"/>
    </xf>
    <xf numFmtId="164" fontId="13" fillId="10" borderId="19" xfId="0" applyFont="true" applyBorder="true" applyAlignment="true" applyProtection="false">
      <alignment horizontal="center" vertical="bottom" textRotation="0" wrapText="true" indent="0" shrinkToFit="false"/>
      <protection locked="true" hidden="false"/>
    </xf>
    <xf numFmtId="164" fontId="13" fillId="10" borderId="22" xfId="0" applyFont="true" applyBorder="true" applyAlignment="false" applyProtection="false">
      <alignment horizontal="general" vertical="bottom" textRotation="0" wrapText="false" indent="0" shrinkToFit="false"/>
      <protection locked="true" hidden="false"/>
    </xf>
    <xf numFmtId="164" fontId="13" fillId="10" borderId="23" xfId="0" applyFont="true" applyBorder="true" applyAlignment="false" applyProtection="false">
      <alignment horizontal="general" vertical="bottom" textRotation="0" wrapText="false" indent="0" shrinkToFit="false"/>
      <protection locked="true" hidden="false"/>
    </xf>
    <xf numFmtId="164" fontId="13" fillId="10" borderId="4" xfId="0" applyFont="true" applyBorder="true" applyAlignment="false" applyProtection="false">
      <alignment horizontal="general" vertical="bottom" textRotation="0" wrapText="false" indent="0" shrinkToFit="false"/>
      <protection locked="true" hidden="false"/>
    </xf>
    <xf numFmtId="164" fontId="13" fillId="10" borderId="19" xfId="0" applyFont="true" applyBorder="true" applyAlignment="false" applyProtection="false">
      <alignment horizontal="general" vertical="bottom" textRotation="0" wrapText="false" indent="0" shrinkToFit="false"/>
      <protection locked="true" hidden="false"/>
    </xf>
    <xf numFmtId="165" fontId="13" fillId="10" borderId="18" xfId="20" applyFont="true" applyBorder="true" applyAlignment="false" applyProtection="false">
      <alignment horizontal="general" vertical="bottom" textRotation="0" wrapText="false" indent="0" shrinkToFit="false"/>
      <protection locked="true" hidden="false"/>
    </xf>
    <xf numFmtId="165" fontId="13" fillId="19" borderId="18" xfId="20" applyFont="true" applyBorder="true" applyAlignment="false" applyProtection="false">
      <alignment horizontal="general" vertical="bottom" textRotation="0" wrapText="false" indent="0" shrinkToFit="false"/>
      <protection locked="true" hidden="false"/>
    </xf>
    <xf numFmtId="165" fontId="13" fillId="19" borderId="23" xfId="20" applyFont="true" applyBorder="true" applyAlignment="false" applyProtection="false">
      <alignment horizontal="general" vertical="bottom" textRotation="0" wrapText="false" indent="0" shrinkToFit="false"/>
      <protection locked="true" hidden="false"/>
    </xf>
    <xf numFmtId="165" fontId="13" fillId="19" borderId="19" xfId="20" applyFont="true" applyBorder="true" applyAlignment="false" applyProtection="false">
      <alignment horizontal="general" vertical="bottom" textRotation="0" wrapText="false" indent="0" shrinkToFit="false"/>
      <protection locked="true" hidden="false"/>
    </xf>
    <xf numFmtId="164" fontId="18" fillId="16" borderId="7" xfId="0" applyFont="true" applyBorder="true" applyAlignment="true" applyProtection="false">
      <alignment horizontal="center" vertical="center" textRotation="90" wrapText="true" indent="0" shrinkToFit="false"/>
      <protection locked="true" hidden="false"/>
    </xf>
    <xf numFmtId="164" fontId="13" fillId="16" borderId="12" xfId="0" applyFont="true" applyBorder="true" applyAlignment="true" applyProtection="false">
      <alignment horizontal="general" vertical="bottom" textRotation="0" wrapText="true" indent="0" shrinkToFit="false"/>
      <protection locked="true" hidden="false"/>
    </xf>
    <xf numFmtId="164" fontId="13" fillId="16" borderId="14" xfId="0" applyFont="true" applyBorder="true" applyAlignment="true" applyProtection="false">
      <alignment horizontal="center" vertical="bottom" textRotation="0" wrapText="true" indent="0" shrinkToFit="false"/>
      <protection locked="true" hidden="false"/>
    </xf>
    <xf numFmtId="164" fontId="13" fillId="16" borderId="12" xfId="0" applyFont="true" applyBorder="true" applyAlignment="false" applyProtection="false">
      <alignment horizontal="general" vertical="bottom" textRotation="0" wrapText="false" indent="0" shrinkToFit="false"/>
      <protection locked="true" hidden="false"/>
    </xf>
    <xf numFmtId="164" fontId="13" fillId="16" borderId="48" xfId="0" applyFont="true" applyBorder="true" applyAlignment="false" applyProtection="false">
      <alignment horizontal="general" vertical="bottom" textRotation="0" wrapText="false" indent="0" shrinkToFit="false"/>
      <protection locked="true" hidden="false"/>
    </xf>
    <xf numFmtId="164" fontId="13" fillId="16" borderId="13" xfId="0" applyFont="true" applyBorder="true" applyAlignment="false" applyProtection="false">
      <alignment horizontal="general" vertical="bottom" textRotation="0" wrapText="false" indent="0" shrinkToFit="false"/>
      <protection locked="true" hidden="false"/>
    </xf>
    <xf numFmtId="164" fontId="13" fillId="16" borderId="38" xfId="0" applyFont="true" applyBorder="true" applyAlignment="false" applyProtection="false">
      <alignment horizontal="general" vertical="bottom" textRotation="0" wrapText="false" indent="0" shrinkToFit="false"/>
      <protection locked="true" hidden="false"/>
    </xf>
    <xf numFmtId="164" fontId="13" fillId="16" borderId="14" xfId="0" applyFont="true" applyBorder="true" applyAlignment="false" applyProtection="false">
      <alignment horizontal="general" vertical="bottom" textRotation="0" wrapText="false" indent="0" shrinkToFit="false"/>
      <protection locked="true" hidden="false"/>
    </xf>
    <xf numFmtId="165" fontId="13" fillId="16" borderId="12" xfId="20" applyFont="true" applyBorder="true" applyAlignment="false" applyProtection="false">
      <alignment horizontal="general" vertical="bottom" textRotation="0" wrapText="false" indent="0" shrinkToFit="false"/>
      <protection locked="true" hidden="false"/>
    </xf>
    <xf numFmtId="164" fontId="13" fillId="16" borderId="16" xfId="0" applyFont="true" applyBorder="true" applyAlignment="true" applyProtection="false">
      <alignment horizontal="center" vertical="bottom" textRotation="0" wrapText="true" indent="0" shrinkToFit="false"/>
      <protection locked="true" hidden="false"/>
    </xf>
    <xf numFmtId="164" fontId="13" fillId="16" borderId="21" xfId="0" applyFont="true" applyBorder="true" applyAlignment="false" applyProtection="false">
      <alignment horizontal="general" vertical="bottom" textRotation="0" wrapText="false" indent="0" shrinkToFit="false"/>
      <protection locked="true" hidden="false"/>
    </xf>
    <xf numFmtId="164" fontId="13" fillId="16" borderId="1" xfId="0" applyFont="true" applyBorder="true" applyAlignment="false" applyProtection="false">
      <alignment horizontal="general" vertical="bottom" textRotation="0" wrapText="false" indent="0" shrinkToFit="false"/>
      <protection locked="true" hidden="false"/>
    </xf>
    <xf numFmtId="164" fontId="13" fillId="16" borderId="3" xfId="0" applyFont="true" applyBorder="true" applyAlignment="false" applyProtection="false">
      <alignment horizontal="general" vertical="bottom" textRotation="0" wrapText="false" indent="0" shrinkToFit="false"/>
      <protection locked="true" hidden="false"/>
    </xf>
    <xf numFmtId="164" fontId="13" fillId="16" borderId="16" xfId="0" applyFont="true" applyBorder="true" applyAlignment="false" applyProtection="false">
      <alignment horizontal="general" vertical="bottom" textRotation="0" wrapText="false" indent="0" shrinkToFit="false"/>
      <protection locked="true" hidden="false"/>
    </xf>
    <xf numFmtId="165" fontId="13" fillId="16" borderId="15" xfId="20" applyFont="true" applyBorder="true" applyAlignment="false" applyProtection="false">
      <alignment horizontal="general" vertical="bottom" textRotation="0" wrapText="false" indent="0" shrinkToFit="false"/>
      <protection locked="true" hidden="false"/>
    </xf>
    <xf numFmtId="164" fontId="13" fillId="16" borderId="18" xfId="0" applyFont="true" applyBorder="true" applyAlignment="false" applyProtection="false">
      <alignment horizontal="general" vertical="bottom" textRotation="0" wrapText="false" indent="0" shrinkToFit="false"/>
      <protection locked="true" hidden="false"/>
    </xf>
    <xf numFmtId="164" fontId="13" fillId="16" borderId="19" xfId="0" applyFont="true" applyBorder="true" applyAlignment="true" applyProtection="false">
      <alignment horizontal="center" vertical="bottom" textRotation="0" wrapText="true" indent="0" shrinkToFit="false"/>
      <protection locked="true" hidden="false"/>
    </xf>
    <xf numFmtId="164" fontId="13" fillId="16" borderId="22" xfId="0" applyFont="true" applyBorder="true" applyAlignment="false" applyProtection="false">
      <alignment horizontal="general" vertical="bottom" textRotation="0" wrapText="false" indent="0" shrinkToFit="false"/>
      <protection locked="true" hidden="false"/>
    </xf>
    <xf numFmtId="164" fontId="13" fillId="16" borderId="23" xfId="0" applyFont="true" applyBorder="true" applyAlignment="false" applyProtection="false">
      <alignment horizontal="general" vertical="bottom" textRotation="0" wrapText="false" indent="0" shrinkToFit="false"/>
      <protection locked="true" hidden="false"/>
    </xf>
    <xf numFmtId="164" fontId="13" fillId="16" borderId="4" xfId="0" applyFont="true" applyBorder="true" applyAlignment="false" applyProtection="false">
      <alignment horizontal="general" vertical="bottom" textRotation="0" wrapText="false" indent="0" shrinkToFit="false"/>
      <protection locked="true" hidden="false"/>
    </xf>
    <xf numFmtId="164" fontId="13" fillId="16" borderId="19" xfId="0" applyFont="true" applyBorder="true" applyAlignment="false" applyProtection="false">
      <alignment horizontal="general" vertical="bottom" textRotation="0" wrapText="false" indent="0" shrinkToFit="false"/>
      <protection locked="true" hidden="false"/>
    </xf>
    <xf numFmtId="165" fontId="13" fillId="16" borderId="18" xfId="20" applyFont="true" applyBorder="true" applyAlignment="false" applyProtection="false">
      <alignment horizontal="general" vertical="bottom" textRotation="0" wrapText="false" indent="0" shrinkToFit="false"/>
      <protection locked="true" hidden="false"/>
    </xf>
    <xf numFmtId="164" fontId="13" fillId="10" borderId="12" xfId="0" applyFont="true" applyBorder="true" applyAlignment="false" applyProtection="false">
      <alignment horizontal="general" vertical="bottom" textRotation="0" wrapText="false" indent="0" shrinkToFit="false"/>
      <protection locked="true" hidden="false"/>
    </xf>
    <xf numFmtId="164" fontId="13" fillId="10" borderId="48" xfId="0" applyFont="true" applyBorder="true" applyAlignment="false" applyProtection="false">
      <alignment horizontal="general" vertical="bottom" textRotation="0" wrapText="false" indent="0" shrinkToFit="false"/>
      <protection locked="true" hidden="false"/>
    </xf>
    <xf numFmtId="164" fontId="13" fillId="10" borderId="13" xfId="0" applyFont="true" applyBorder="true" applyAlignment="false" applyProtection="false">
      <alignment horizontal="general" vertical="bottom" textRotation="0" wrapText="false" indent="0" shrinkToFit="false"/>
      <protection locked="true" hidden="false"/>
    </xf>
    <xf numFmtId="164" fontId="13" fillId="10" borderId="38" xfId="0" applyFont="true" applyBorder="true" applyAlignment="false" applyProtection="false">
      <alignment horizontal="general" vertical="bottom" textRotation="0" wrapText="false" indent="0" shrinkToFit="false"/>
      <protection locked="true" hidden="false"/>
    </xf>
    <xf numFmtId="164" fontId="13" fillId="10" borderId="14" xfId="0" applyFont="true" applyBorder="true" applyAlignment="false" applyProtection="false">
      <alignment horizontal="general" vertical="bottom" textRotation="0" wrapText="false" indent="0" shrinkToFit="false"/>
      <protection locked="true" hidden="false"/>
    </xf>
    <xf numFmtId="164" fontId="13" fillId="10" borderId="51" xfId="0" applyFont="true" applyBorder="true" applyAlignment="false" applyProtection="false">
      <alignment horizontal="general" vertical="bottom" textRotation="0" wrapText="false" indent="0" shrinkToFit="false"/>
      <protection locked="true" hidden="false"/>
    </xf>
    <xf numFmtId="164" fontId="13" fillId="10" borderId="52" xfId="0" applyFont="true" applyBorder="true" applyAlignment="true" applyProtection="false">
      <alignment horizontal="center" vertical="bottom" textRotation="0" wrapText="true" indent="0" shrinkToFit="false"/>
      <protection locked="true" hidden="false"/>
    </xf>
    <xf numFmtId="164" fontId="13" fillId="10" borderId="53" xfId="0" applyFont="true" applyBorder="true" applyAlignment="false" applyProtection="false">
      <alignment horizontal="general" vertical="bottom" textRotation="0" wrapText="false" indent="0" shrinkToFit="false"/>
      <protection locked="true" hidden="false"/>
    </xf>
    <xf numFmtId="164" fontId="13" fillId="10" borderId="47" xfId="0" applyFont="true" applyBorder="true" applyAlignment="false" applyProtection="false">
      <alignment horizontal="general" vertical="bottom" textRotation="0" wrapText="false" indent="0" shrinkToFit="false"/>
      <protection locked="true" hidden="false"/>
    </xf>
    <xf numFmtId="164" fontId="13" fillId="10" borderId="54" xfId="0" applyFont="true" applyBorder="true" applyAlignment="false" applyProtection="false">
      <alignment horizontal="general" vertical="bottom" textRotation="0" wrapText="false" indent="0" shrinkToFit="false"/>
      <protection locked="true" hidden="false"/>
    </xf>
    <xf numFmtId="164" fontId="13" fillId="10" borderId="52" xfId="0" applyFont="true" applyBorder="true" applyAlignment="false" applyProtection="false">
      <alignment horizontal="general" vertical="bottom" textRotation="0" wrapText="false" indent="0" shrinkToFit="false"/>
      <protection locked="true" hidden="false"/>
    </xf>
    <xf numFmtId="165" fontId="13" fillId="10" borderId="51" xfId="20" applyFont="true" applyBorder="true" applyAlignment="false" applyProtection="false">
      <alignment horizontal="general" vertical="bottom" textRotation="0" wrapText="false" indent="0" shrinkToFit="false"/>
      <protection locked="true" hidden="false"/>
    </xf>
    <xf numFmtId="164" fontId="13" fillId="16" borderId="5" xfId="0" applyFont="true" applyBorder="true" applyAlignment="false" applyProtection="false">
      <alignment horizontal="general" vertical="bottom" textRotation="0" wrapText="false" indent="0" shrinkToFit="false"/>
      <protection locked="true" hidden="false"/>
    </xf>
    <xf numFmtId="165" fontId="13" fillId="16" borderId="14" xfId="20" applyFont="true" applyBorder="true" applyAlignment="false" applyProtection="false">
      <alignment horizontal="general" vertical="bottom" textRotation="0" wrapText="false" indent="0" shrinkToFit="false"/>
      <protection locked="true" hidden="false"/>
    </xf>
    <xf numFmtId="164" fontId="13" fillId="16" borderId="17" xfId="0" applyFont="true" applyBorder="true" applyAlignment="true" applyProtection="false">
      <alignment horizontal="general" vertical="bottom" textRotation="0" wrapText="true" indent="0" shrinkToFit="false"/>
      <protection locked="true" hidden="false"/>
    </xf>
    <xf numFmtId="164" fontId="13" fillId="16" borderId="50" xfId="0" applyFont="true" applyBorder="true" applyAlignment="true" applyProtection="false">
      <alignment horizontal="center" vertical="bottom" textRotation="0" wrapText="true" indent="0" shrinkToFit="false"/>
      <protection locked="true" hidden="false"/>
    </xf>
    <xf numFmtId="164" fontId="13" fillId="16" borderId="44" xfId="0" applyFont="true" applyBorder="true" applyAlignment="false" applyProtection="false">
      <alignment horizontal="general" vertical="bottom" textRotation="0" wrapText="false" indent="0" shrinkToFit="false"/>
      <protection locked="true" hidden="false"/>
    </xf>
    <xf numFmtId="164" fontId="13" fillId="16" borderId="49" xfId="0" applyFont="true" applyBorder="true" applyAlignment="false" applyProtection="false">
      <alignment horizontal="general" vertical="bottom" textRotation="0" wrapText="false" indent="0" shrinkToFit="false"/>
      <protection locked="true" hidden="false"/>
    </xf>
    <xf numFmtId="164" fontId="13" fillId="16" borderId="20" xfId="0" applyFont="true" applyBorder="true" applyAlignment="false" applyProtection="false">
      <alignment horizontal="general" vertical="bottom" textRotation="0" wrapText="false" indent="0" shrinkToFit="false"/>
      <protection locked="true" hidden="false"/>
    </xf>
    <xf numFmtId="164" fontId="13" fillId="16" borderId="2" xfId="0" applyFont="true" applyBorder="true" applyAlignment="false" applyProtection="false">
      <alignment horizontal="general" vertical="bottom" textRotation="0" wrapText="false" indent="0" shrinkToFit="false"/>
      <protection locked="true" hidden="false"/>
    </xf>
    <xf numFmtId="165" fontId="13" fillId="16" borderId="16" xfId="20" applyFont="true" applyBorder="true" applyAlignment="false" applyProtection="false">
      <alignment horizontal="general" vertical="bottom" textRotation="0" wrapText="false" indent="0" shrinkToFit="false"/>
      <protection locked="true" hidden="false"/>
    </xf>
    <xf numFmtId="165" fontId="13" fillId="18" borderId="17" xfId="20" applyFont="true" applyBorder="true" applyAlignment="false" applyProtection="false">
      <alignment horizontal="general" vertical="bottom" textRotation="0" wrapText="false" indent="0" shrinkToFit="false"/>
      <protection locked="true" hidden="false"/>
    </xf>
    <xf numFmtId="165" fontId="13" fillId="18" borderId="20" xfId="20" applyFont="true" applyBorder="true" applyAlignment="false" applyProtection="false">
      <alignment horizontal="general" vertical="bottom" textRotation="0" wrapText="false" indent="0" shrinkToFit="false"/>
      <protection locked="true" hidden="false"/>
    </xf>
    <xf numFmtId="165" fontId="13" fillId="18" borderId="50" xfId="20" applyFont="true" applyBorder="true" applyAlignment="false" applyProtection="false">
      <alignment horizontal="general" vertical="bottom" textRotation="0" wrapText="false" indent="0" shrinkToFit="false"/>
      <protection locked="true" hidden="false"/>
    </xf>
    <xf numFmtId="164" fontId="13" fillId="16" borderId="33" xfId="0" applyFont="true" applyBorder="true" applyAlignment="false" applyProtection="false">
      <alignment horizontal="general" vertical="bottom" textRotation="0" wrapText="false" indent="0" shrinkToFit="false"/>
      <protection locked="true" hidden="false"/>
    </xf>
    <xf numFmtId="164" fontId="13" fillId="16" borderId="51" xfId="0" applyFont="true" applyBorder="true" applyAlignment="false" applyProtection="false">
      <alignment horizontal="general" vertical="bottom" textRotation="0" wrapText="false" indent="0" shrinkToFit="false"/>
      <protection locked="true" hidden="false"/>
    </xf>
    <xf numFmtId="164" fontId="13" fillId="16" borderId="55" xfId="0" applyFont="true" applyBorder="true" applyAlignment="false" applyProtection="false">
      <alignment horizontal="general" vertical="bottom" textRotation="0" wrapText="false" indent="0" shrinkToFit="false"/>
      <protection locked="true" hidden="false"/>
    </xf>
    <xf numFmtId="164" fontId="13" fillId="16" borderId="53" xfId="0" applyFont="true" applyBorder="true" applyAlignment="false" applyProtection="false">
      <alignment horizontal="general" vertical="bottom" textRotation="0" wrapText="false" indent="0" shrinkToFit="false"/>
      <protection locked="true" hidden="false"/>
    </xf>
    <xf numFmtId="164" fontId="13" fillId="16" borderId="47" xfId="0" applyFont="true" applyBorder="true" applyAlignment="false" applyProtection="false">
      <alignment horizontal="general" vertical="bottom" textRotation="0" wrapText="false" indent="0" shrinkToFit="false"/>
      <protection locked="true" hidden="false"/>
    </xf>
    <xf numFmtId="164" fontId="13" fillId="16" borderId="54" xfId="0" applyFont="true" applyBorder="true" applyAlignment="false" applyProtection="false">
      <alignment horizontal="general" vertical="bottom" textRotation="0" wrapText="false" indent="0" shrinkToFit="false"/>
      <protection locked="true" hidden="false"/>
    </xf>
    <xf numFmtId="165" fontId="13" fillId="18" borderId="51" xfId="20" applyFont="true" applyBorder="true" applyAlignment="false" applyProtection="false">
      <alignment horizontal="general" vertical="bottom" textRotation="0" wrapText="false" indent="0" shrinkToFit="false"/>
      <protection locked="true" hidden="false"/>
    </xf>
    <xf numFmtId="165" fontId="13" fillId="18" borderId="47" xfId="20" applyFont="true" applyBorder="true" applyAlignment="false" applyProtection="false">
      <alignment horizontal="general" vertical="bottom" textRotation="0" wrapText="false" indent="0" shrinkToFit="false"/>
      <protection locked="true" hidden="false"/>
    </xf>
    <xf numFmtId="165" fontId="13" fillId="18" borderId="52" xfId="20" applyFont="true" applyBorder="true" applyAlignment="false" applyProtection="false">
      <alignment horizontal="general" vertical="bottom" textRotation="0" wrapText="false" indent="0" shrinkToFit="false"/>
      <protection locked="true" hidden="false"/>
    </xf>
    <xf numFmtId="164" fontId="13" fillId="16" borderId="6" xfId="0" applyFont="true" applyBorder="true" applyAlignment="false" applyProtection="false">
      <alignment horizontal="general" vertical="bottom" textRotation="0" wrapText="false" indent="0" shrinkToFit="false"/>
      <protection locked="true" hidden="false"/>
    </xf>
    <xf numFmtId="165" fontId="13" fillId="16" borderId="19" xfId="20" applyFont="true" applyBorder="true" applyAlignment="false" applyProtection="false">
      <alignment horizontal="general" vertical="bottom" textRotation="0" wrapText="false" indent="0" shrinkToFit="false"/>
      <protection locked="true" hidden="false"/>
    </xf>
    <xf numFmtId="165" fontId="36" fillId="12" borderId="56" xfId="20" applyFont="true" applyBorder="true" applyAlignment="false" applyProtection="false">
      <alignment horizontal="general" vertical="bottom" textRotation="0" wrapText="false" indent="0" shrinkToFit="false"/>
      <protection locked="true" hidden="false"/>
    </xf>
    <xf numFmtId="165" fontId="36" fillId="20" borderId="35" xfId="20" applyFont="true" applyBorder="true" applyAlignment="false" applyProtection="false">
      <alignment horizontal="general" vertical="bottom" textRotation="0" wrapText="false" indent="0" shrinkToFit="false"/>
      <protection locked="true" hidden="false"/>
    </xf>
    <xf numFmtId="165" fontId="36" fillId="20" borderId="41" xfId="20" applyFont="true" applyBorder="true" applyAlignment="false" applyProtection="false">
      <alignment horizontal="general" vertical="bottom" textRotation="0" wrapText="false" indent="0" shrinkToFit="false"/>
      <protection locked="true" hidden="false"/>
    </xf>
    <xf numFmtId="165" fontId="36" fillId="20" borderId="57" xfId="20" applyFont="true" applyBorder="true" applyAlignment="false" applyProtection="false">
      <alignment horizontal="general" vertical="bottom" textRotation="0" wrapText="false" indent="0" shrinkToFit="false"/>
      <protection locked="true" hidden="false"/>
    </xf>
    <xf numFmtId="165" fontId="36" fillId="20" borderId="0" xfId="20" applyFont="true" applyBorder="false" applyAlignment="false" applyProtection="false">
      <alignment horizontal="general" vertical="bottom" textRotation="0" wrapText="false" indent="0" shrinkToFit="false"/>
      <protection locked="true" hidden="false"/>
    </xf>
    <xf numFmtId="179" fontId="13" fillId="0" borderId="1" xfId="23" applyFont="true" applyBorder="true" applyAlignment="false" applyProtection="false">
      <alignment horizontal="general" vertical="bottom" textRotation="0" wrapText="false" indent="0" shrinkToFit="false"/>
      <protection locked="true" hidden="false"/>
    </xf>
    <xf numFmtId="179" fontId="13" fillId="0" borderId="0" xfId="23" applyFont="true" applyBorder="false" applyAlignment="false" applyProtection="false">
      <alignment horizontal="general" vertical="bottom" textRotation="0" wrapText="false" indent="0" shrinkToFit="false"/>
      <protection locked="true" hidden="false"/>
    </xf>
    <xf numFmtId="167" fontId="18" fillId="21" borderId="1" xfId="0" applyFont="true" applyBorder="true" applyAlignment="true" applyProtection="false">
      <alignment horizontal="center" vertical="center" textRotation="0" wrapText="true" indent="0" shrinkToFit="false"/>
      <protection locked="true" hidden="false"/>
    </xf>
    <xf numFmtId="167" fontId="13" fillId="21" borderId="3" xfId="0" applyFont="true" applyBorder="true" applyAlignment="true" applyProtection="false">
      <alignment horizontal="center" vertical="center" textRotation="0" wrapText="true" indent="0" shrinkToFit="false"/>
      <protection locked="true" hidden="false"/>
    </xf>
    <xf numFmtId="167" fontId="13" fillId="21" borderId="28" xfId="0" applyFont="true" applyBorder="true" applyAlignment="true" applyProtection="false">
      <alignment horizontal="center" vertical="center" textRotation="0" wrapText="true" indent="0" shrinkToFit="false"/>
      <protection locked="true" hidden="false"/>
    </xf>
    <xf numFmtId="165" fontId="13" fillId="21" borderId="28" xfId="20" applyFont="true" applyBorder="true" applyAlignment="true" applyProtection="false">
      <alignment horizontal="general" vertical="center" textRotation="0" wrapText="true" indent="0" shrinkToFit="false"/>
      <protection locked="true" hidden="false"/>
    </xf>
    <xf numFmtId="164" fontId="13" fillId="21" borderId="1" xfId="0" applyFont="true" applyBorder="true" applyAlignment="true" applyProtection="false">
      <alignment horizontal="center" vertical="bottom" textRotation="0" wrapText="false" indent="0" shrinkToFit="false"/>
      <protection locked="true" hidden="false"/>
    </xf>
    <xf numFmtId="164" fontId="13" fillId="21" borderId="1" xfId="0" applyFont="true" applyBorder="true" applyAlignment="false" applyProtection="false">
      <alignment horizontal="general" vertical="bottom" textRotation="0" wrapText="false" indent="0" shrinkToFit="false"/>
      <protection locked="true" hidden="false"/>
    </xf>
    <xf numFmtId="167" fontId="13" fillId="21" borderId="58" xfId="0" applyFont="true" applyBorder="true" applyAlignment="true" applyProtection="false">
      <alignment horizontal="center" vertical="center" textRotation="0" wrapText="true" indent="0" shrinkToFit="false"/>
      <protection locked="true" hidden="false"/>
    </xf>
    <xf numFmtId="165" fontId="13" fillId="21" borderId="58" xfId="20" applyFont="true" applyBorder="true" applyAlignment="true" applyProtection="false">
      <alignment horizontal="general" vertical="center" textRotation="0" wrapText="true" indent="0" shrinkToFit="false"/>
      <protection locked="true" hidden="false"/>
    </xf>
    <xf numFmtId="179" fontId="13" fillId="21" borderId="1" xfId="0" applyFont="true" applyBorder="true" applyAlignment="false" applyProtection="false">
      <alignment horizontal="general" vertical="bottom" textRotation="0" wrapText="false" indent="0" shrinkToFit="false"/>
      <protection locked="true" hidden="false"/>
    </xf>
    <xf numFmtId="167" fontId="13" fillId="21" borderId="1" xfId="0" applyFont="true" applyBorder="true" applyAlignment="true" applyProtection="false">
      <alignment horizontal="center" vertical="center" textRotation="0" wrapText="true" indent="0" shrinkToFit="false"/>
      <protection locked="true" hidden="false"/>
    </xf>
    <xf numFmtId="165" fontId="13" fillId="21" borderId="3" xfId="20" applyFont="true" applyBorder="true" applyAlignment="true" applyProtection="false">
      <alignment horizontal="center" vertical="center" textRotation="0" wrapText="true" indent="0" shrinkToFit="false"/>
      <protection locked="true" hidden="false"/>
    </xf>
    <xf numFmtId="164" fontId="13" fillId="21" borderId="1" xfId="0" applyFont="true" applyBorder="true" applyAlignment="true" applyProtection="false">
      <alignment horizontal="center" vertical="center" textRotation="0" wrapText="true" indent="0" shrinkToFit="false"/>
      <protection locked="true" hidden="false"/>
    </xf>
    <xf numFmtId="167" fontId="13" fillId="17" borderId="1" xfId="0" applyFont="true" applyBorder="true" applyAlignment="true" applyProtection="false">
      <alignment horizontal="general" vertical="bottom" textRotation="0" wrapText="true" indent="0" shrinkToFit="false"/>
      <protection locked="true" hidden="false"/>
    </xf>
    <xf numFmtId="167" fontId="13" fillId="17" borderId="1" xfId="0" applyFont="true" applyBorder="true" applyAlignment="true" applyProtection="false">
      <alignment horizontal="center" vertical="bottom" textRotation="0" wrapText="true" indent="0" shrinkToFit="false"/>
      <protection locked="true" hidden="false"/>
    </xf>
    <xf numFmtId="167" fontId="13" fillId="8" borderId="3" xfId="0" applyFont="true" applyBorder="true" applyAlignment="true" applyProtection="true">
      <alignment horizontal="center" vertical="bottom" textRotation="0" wrapText="true" indent="0" shrinkToFit="false"/>
      <protection locked="false" hidden="false"/>
    </xf>
    <xf numFmtId="180" fontId="13" fillId="8" borderId="3" xfId="20" applyFont="true" applyBorder="true" applyAlignment="true" applyProtection="false">
      <alignment horizontal="general" vertical="bottom" textRotation="0" wrapText="false" indent="0" shrinkToFit="false"/>
      <protection locked="true" hidden="false"/>
    </xf>
    <xf numFmtId="167" fontId="13" fillId="8" borderId="1" xfId="0" applyFont="true" applyBorder="true" applyAlignment="true" applyProtection="true">
      <alignment horizontal="center" vertical="bottom" textRotation="0" wrapText="true" indent="0" shrinkToFit="false"/>
      <protection locked="false" hidden="false"/>
    </xf>
    <xf numFmtId="180" fontId="13" fillId="8" borderId="1" xfId="20" applyFont="true" applyBorder="true" applyAlignment="true" applyProtection="false">
      <alignment horizontal="general" vertical="bottom" textRotation="0" wrapText="false" indent="0" shrinkToFit="false"/>
      <protection locked="true" hidden="false"/>
    </xf>
    <xf numFmtId="167" fontId="13" fillId="0" borderId="1" xfId="0" applyFont="true" applyBorder="true" applyAlignment="true" applyProtection="false">
      <alignment horizontal="center" vertical="bottom" textRotation="0" wrapText="true" indent="0" shrinkToFit="false"/>
      <protection locked="true" hidden="false"/>
    </xf>
    <xf numFmtId="167" fontId="13" fillId="0" borderId="1" xfId="0" applyFont="true" applyBorder="true" applyAlignment="true" applyProtection="false">
      <alignment horizontal="general" vertical="bottom" textRotation="0" wrapText="true" indent="0" shrinkToFit="false"/>
      <protection locked="true" hidden="false"/>
    </xf>
    <xf numFmtId="167" fontId="13" fillId="22" borderId="1" xfId="0" applyFont="true" applyBorder="true" applyAlignment="true" applyProtection="false">
      <alignment horizontal="general" vertical="bottom" textRotation="0" wrapText="true" indent="0" shrinkToFit="false"/>
      <protection locked="true" hidden="false"/>
    </xf>
    <xf numFmtId="164" fontId="13" fillId="0" borderId="1" xfId="0" applyFont="true" applyBorder="true" applyAlignment="true" applyProtection="false">
      <alignment horizontal="general" vertical="center" textRotation="0" wrapText="true" indent="0" shrinkToFit="false"/>
      <protection locked="true" hidden="false"/>
    </xf>
    <xf numFmtId="165" fontId="13" fillId="8" borderId="1" xfId="20" applyFont="true" applyBorder="true" applyAlignment="false" applyProtection="true">
      <alignment horizontal="general" vertical="bottom" textRotation="0" wrapText="false" indent="0" shrinkToFit="false"/>
      <protection locked="false" hidden="false"/>
    </xf>
    <xf numFmtId="165" fontId="13" fillId="0" borderId="47" xfId="20" applyFont="true" applyBorder="true" applyAlignment="false" applyProtection="false">
      <alignment horizontal="general" vertical="bottom" textRotation="0" wrapText="false" indent="0" shrinkToFit="false"/>
      <protection locked="true" hidden="false"/>
    </xf>
    <xf numFmtId="165" fontId="13" fillId="0" borderId="47" xfId="0" applyFont="true" applyBorder="true" applyAlignment="false" applyProtection="false">
      <alignment horizontal="general" vertical="bottom" textRotation="0" wrapText="false" indent="0" shrinkToFit="false"/>
      <protection locked="true" hidden="false"/>
    </xf>
    <xf numFmtId="164" fontId="13" fillId="0" borderId="1" xfId="0" applyFont="true" applyBorder="true" applyAlignment="true" applyProtection="false">
      <alignment horizontal="center" vertical="top" textRotation="0" wrapText="true" indent="0" shrinkToFit="false"/>
      <protection locked="true" hidden="false"/>
    </xf>
    <xf numFmtId="164" fontId="13" fillId="0" borderId="21" xfId="0" applyFont="true" applyBorder="true" applyAlignment="true" applyProtection="false">
      <alignment horizontal="center" vertical="top" textRotation="0" wrapText="true" indent="0" shrinkToFit="false"/>
      <protection locked="true" hidden="false"/>
    </xf>
    <xf numFmtId="165" fontId="13" fillId="0" borderId="1" xfId="20" applyFont="true" applyBorder="true" applyAlignment="true" applyProtection="false">
      <alignment horizontal="center" vertical="top" textRotation="0" wrapText="true" indent="0" shrinkToFit="false"/>
      <protection locked="true" hidden="false"/>
    </xf>
    <xf numFmtId="164" fontId="13" fillId="0" borderId="1" xfId="0" applyFont="true" applyBorder="true" applyAlignment="true" applyProtection="false">
      <alignment horizontal="justify" vertical="top" textRotation="0" wrapText="true" indent="0" shrinkToFit="false"/>
      <protection locked="true" hidden="false"/>
    </xf>
    <xf numFmtId="164" fontId="13" fillId="0" borderId="21" xfId="0" applyFont="true" applyBorder="true" applyAlignment="true" applyProtection="false">
      <alignment horizontal="right" vertical="center" textRotation="0" wrapText="true" indent="0" shrinkToFit="false"/>
      <protection locked="true" hidden="false"/>
    </xf>
    <xf numFmtId="164" fontId="13" fillId="0" borderId="1" xfId="0" applyFont="true" applyBorder="true" applyAlignment="true" applyProtection="false">
      <alignment horizontal="right" vertical="center" textRotation="0" wrapText="true" indent="0" shrinkToFit="false"/>
      <protection locked="true" hidden="false"/>
    </xf>
    <xf numFmtId="165" fontId="13" fillId="8" borderId="1" xfId="20" applyFont="true" applyBorder="true" applyAlignment="true" applyProtection="false">
      <alignment horizontal="right" vertical="center" textRotation="0" wrapText="false" indent="0" shrinkToFit="false"/>
      <protection locked="true" hidden="false"/>
    </xf>
    <xf numFmtId="165" fontId="13" fillId="0" borderId="1" xfId="20" applyFont="true" applyBorder="true" applyAlignment="true" applyProtection="false">
      <alignment horizontal="right" vertical="center" textRotation="0" wrapText="false" indent="0" shrinkToFit="false"/>
      <protection locked="true" hidden="false"/>
    </xf>
    <xf numFmtId="164" fontId="13" fillId="0" borderId="1" xfId="0" applyFont="true" applyBorder="true" applyAlignment="true" applyProtection="false">
      <alignment horizontal="general" vertical="top" textRotation="0" wrapText="true" indent="0" shrinkToFit="false"/>
      <protection locked="true" hidden="false"/>
    </xf>
    <xf numFmtId="164" fontId="12" fillId="0" borderId="0" xfId="0" applyFont="true" applyBorder="false" applyAlignment="true" applyProtection="false">
      <alignment horizontal="general" vertical="top" textRotation="0" wrapText="true" indent="0" shrinkToFit="false"/>
      <protection locked="true" hidden="false"/>
    </xf>
    <xf numFmtId="164" fontId="20" fillId="11" borderId="1" xfId="0" applyFont="true" applyBorder="true" applyAlignment="true" applyProtection="false">
      <alignment horizontal="center" vertical="center" textRotation="0" wrapText="false" indent="0" shrinkToFit="false"/>
      <protection locked="true" hidden="false"/>
    </xf>
    <xf numFmtId="164" fontId="20" fillId="0" borderId="0" xfId="0" applyFont="true" applyBorder="false" applyAlignment="true" applyProtection="false">
      <alignment horizontal="general" vertical="bottom" textRotation="0" wrapText="false" indent="0" shrinkToFit="false"/>
      <protection locked="true" hidden="false"/>
    </xf>
    <xf numFmtId="164" fontId="20" fillId="11" borderId="1" xfId="0" applyFont="true" applyBorder="true" applyAlignment="true" applyProtection="false">
      <alignment horizontal="left" vertical="center" textRotation="0" wrapText="false" indent="0" shrinkToFit="false"/>
      <protection locked="true" hidden="false"/>
    </xf>
    <xf numFmtId="164" fontId="25" fillId="23" borderId="1" xfId="0" applyFont="true" applyBorder="true" applyAlignment="true" applyProtection="false">
      <alignment horizontal="left" vertical="center" textRotation="0" wrapText="false" indent="0" shrinkToFit="false"/>
      <protection locked="true" hidden="false"/>
    </xf>
    <xf numFmtId="164" fontId="25" fillId="23" borderId="1" xfId="0" applyFont="true" applyBorder="true" applyAlignment="true" applyProtection="false">
      <alignment horizontal="general" vertical="center" textRotation="0" wrapText="false" indent="0" shrinkToFit="false"/>
      <protection locked="true" hidden="false"/>
    </xf>
    <xf numFmtId="164" fontId="20" fillId="23" borderId="1" xfId="0" applyFont="true" applyBorder="true" applyAlignment="true" applyProtection="false">
      <alignment horizontal="center" vertical="center" textRotation="0" wrapText="true" indent="0" shrinkToFit="false"/>
      <protection locked="true" hidden="false"/>
    </xf>
    <xf numFmtId="164" fontId="25" fillId="0" borderId="0" xfId="0" applyFont="true" applyBorder="false" applyAlignment="true" applyProtection="false">
      <alignment horizontal="general" vertical="center" textRotation="0" wrapText="false" indent="0" shrinkToFit="false"/>
      <protection locked="true" hidden="false"/>
    </xf>
    <xf numFmtId="164" fontId="25" fillId="23" borderId="1" xfId="0" applyFont="true" applyBorder="true" applyAlignment="true" applyProtection="false">
      <alignment horizontal="right" vertical="center" textRotation="0" wrapText="false" indent="0" shrinkToFit="false"/>
      <protection locked="true" hidden="false"/>
    </xf>
    <xf numFmtId="176" fontId="25" fillId="23" borderId="1" xfId="20" applyFont="true" applyBorder="true" applyAlignment="true" applyProtection="false">
      <alignment horizontal="left" vertical="center" textRotation="0" wrapText="false" indent="0" shrinkToFit="false"/>
      <protection locked="true" hidden="false"/>
    </xf>
    <xf numFmtId="164" fontId="25" fillId="23" borderId="1" xfId="0" applyFont="true" applyBorder="true" applyAlignment="true" applyProtection="false">
      <alignment horizontal="left" vertical="center" textRotation="0" wrapText="true" indent="0" shrinkToFit="false"/>
      <protection locked="true" hidden="false"/>
    </xf>
    <xf numFmtId="181" fontId="25" fillId="23" borderId="1" xfId="0" applyFont="true" applyBorder="true" applyAlignment="true" applyProtection="false">
      <alignment horizontal="right" vertical="center" textRotation="0" wrapText="false" indent="0" shrinkToFit="false"/>
      <protection locked="true" hidden="false"/>
    </xf>
    <xf numFmtId="164" fontId="25" fillId="23" borderId="0" xfId="0" applyFont="true" applyBorder="false" applyAlignment="false" applyProtection="false">
      <alignment horizontal="general" vertical="bottom" textRotation="0" wrapText="false" indent="0" shrinkToFit="false"/>
      <protection locked="true" hidden="false"/>
    </xf>
    <xf numFmtId="164" fontId="42" fillId="23" borderId="0" xfId="0" applyFont="true" applyBorder="false" applyAlignment="true" applyProtection="false">
      <alignment horizontal="center" vertical="center" textRotation="0" wrapText="true" indent="0" shrinkToFit="false"/>
      <protection locked="true" hidden="false"/>
    </xf>
    <xf numFmtId="164" fontId="20" fillId="24" borderId="3" xfId="0" applyFont="true" applyBorder="true" applyAlignment="true" applyProtection="false">
      <alignment horizontal="left" vertical="center" textRotation="0" wrapText="false" indent="0" shrinkToFit="false"/>
      <protection locked="true" hidden="false"/>
    </xf>
    <xf numFmtId="164" fontId="25" fillId="11" borderId="1" xfId="0" applyFont="true" applyBorder="true" applyAlignment="true" applyProtection="false">
      <alignment horizontal="right" vertical="center" textRotation="0" wrapText="false" indent="0" shrinkToFit="false"/>
      <protection locked="true" hidden="false"/>
    </xf>
    <xf numFmtId="164" fontId="25" fillId="11" borderId="3" xfId="0" applyFont="true" applyBorder="true" applyAlignment="true" applyProtection="false">
      <alignment horizontal="general" vertical="center" textRotation="0" wrapText="false" indent="0" shrinkToFit="false"/>
      <protection locked="true" hidden="false"/>
    </xf>
    <xf numFmtId="164" fontId="25" fillId="11" borderId="1" xfId="0" applyFont="true" applyBorder="true" applyAlignment="true" applyProtection="false">
      <alignment horizontal="center" vertical="center" textRotation="0" wrapText="false" indent="0" shrinkToFit="false"/>
      <protection locked="true" hidden="false"/>
    </xf>
    <xf numFmtId="164" fontId="25" fillId="0" borderId="1" xfId="0" applyFont="true" applyBorder="true" applyAlignment="true" applyProtection="false">
      <alignment horizontal="left" vertical="center" textRotation="0" wrapText="false" indent="0" shrinkToFit="false"/>
      <protection locked="true" hidden="false"/>
    </xf>
    <xf numFmtId="176" fontId="25" fillId="0" borderId="1" xfId="20" applyFont="true" applyBorder="true" applyAlignment="true" applyProtection="false">
      <alignment horizontal="right" vertical="center" textRotation="0" wrapText="false" indent="0" shrinkToFit="false"/>
      <protection locked="true" hidden="false"/>
    </xf>
    <xf numFmtId="164" fontId="25" fillId="0" borderId="3" xfId="0" applyFont="true" applyBorder="true" applyAlignment="true" applyProtection="false">
      <alignment horizontal="general" vertical="center" textRotation="0" wrapText="false" indent="0" shrinkToFit="false"/>
      <protection locked="true" hidden="false"/>
    </xf>
    <xf numFmtId="166" fontId="25" fillId="0" borderId="1" xfId="23" applyFont="true" applyBorder="true" applyAlignment="true" applyProtection="false">
      <alignment horizontal="general" vertical="center" textRotation="0" wrapText="false" indent="0" shrinkToFit="false"/>
      <protection locked="true" hidden="false"/>
    </xf>
    <xf numFmtId="176" fontId="25" fillId="0" borderId="0" xfId="0" applyFont="true" applyBorder="false" applyAlignment="false" applyProtection="false">
      <alignment horizontal="general" vertical="bottom" textRotation="0" wrapText="false" indent="0" shrinkToFit="false"/>
      <protection locked="true" hidden="false"/>
    </xf>
    <xf numFmtId="176" fontId="25" fillId="0" borderId="1" xfId="20" applyFont="true" applyBorder="true" applyAlignment="true" applyProtection="false">
      <alignment horizontal="right" vertical="center" textRotation="0" wrapText="false" indent="0" shrinkToFit="false"/>
      <protection locked="true" hidden="false"/>
    </xf>
    <xf numFmtId="176" fontId="25" fillId="0" borderId="1" xfId="20" applyFont="true" applyBorder="true" applyAlignment="false" applyProtection="false">
      <alignment horizontal="general" vertical="bottom" textRotation="0" wrapText="false" indent="0" shrinkToFit="false"/>
      <protection locked="true" hidden="false"/>
    </xf>
    <xf numFmtId="182" fontId="25" fillId="0" borderId="0" xfId="20" applyFont="true" applyBorder="false" applyAlignment="false" applyProtection="false">
      <alignment horizontal="general" vertical="bottom" textRotation="0" wrapText="false" indent="0" shrinkToFit="false"/>
      <protection locked="true" hidden="false"/>
    </xf>
    <xf numFmtId="176" fontId="20" fillId="11" borderId="1" xfId="20" applyFont="true" applyBorder="true" applyAlignment="false" applyProtection="false">
      <alignment horizontal="general" vertical="bottom" textRotation="0" wrapText="false" indent="0" shrinkToFit="false"/>
      <protection locked="true" hidden="false"/>
    </xf>
    <xf numFmtId="164" fontId="20" fillId="11" borderId="20" xfId="0" applyFont="true" applyBorder="true" applyAlignment="false" applyProtection="false">
      <alignment horizontal="general" vertical="bottom" textRotation="0" wrapText="false" indent="0" shrinkToFit="false"/>
      <protection locked="true" hidden="false"/>
    </xf>
    <xf numFmtId="164" fontId="20" fillId="11" borderId="1" xfId="0" applyFont="true" applyBorder="true" applyAlignment="true" applyProtection="false">
      <alignment horizontal="general" vertical="center" textRotation="0" wrapText="false" indent="0" shrinkToFit="false"/>
      <protection locked="true" hidden="false"/>
    </xf>
    <xf numFmtId="164" fontId="20" fillId="11" borderId="49" xfId="0" applyFont="true" applyBorder="true" applyAlignment="true" applyProtection="false">
      <alignment horizontal="center" vertical="center" textRotation="0" wrapText="false" indent="0" shrinkToFit="false"/>
      <protection locked="true" hidden="false"/>
    </xf>
    <xf numFmtId="164" fontId="20" fillId="11" borderId="20" xfId="0" applyFont="true" applyBorder="true" applyAlignment="true" applyProtection="false">
      <alignment horizontal="center" vertical="center" textRotation="0" wrapText="false" indent="0" shrinkToFit="false"/>
      <protection locked="true" hidden="false"/>
    </xf>
    <xf numFmtId="164" fontId="25" fillId="0" borderId="1" xfId="0" applyFont="true" applyBorder="true" applyAlignment="false" applyProtection="false">
      <alignment horizontal="general" vertical="bottom" textRotation="0" wrapText="false" indent="0" shrinkToFit="false"/>
      <protection locked="true" hidden="false"/>
    </xf>
    <xf numFmtId="179" fontId="25" fillId="0" borderId="1" xfId="23" applyFont="true" applyBorder="true" applyAlignment="false" applyProtection="false">
      <alignment horizontal="general" vertical="bottom" textRotation="0" wrapText="false" indent="0" shrinkToFit="false"/>
      <protection locked="true" hidden="false"/>
    </xf>
    <xf numFmtId="164" fontId="43" fillId="25" borderId="1" xfId="0" applyFont="true" applyBorder="true" applyAlignment="true" applyProtection="false">
      <alignment horizontal="left" vertical="center" textRotation="0" wrapText="false" indent="0" shrinkToFit="false"/>
      <protection locked="true" hidden="false"/>
    </xf>
    <xf numFmtId="164" fontId="25" fillId="25" borderId="1" xfId="0" applyFont="true" applyBorder="true" applyAlignment="false" applyProtection="false">
      <alignment horizontal="general" vertical="bottom" textRotation="0" wrapText="false" indent="0" shrinkToFit="false"/>
      <protection locked="true" hidden="false"/>
    </xf>
    <xf numFmtId="179" fontId="25" fillId="25" borderId="1" xfId="23" applyFont="true" applyBorder="true" applyAlignment="false" applyProtection="false">
      <alignment horizontal="general" vertical="bottom" textRotation="0" wrapText="false" indent="0" shrinkToFit="false"/>
      <protection locked="true" hidden="false"/>
    </xf>
    <xf numFmtId="176" fontId="25" fillId="25" borderId="1" xfId="20" applyFont="true" applyBorder="true" applyAlignment="false" applyProtection="false">
      <alignment horizontal="general" vertical="bottom" textRotation="0" wrapText="false" indent="0" shrinkToFit="false"/>
      <protection locked="true" hidden="false"/>
    </xf>
    <xf numFmtId="164" fontId="43" fillId="0" borderId="1" xfId="0" applyFont="true" applyBorder="true" applyAlignment="false" applyProtection="false">
      <alignment horizontal="general" vertical="bottom" textRotation="0" wrapText="false" indent="0" shrinkToFit="false"/>
      <protection locked="true" hidden="false"/>
    </xf>
    <xf numFmtId="179" fontId="43" fillId="0" borderId="1" xfId="23" applyFont="true" applyBorder="true" applyAlignment="false" applyProtection="false">
      <alignment horizontal="general" vertical="bottom" textRotation="0" wrapText="false" indent="0" shrinkToFit="false"/>
      <protection locked="true" hidden="false"/>
    </xf>
    <xf numFmtId="176" fontId="43" fillId="0" borderId="1" xfId="20" applyFont="true" applyBorder="true" applyAlignment="false" applyProtection="false">
      <alignment horizontal="general" vertical="bottom" textRotation="0" wrapText="false" indent="0" shrinkToFit="false"/>
      <protection locked="true" hidden="false"/>
    </xf>
    <xf numFmtId="164" fontId="20" fillId="24" borderId="3" xfId="0" applyFont="true" applyBorder="true" applyAlignment="true" applyProtection="false">
      <alignment horizontal="left" vertical="center" textRotation="0" wrapText="true" indent="0" shrinkToFit="false"/>
      <protection locked="true" hidden="false"/>
    </xf>
    <xf numFmtId="164" fontId="20" fillId="11" borderId="20" xfId="0" applyFont="true" applyBorder="true" applyAlignment="true" applyProtection="false">
      <alignment horizontal="general" vertical="center" textRotation="0" wrapText="false" indent="0" shrinkToFit="false"/>
      <protection locked="true" hidden="false"/>
    </xf>
    <xf numFmtId="179" fontId="25" fillId="0" borderId="1" xfId="23" applyFont="true" applyBorder="true" applyAlignment="false" applyProtection="false">
      <alignment horizontal="general" vertical="bottom" textRotation="0" wrapText="false" indent="0" shrinkToFit="false"/>
      <protection locked="true" hidden="false"/>
    </xf>
    <xf numFmtId="176" fontId="25" fillId="0" borderId="1" xfId="0" applyFont="true" applyBorder="true" applyAlignment="false" applyProtection="false">
      <alignment horizontal="general" vertical="bottom" textRotation="0" wrapText="false" indent="0" shrinkToFit="false"/>
      <protection locked="true" hidden="false"/>
    </xf>
    <xf numFmtId="164" fontId="20" fillId="11" borderId="3" xfId="0" applyFont="true" applyBorder="true" applyAlignment="true" applyProtection="false">
      <alignment horizontal="left" vertical="center" textRotation="0" wrapText="false" indent="0" shrinkToFit="false"/>
      <protection locked="true" hidden="false"/>
    </xf>
    <xf numFmtId="164" fontId="20" fillId="11" borderId="21" xfId="0" applyFont="true" applyBorder="true" applyAlignment="true" applyProtection="false">
      <alignment horizontal="left" vertical="center" textRotation="0" wrapText="false" indent="0" shrinkToFit="false"/>
      <protection locked="true" hidden="false"/>
    </xf>
    <xf numFmtId="179" fontId="20" fillId="11" borderId="1" xfId="23" applyFont="true" applyBorder="true" applyAlignment="true" applyProtection="false">
      <alignment horizontal="left" vertical="center" textRotation="0" wrapText="false" indent="0" shrinkToFit="false"/>
      <protection locked="true" hidden="false"/>
    </xf>
    <xf numFmtId="176" fontId="20" fillId="11" borderId="1" xfId="20" applyFont="true" applyBorder="true" applyAlignment="true" applyProtection="false">
      <alignment horizontal="left" vertical="bottom" textRotation="0" wrapText="false" indent="0" shrinkToFit="false"/>
      <protection locked="true" hidden="false"/>
    </xf>
    <xf numFmtId="164" fontId="25" fillId="0" borderId="0" xfId="0" applyFont="true" applyBorder="false" applyAlignment="true" applyProtection="false">
      <alignment horizontal="left" vertical="bottom" textRotation="0" wrapText="false" indent="0" shrinkToFit="false"/>
      <protection locked="true" hidden="false"/>
    </xf>
    <xf numFmtId="164" fontId="25" fillId="0" borderId="47" xfId="0" applyFont="true" applyBorder="true" applyAlignment="true" applyProtection="false">
      <alignment horizontal="left" vertical="center" textRotation="0" wrapText="false" indent="0" shrinkToFit="false"/>
      <protection locked="true" hidden="false"/>
    </xf>
    <xf numFmtId="179" fontId="25" fillId="26" borderId="1" xfId="23" applyFont="true" applyBorder="true" applyAlignment="false" applyProtection="false">
      <alignment horizontal="general" vertical="bottom" textRotation="0" wrapText="false" indent="0" shrinkToFit="false"/>
      <protection locked="true" hidden="false"/>
    </xf>
    <xf numFmtId="164" fontId="25" fillId="0" borderId="59" xfId="0" applyFont="true" applyBorder="true" applyAlignment="true" applyProtection="false">
      <alignment horizontal="left" vertical="center" textRotation="0" wrapText="false" indent="0" shrinkToFit="false"/>
      <protection locked="true" hidden="false"/>
    </xf>
    <xf numFmtId="164" fontId="25" fillId="0" borderId="1" xfId="0" applyFont="true" applyBorder="true" applyAlignment="false" applyProtection="false">
      <alignment horizontal="general" vertical="bottom" textRotation="0" wrapText="false" indent="0" shrinkToFit="false"/>
      <protection locked="true" hidden="false"/>
    </xf>
    <xf numFmtId="183" fontId="25" fillId="0" borderId="1" xfId="0" applyFont="true" applyBorder="true" applyAlignment="false" applyProtection="false">
      <alignment horizontal="general" vertical="bottom" textRotation="0" wrapText="false" indent="0" shrinkToFit="false"/>
      <protection locked="true" hidden="false"/>
    </xf>
    <xf numFmtId="179" fontId="25" fillId="0" borderId="0" xfId="23" applyFont="true" applyBorder="false" applyAlignment="false" applyProtection="false">
      <alignment horizontal="general" vertical="bottom" textRotation="0" wrapText="false" indent="0" shrinkToFit="false"/>
      <protection locked="true" hidden="false"/>
    </xf>
    <xf numFmtId="164" fontId="25" fillId="8" borderId="1" xfId="0" applyFont="true" applyBorder="true" applyAlignment="false" applyProtection="false">
      <alignment horizontal="general" vertical="bottom" textRotation="0" wrapText="false" indent="0" shrinkToFit="false"/>
      <protection locked="true" hidden="false"/>
    </xf>
    <xf numFmtId="165" fontId="25" fillId="8" borderId="1" xfId="20" applyFont="true" applyBorder="true" applyAlignment="true" applyProtection="false">
      <alignment horizontal="right" vertical="center" textRotation="0" wrapText="false" indent="0" shrinkToFit="false"/>
      <protection locked="true" hidden="false"/>
    </xf>
    <xf numFmtId="164" fontId="25" fillId="19" borderId="1" xfId="0" applyFont="true" applyBorder="true" applyAlignment="false" applyProtection="false">
      <alignment horizontal="general" vertical="bottom" textRotation="0" wrapText="false" indent="0" shrinkToFit="false"/>
      <protection locked="true" hidden="false"/>
    </xf>
    <xf numFmtId="164" fontId="25" fillId="19" borderId="1" xfId="0" applyFont="true" applyBorder="true" applyAlignment="true" applyProtection="false">
      <alignment horizontal="general" vertical="bottom" textRotation="0" wrapText="true" indent="0" shrinkToFit="false"/>
      <protection locked="true" hidden="false"/>
    </xf>
    <xf numFmtId="165" fontId="25" fillId="8" borderId="1" xfId="20" applyFont="true" applyBorder="true" applyAlignment="true" applyProtection="false">
      <alignment horizontal="right" vertical="center" textRotation="0" wrapText="true" indent="0" shrinkToFit="false"/>
      <protection locked="true" hidden="false"/>
    </xf>
    <xf numFmtId="184" fontId="25" fillId="0" borderId="0" xfId="0" applyFont="true" applyBorder="false" applyAlignment="true" applyProtection="false">
      <alignment horizontal="general" vertical="center" textRotation="0" wrapText="true" indent="0" shrinkToFit="false"/>
      <protection locked="true" hidden="false"/>
    </xf>
    <xf numFmtId="164" fontId="25" fillId="8" borderId="1" xfId="0" applyFont="true" applyBorder="true" applyAlignment="true" applyProtection="false">
      <alignment horizontal="general" vertical="center" textRotation="0" wrapText="false" indent="0" shrinkToFit="false"/>
      <protection locked="true" hidden="false"/>
    </xf>
    <xf numFmtId="176" fontId="25" fillId="8" borderId="1" xfId="0" applyFont="true" applyBorder="true" applyAlignment="false" applyProtection="false">
      <alignment horizontal="general" vertical="bottom" textRotation="0" wrapText="false" indent="0" shrinkToFit="false"/>
      <protection locked="true" hidden="false"/>
    </xf>
    <xf numFmtId="179" fontId="20" fillId="11" borderId="1" xfId="23" applyFont="true" applyBorder="true" applyAlignment="true" applyProtection="false">
      <alignment horizontal="general" vertical="center" textRotation="0" wrapText="false" indent="0" shrinkToFit="false"/>
      <protection locked="true" hidden="false"/>
    </xf>
    <xf numFmtId="183" fontId="20" fillId="11" borderId="1" xfId="20" applyFont="true" applyBorder="true" applyAlignment="false" applyProtection="false">
      <alignment horizontal="general" vertical="bottom" textRotation="0" wrapText="false" indent="0" shrinkToFit="false"/>
      <protection locked="true" hidden="false"/>
    </xf>
    <xf numFmtId="164" fontId="20" fillId="24" borderId="1" xfId="0" applyFont="true" applyBorder="true" applyAlignment="false" applyProtection="false">
      <alignment horizontal="general" vertical="bottom" textRotation="0" wrapText="false" indent="0" shrinkToFit="false"/>
      <protection locked="true" hidden="false"/>
    </xf>
    <xf numFmtId="164" fontId="20" fillId="24" borderId="1" xfId="0" applyFont="true" applyBorder="true" applyAlignment="true" applyProtection="false">
      <alignment horizontal="left" vertical="center" textRotation="0" wrapText="false" indent="0" shrinkToFit="false"/>
      <protection locked="true" hidden="false"/>
    </xf>
    <xf numFmtId="164" fontId="20" fillId="24" borderId="1" xfId="0" applyFont="true" applyBorder="true" applyAlignment="true" applyProtection="false">
      <alignment horizontal="center" vertical="center" textRotation="0" wrapText="false" indent="0" shrinkToFit="false"/>
      <protection locked="true" hidden="false"/>
    </xf>
    <xf numFmtId="164" fontId="25" fillId="0" borderId="1" xfId="0" applyFont="true" applyBorder="true" applyAlignment="true" applyProtection="false">
      <alignment horizontal="left" vertical="center" textRotation="0" wrapText="false" indent="0" shrinkToFit="false"/>
      <protection locked="true" hidden="false"/>
    </xf>
    <xf numFmtId="183" fontId="25" fillId="0" borderId="1" xfId="0" applyFont="true" applyBorder="true" applyAlignment="false" applyProtection="false">
      <alignment horizontal="general" vertical="bottom" textRotation="0" wrapText="false" indent="0" shrinkToFit="false"/>
      <protection locked="true" hidden="false"/>
    </xf>
    <xf numFmtId="176" fontId="20" fillId="24" borderId="1" xfId="20" applyFont="true" applyBorder="true" applyAlignment="true" applyProtection="false">
      <alignment horizontal="center" vertical="center" textRotation="0" wrapText="false" indent="0" shrinkToFit="false"/>
      <protection locked="true" hidden="false"/>
    </xf>
    <xf numFmtId="164" fontId="20" fillId="11" borderId="1" xfId="0" applyFont="true" applyBorder="true" applyAlignment="false" applyProtection="false">
      <alignment horizontal="general" vertical="bottom" textRotation="0" wrapText="false" indent="0" shrinkToFit="false"/>
      <protection locked="true" hidden="false"/>
    </xf>
    <xf numFmtId="176" fontId="25" fillId="0" borderId="1" xfId="0" applyFont="true" applyBorder="true" applyAlignment="false" applyProtection="false">
      <alignment horizontal="general" vertical="bottom" textRotation="0" wrapText="false" indent="0" shrinkToFit="false"/>
      <protection locked="true" hidden="false"/>
    </xf>
    <xf numFmtId="164" fontId="25" fillId="26" borderId="1" xfId="0" applyFont="true" applyBorder="true" applyAlignment="false" applyProtection="false">
      <alignment horizontal="general" vertical="bottom" textRotation="0" wrapText="false" indent="0" shrinkToFit="false"/>
      <protection locked="true" hidden="false"/>
    </xf>
    <xf numFmtId="164" fontId="25" fillId="0" borderId="1" xfId="0" applyFont="true" applyBorder="true" applyAlignment="true" applyProtection="false">
      <alignment horizontal="general" vertical="bottom" textRotation="0" wrapText="true" indent="0" shrinkToFit="false"/>
      <protection locked="true" hidden="false"/>
    </xf>
    <xf numFmtId="176" fontId="25" fillId="26" borderId="1" xfId="20" applyFont="true" applyBorder="true" applyAlignment="false" applyProtection="false">
      <alignment horizontal="general" vertical="bottom" textRotation="0" wrapText="false" indent="0" shrinkToFit="false"/>
      <protection locked="true" hidden="false"/>
    </xf>
    <xf numFmtId="176" fontId="20" fillId="11" borderId="1" xfId="0" applyFont="true" applyBorder="true" applyAlignment="false" applyProtection="false">
      <alignment horizontal="general" vertical="bottom" textRotation="0" wrapText="false" indent="0" shrinkToFit="false"/>
      <protection locked="true" hidden="false"/>
    </xf>
    <xf numFmtId="164" fontId="20" fillId="24" borderId="1" xfId="0" applyFont="true" applyBorder="true" applyAlignment="true" applyProtection="false">
      <alignment horizontal="left" vertical="center" textRotation="0" wrapText="true" indent="0" shrinkToFit="false"/>
      <protection locked="true" hidden="false"/>
    </xf>
    <xf numFmtId="164" fontId="25" fillId="0" borderId="1" xfId="0" applyFont="true" applyBorder="true" applyAlignment="true" applyProtection="false">
      <alignment horizontal="left" vertical="bottom" textRotation="0" wrapText="false" indent="0" shrinkToFit="false"/>
      <protection locked="true" hidden="false"/>
    </xf>
    <xf numFmtId="176" fontId="25" fillId="0" borderId="1" xfId="20" applyFont="true" applyBorder="true" applyAlignment="false" applyProtection="false">
      <alignment horizontal="general" vertical="bottom" textRotation="0" wrapText="false" indent="0" shrinkToFit="false"/>
      <protection locked="true" hidden="false"/>
    </xf>
    <xf numFmtId="179" fontId="25" fillId="0" borderId="0" xfId="23" applyFont="true" applyBorder="false" applyAlignment="false" applyProtection="false">
      <alignment horizontal="general" vertical="bottom" textRotation="0" wrapText="false" indent="0" shrinkToFit="false"/>
      <protection locked="true" hidden="false"/>
    </xf>
    <xf numFmtId="164" fontId="25" fillId="0" borderId="1" xfId="0" applyFont="true" applyBorder="true" applyAlignment="true" applyProtection="false">
      <alignment horizontal="left" vertical="center" textRotation="0" wrapText="true" indent="0" shrinkToFit="false"/>
      <protection locked="true" hidden="false"/>
    </xf>
    <xf numFmtId="176" fontId="25" fillId="0" borderId="1" xfId="20" applyFont="true" applyBorder="true" applyAlignment="true" applyProtection="false">
      <alignment horizontal="left" vertical="center" textRotation="0" wrapText="false" indent="0" shrinkToFit="false"/>
      <protection locked="true" hidden="false"/>
    </xf>
    <xf numFmtId="164" fontId="25" fillId="0" borderId="0" xfId="0" applyFont="true" applyBorder="false" applyAlignment="true" applyProtection="false">
      <alignment horizontal="left" vertical="center" textRotation="0" wrapText="false" indent="0" shrinkToFit="false"/>
      <protection locked="true" hidden="false"/>
    </xf>
    <xf numFmtId="164" fontId="20" fillId="24" borderId="1" xfId="0" applyFont="true" applyBorder="true" applyAlignment="true" applyProtection="false">
      <alignment horizontal="left" vertical="bottom" textRotation="0" wrapText="false" indent="0" shrinkToFit="false"/>
      <protection locked="true" hidden="false"/>
    </xf>
    <xf numFmtId="164" fontId="25" fillId="27" borderId="1" xfId="0" applyFont="true" applyBorder="true" applyAlignment="false" applyProtection="false">
      <alignment horizontal="general" vertical="bottom" textRotation="0" wrapText="false" indent="0" shrinkToFit="false"/>
      <protection locked="true" hidden="false"/>
    </xf>
    <xf numFmtId="164" fontId="20" fillId="27" borderId="1" xfId="0" applyFont="true" applyBorder="true" applyAlignment="true" applyProtection="false">
      <alignment horizontal="left" vertical="bottom" textRotation="0" wrapText="false" indent="0" shrinkToFit="false"/>
      <protection locked="true" hidden="false"/>
    </xf>
    <xf numFmtId="176" fontId="20" fillId="27" borderId="1" xfId="20" applyFont="true" applyBorder="true" applyAlignment="false" applyProtection="false">
      <alignment horizontal="general" vertical="bottom" textRotation="0" wrapText="false" indent="0" shrinkToFit="false"/>
      <protection locked="true" hidden="false"/>
    </xf>
    <xf numFmtId="176" fontId="20" fillId="24" borderId="1" xfId="0" applyFont="true" applyBorder="true" applyAlignment="false" applyProtection="false">
      <alignment horizontal="general" vertical="bottom" textRotation="0" wrapText="false" indent="0" shrinkToFit="false"/>
      <protection locked="true" hidden="false"/>
    </xf>
    <xf numFmtId="164" fontId="20" fillId="11" borderId="21" xfId="0" applyFont="true" applyBorder="true" applyAlignment="true" applyProtection="false">
      <alignment horizontal="center" vertical="center" textRotation="0" wrapText="false" indent="0" shrinkToFit="false"/>
      <protection locked="true" hidden="false"/>
    </xf>
    <xf numFmtId="168" fontId="25" fillId="0" borderId="1" xfId="0" applyFont="true" applyBorder="true" applyAlignment="false" applyProtection="false">
      <alignment horizontal="general" vertical="bottom" textRotation="0" wrapText="false" indent="0" shrinkToFit="false"/>
      <protection locked="true" hidden="false"/>
    </xf>
    <xf numFmtId="164" fontId="20" fillId="27" borderId="1" xfId="0" applyFont="true" applyBorder="true" applyAlignment="true" applyProtection="false">
      <alignment horizontal="left" vertical="center" textRotation="0" wrapText="false" indent="0" shrinkToFit="false"/>
      <protection locked="true" hidden="false"/>
    </xf>
    <xf numFmtId="168" fontId="20" fillId="27" borderId="1" xfId="0" applyFont="true" applyBorder="true" applyAlignment="true" applyProtection="false">
      <alignment horizontal="right" vertical="center" textRotation="0" wrapText="false" indent="0" shrinkToFit="false"/>
      <protection locked="true" hidden="false"/>
    </xf>
    <xf numFmtId="164" fontId="20" fillId="0" borderId="0" xfId="0" applyFont="true" applyBorder="false" applyAlignment="true" applyProtection="false">
      <alignment horizontal="left" vertical="center" textRotation="0" wrapText="false" indent="0" shrinkToFit="false"/>
      <protection locked="true" hidden="false"/>
    </xf>
    <xf numFmtId="164" fontId="20" fillId="27" borderId="1" xfId="0" applyFont="true" applyBorder="true" applyAlignment="true" applyProtection="false">
      <alignment horizontal="left" vertical="center" textRotation="0" wrapText="true" indent="0" shrinkToFit="false"/>
      <protection locked="true" hidden="false"/>
    </xf>
    <xf numFmtId="179" fontId="25" fillId="0" borderId="0" xfId="0" applyFont="true" applyBorder="false" applyAlignment="true" applyProtection="false">
      <alignment horizontal="center" vertical="center" textRotation="0" wrapText="true" indent="0" shrinkToFit="false"/>
      <protection locked="true" hidden="false"/>
    </xf>
    <xf numFmtId="179" fontId="20" fillId="11" borderId="21" xfId="0" applyFont="true" applyBorder="true" applyAlignment="true" applyProtection="false">
      <alignment horizontal="general" vertical="center" textRotation="0" wrapText="false" indent="0" shrinkToFit="false"/>
      <protection locked="true" hidden="false"/>
    </xf>
    <xf numFmtId="168" fontId="20" fillId="11" borderId="1" xfId="20" applyFont="true" applyBorder="true" applyAlignment="false" applyProtection="false">
      <alignment horizontal="general" vertical="bottom" textRotation="0" wrapText="false" indent="0" shrinkToFit="false"/>
      <protection locked="true" hidden="false"/>
    </xf>
    <xf numFmtId="164" fontId="20" fillId="28" borderId="0" xfId="0" applyFont="true" applyBorder="false" applyAlignment="true" applyProtection="false">
      <alignment horizontal="center" vertical="bottom" textRotation="0" wrapText="false" indent="0" shrinkToFit="false"/>
      <protection locked="true" hidden="false"/>
    </xf>
    <xf numFmtId="168" fontId="25" fillId="0" borderId="1" xfId="20" applyFont="true" applyBorder="true" applyAlignment="false" applyProtection="false">
      <alignment horizontal="general" vertical="bottom" textRotation="0" wrapText="false" indent="0" shrinkToFit="false"/>
      <protection locked="true" hidden="false"/>
    </xf>
    <xf numFmtId="164" fontId="20" fillId="0" borderId="1" xfId="0" applyFont="true" applyBorder="true" applyAlignment="true" applyProtection="false">
      <alignment horizontal="left" vertical="bottom" textRotation="0" wrapText="false" indent="0" shrinkToFit="false"/>
      <protection locked="true" hidden="false"/>
    </xf>
    <xf numFmtId="168" fontId="20" fillId="0" borderId="1" xfId="20" applyFont="true" applyBorder="true" applyAlignment="false" applyProtection="false">
      <alignment horizontal="general" vertical="bottom" textRotation="0" wrapText="false" indent="0" shrinkToFit="false"/>
      <protection locked="true" hidden="false"/>
    </xf>
    <xf numFmtId="168" fontId="25" fillId="0" borderId="0" xfId="0" applyFont="true" applyBorder="false" applyAlignment="false" applyProtection="false">
      <alignment horizontal="general" vertical="bottom" textRotation="0" wrapText="false" indent="0" shrinkToFit="false"/>
      <protection locked="true" hidden="false"/>
    </xf>
    <xf numFmtId="164" fontId="28" fillId="29" borderId="0" xfId="0" applyFont="true" applyBorder="false" applyAlignment="true" applyProtection="false">
      <alignment horizontal="left" vertical="bottom" textRotation="0" wrapText="false" indent="0" shrinkToFit="false"/>
      <protection locked="true" hidden="false"/>
    </xf>
    <xf numFmtId="168" fontId="28" fillId="29" borderId="1" xfId="0" applyFont="true" applyBorder="true" applyAlignment="false" applyProtection="false">
      <alignment horizontal="general" vertical="bottom" textRotation="0" wrapText="false" indent="0" shrinkToFit="false"/>
      <protection locked="true" hidden="false"/>
    </xf>
    <xf numFmtId="164" fontId="25" fillId="0" borderId="28" xfId="0" applyFont="true" applyBorder="true" applyAlignment="true" applyProtection="false">
      <alignment horizontal="general" vertical="bottom" textRotation="0" wrapText="false" indent="0" shrinkToFit="false"/>
      <protection locked="true" hidden="false"/>
    </xf>
    <xf numFmtId="164" fontId="44" fillId="0" borderId="0" xfId="0" applyFont="true" applyBorder="false" applyAlignment="true" applyProtection="false">
      <alignment horizontal="left" vertical="bottom" textRotation="0" wrapText="true" indent="0" shrinkToFit="false"/>
      <protection locked="true" hidden="false"/>
    </xf>
    <xf numFmtId="164" fontId="25" fillId="0" borderId="0" xfId="0" applyFont="true" applyBorder="false" applyAlignment="true" applyProtection="false">
      <alignment horizontal="general" vertical="bottom" textRotation="0" wrapText="false" indent="0" shrinkToFit="false"/>
      <protection locked="true" hidden="false"/>
    </xf>
    <xf numFmtId="164" fontId="44" fillId="0" borderId="0" xfId="0" applyFont="true" applyBorder="false" applyAlignment="true" applyProtection="false">
      <alignment horizontal="left" vertical="bottom" textRotation="0" wrapText="false" indent="0" shrinkToFit="false"/>
      <protection locked="true" hidden="false"/>
    </xf>
    <xf numFmtId="164" fontId="20" fillId="30" borderId="0" xfId="0" applyFont="true" applyBorder="false" applyAlignment="true" applyProtection="false">
      <alignment horizontal="center" vertical="bottom" textRotation="0" wrapText="false" indent="0" shrinkToFit="false"/>
      <protection locked="true" hidden="false"/>
    </xf>
    <xf numFmtId="182" fontId="25" fillId="0" borderId="1" xfId="20" applyFont="true" applyBorder="true" applyAlignment="false" applyProtection="false">
      <alignment horizontal="general" vertical="bottom" textRotation="0" wrapText="false" indent="0" shrinkToFit="false"/>
      <protection locked="true" hidden="false"/>
    </xf>
    <xf numFmtId="164" fontId="20" fillId="24" borderId="1" xfId="0" applyFont="true" applyBorder="true" applyAlignment="true" applyProtection="false">
      <alignment horizontal="center" vertical="bottom" textRotation="0" wrapText="false" indent="0" shrinkToFit="false"/>
      <protection locked="true" hidden="false"/>
    </xf>
    <xf numFmtId="182" fontId="25" fillId="0" borderId="1" xfId="0" applyFont="true" applyBorder="true" applyAlignment="false" applyProtection="false">
      <alignment horizontal="general" vertical="bottom" textRotation="0" wrapText="false" indent="0" shrinkToFit="false"/>
      <protection locked="true" hidden="false"/>
    </xf>
    <xf numFmtId="176" fontId="25" fillId="19" borderId="1" xfId="20" applyFont="true" applyBorder="true" applyAlignment="false" applyProtection="false">
      <alignment horizontal="general" vertical="bottom" textRotation="0" wrapText="false" indent="0" shrinkToFit="false"/>
      <protection locked="true" hidden="false"/>
    </xf>
    <xf numFmtId="176" fontId="20" fillId="24" borderId="1" xfId="20" applyFont="true" applyBorder="true" applyAlignment="false" applyProtection="false">
      <alignment horizontal="general" vertical="bottom" textRotation="0" wrapText="false" indent="0" shrinkToFit="false"/>
      <protection locked="true" hidden="false"/>
    </xf>
    <xf numFmtId="179" fontId="25" fillId="8" borderId="1" xfId="23" applyFont="true" applyBorder="true" applyAlignment="false" applyProtection="false">
      <alignment horizontal="general" vertical="bottom" textRotation="0" wrapText="false" indent="0" shrinkToFit="false"/>
      <protection locked="true" hidden="false"/>
    </xf>
    <xf numFmtId="164" fontId="20" fillId="24" borderId="1" xfId="0" applyFont="true" applyBorder="true" applyAlignment="true" applyProtection="false">
      <alignment horizontal="center" vertical="bottom" textRotation="0" wrapText="true" indent="0" shrinkToFit="false"/>
      <protection locked="true" hidden="false"/>
    </xf>
    <xf numFmtId="164" fontId="25" fillId="8" borderId="1" xfId="0" applyFont="true" applyBorder="true" applyAlignment="true" applyProtection="false">
      <alignment horizontal="left" vertical="bottom" textRotation="0" wrapText="true" indent="0" shrinkToFit="false"/>
      <protection locked="true" hidden="false"/>
    </xf>
    <xf numFmtId="164" fontId="43" fillId="0" borderId="1" xfId="0" applyFont="true" applyBorder="true" applyAlignment="false" applyProtection="false">
      <alignment horizontal="general" vertical="bottom" textRotation="0" wrapText="false" indent="0" shrinkToFit="false"/>
      <protection locked="true" hidden="false"/>
    </xf>
    <xf numFmtId="176" fontId="43" fillId="0" borderId="1" xfId="0" applyFont="true" applyBorder="true" applyAlignment="false" applyProtection="false">
      <alignment horizontal="general" vertical="bottom" textRotation="0" wrapText="false" indent="0" shrinkToFit="false"/>
      <protection locked="true" hidden="false"/>
    </xf>
    <xf numFmtId="185" fontId="25" fillId="0" borderId="1" xfId="0" applyFont="true" applyBorder="true" applyAlignment="false" applyProtection="false">
      <alignment horizontal="general" vertical="bottom" textRotation="0" wrapText="false" indent="0" shrinkToFit="false"/>
      <protection locked="true" hidden="false"/>
    </xf>
    <xf numFmtId="164" fontId="25" fillId="0" borderId="1" xfId="0" applyFont="true" applyBorder="true" applyAlignment="true" applyProtection="false">
      <alignment horizontal="left" vertical="top" textRotation="0" wrapText="true" indent="0" shrinkToFit="false"/>
      <protection locked="true" hidden="false"/>
    </xf>
    <xf numFmtId="164" fontId="25" fillId="0" borderId="0" xfId="0" applyFont="true" applyBorder="false" applyAlignment="true" applyProtection="false">
      <alignment horizontal="general" vertical="top" textRotation="0" wrapText="true" indent="0" shrinkToFit="false"/>
      <protection locked="true" hidden="false"/>
    </xf>
    <xf numFmtId="164" fontId="20" fillId="24" borderId="1" xfId="0" applyFont="true" applyBorder="true" applyAlignment="true" applyProtection="false">
      <alignment horizontal="left" vertical="bottom" textRotation="0" wrapText="true" indent="0" shrinkToFit="false"/>
      <protection locked="true" hidden="false"/>
    </xf>
    <xf numFmtId="164" fontId="25" fillId="0" borderId="0" xfId="0" applyFont="true" applyBorder="false" applyAlignment="true" applyProtection="false">
      <alignment horizontal="left" vertical="center" textRotation="0" wrapText="true" indent="0" shrinkToFit="false"/>
      <protection locked="true" hidden="false"/>
    </xf>
    <xf numFmtId="164" fontId="25" fillId="30" borderId="1" xfId="0" applyFont="true" applyBorder="true" applyAlignment="true" applyProtection="false">
      <alignment horizontal="left" vertical="center" textRotation="0" wrapText="false" indent="0" shrinkToFit="false"/>
      <protection locked="true" hidden="false"/>
    </xf>
    <xf numFmtId="164" fontId="25" fillId="30" borderId="1" xfId="0" applyFont="true" applyBorder="true" applyAlignment="true" applyProtection="false">
      <alignment horizontal="general" vertical="center" textRotation="0" wrapText="false" indent="0" shrinkToFit="false"/>
      <protection locked="true" hidden="false"/>
    </xf>
    <xf numFmtId="164" fontId="20" fillId="30" borderId="1" xfId="0" applyFont="true" applyBorder="true" applyAlignment="true" applyProtection="false">
      <alignment horizontal="center" vertical="center" textRotation="0" wrapText="true" indent="0" shrinkToFit="false"/>
      <protection locked="true" hidden="false"/>
    </xf>
    <xf numFmtId="164" fontId="25" fillId="30" borderId="1" xfId="0" applyFont="true" applyBorder="true" applyAlignment="true" applyProtection="false">
      <alignment horizontal="right" vertical="center" textRotation="0" wrapText="false" indent="0" shrinkToFit="false"/>
      <protection locked="true" hidden="false"/>
    </xf>
    <xf numFmtId="176" fontId="25" fillId="30" borderId="1" xfId="20" applyFont="true" applyBorder="true" applyAlignment="true" applyProtection="false">
      <alignment horizontal="left" vertical="center" textRotation="0" wrapText="false" indent="0" shrinkToFit="false"/>
      <protection locked="true" hidden="false"/>
    </xf>
    <xf numFmtId="164" fontId="25" fillId="30" borderId="1" xfId="0" applyFont="true" applyBorder="true" applyAlignment="true" applyProtection="false">
      <alignment horizontal="left" vertical="center" textRotation="0" wrapText="true" indent="0" shrinkToFit="false"/>
      <protection locked="true" hidden="false"/>
    </xf>
    <xf numFmtId="181" fontId="25" fillId="30" borderId="1" xfId="0" applyFont="true" applyBorder="true" applyAlignment="true" applyProtection="false">
      <alignment horizontal="right" vertical="center" textRotation="0" wrapText="false" indent="0" shrinkToFit="false"/>
      <protection locked="true" hidden="false"/>
    </xf>
    <xf numFmtId="164" fontId="42" fillId="0" borderId="0" xfId="0" applyFont="true" applyBorder="false" applyAlignment="true" applyProtection="false">
      <alignment horizontal="center" vertical="center" textRotation="0" wrapText="true" indent="0" shrinkToFit="false"/>
      <protection locked="true" hidden="false"/>
    </xf>
    <xf numFmtId="168" fontId="25" fillId="0" borderId="1" xfId="0" applyFont="true" applyBorder="true" applyAlignment="true" applyProtection="false">
      <alignment horizontal="right" vertical="bottom" textRotation="0" wrapText="false" indent="0" shrinkToFit="false"/>
      <protection locked="true" hidden="false"/>
    </xf>
    <xf numFmtId="168" fontId="20" fillId="11" borderId="1" xfId="20" applyFont="true" applyBorder="true" applyAlignment="true" applyProtection="false">
      <alignment horizontal="right" vertical="bottom" textRotation="0" wrapText="false" indent="0" shrinkToFit="false"/>
      <protection locked="true" hidden="false"/>
    </xf>
    <xf numFmtId="186" fontId="25" fillId="0" borderId="1" xfId="20" applyFont="true" applyBorder="true" applyAlignment="false" applyProtection="false">
      <alignment horizontal="general" vertical="bottom" textRotation="0" wrapText="false" indent="0" shrinkToFit="false"/>
      <protection locked="true" hidden="false"/>
    </xf>
    <xf numFmtId="186" fontId="20" fillId="0" borderId="1" xfId="20" applyFont="true" applyBorder="true" applyAlignment="false" applyProtection="false">
      <alignment horizontal="general" vertical="bottom" textRotation="0" wrapText="false" indent="0" shrinkToFit="false"/>
      <protection locked="true" hidden="false"/>
    </xf>
    <xf numFmtId="186" fontId="25" fillId="0" borderId="0" xfId="0" applyFont="true" applyBorder="false" applyAlignment="false" applyProtection="false">
      <alignment horizontal="general" vertical="bottom" textRotation="0" wrapText="false" indent="0" shrinkToFit="false"/>
      <protection locked="true" hidden="false"/>
    </xf>
    <xf numFmtId="186" fontId="28" fillId="29" borderId="1" xfId="0" applyFont="true" applyBorder="true" applyAlignment="false" applyProtection="false">
      <alignment horizontal="general" vertical="bottom" textRotation="0" wrapText="false" indent="0" shrinkToFit="false"/>
      <protection locked="true" hidden="false"/>
    </xf>
    <xf numFmtId="164" fontId="25" fillId="31" borderId="1" xfId="0" applyFont="true" applyBorder="true" applyAlignment="true" applyProtection="false">
      <alignment horizontal="left" vertical="center" textRotation="0" wrapText="false" indent="0" shrinkToFit="false"/>
      <protection locked="true" hidden="false"/>
    </xf>
    <xf numFmtId="164" fontId="25" fillId="31" borderId="1" xfId="0" applyFont="true" applyBorder="true" applyAlignment="true" applyProtection="false">
      <alignment horizontal="general" vertical="center" textRotation="0" wrapText="false" indent="0" shrinkToFit="false"/>
      <protection locked="true" hidden="false"/>
    </xf>
    <xf numFmtId="164" fontId="20" fillId="31" borderId="1" xfId="0" applyFont="true" applyBorder="true" applyAlignment="true" applyProtection="false">
      <alignment horizontal="center" vertical="center" textRotation="0" wrapText="true" indent="0" shrinkToFit="false"/>
      <protection locked="true" hidden="false"/>
    </xf>
    <xf numFmtId="164" fontId="25" fillId="31" borderId="1" xfId="0" applyFont="true" applyBorder="true" applyAlignment="true" applyProtection="false">
      <alignment horizontal="right" vertical="center" textRotation="0" wrapText="false" indent="0" shrinkToFit="false"/>
      <protection locked="true" hidden="false"/>
    </xf>
    <xf numFmtId="176" fontId="25" fillId="31" borderId="1" xfId="20" applyFont="true" applyBorder="true" applyAlignment="true" applyProtection="false">
      <alignment horizontal="left" vertical="center" textRotation="0" wrapText="false" indent="0" shrinkToFit="false"/>
      <protection locked="true" hidden="false"/>
    </xf>
    <xf numFmtId="164" fontId="25" fillId="31" borderId="1" xfId="0" applyFont="true" applyBorder="true" applyAlignment="true" applyProtection="false">
      <alignment horizontal="left" vertical="center" textRotation="0" wrapText="true" indent="0" shrinkToFit="false"/>
      <protection locked="true" hidden="false"/>
    </xf>
    <xf numFmtId="181" fontId="25" fillId="31" borderId="1" xfId="0" applyFont="true" applyBorder="true" applyAlignment="true" applyProtection="false">
      <alignment horizontal="right" vertical="center" textRotation="0" wrapText="false" indent="0" shrinkToFit="false"/>
      <protection locked="true" hidden="false"/>
    </xf>
    <xf numFmtId="164" fontId="20" fillId="31" borderId="0" xfId="0" applyFont="true" applyBorder="false" applyAlignment="true" applyProtection="false">
      <alignment horizontal="center" vertical="bottom" textRotation="0" wrapText="true" indent="0" shrinkToFit="false"/>
      <protection locked="true" hidden="false"/>
    </xf>
    <xf numFmtId="164" fontId="25" fillId="10" borderId="1" xfId="0" applyFont="true" applyBorder="true" applyAlignment="true" applyProtection="false">
      <alignment horizontal="left" vertical="center" textRotation="0" wrapText="false" indent="0" shrinkToFit="false"/>
      <protection locked="true" hidden="false"/>
    </xf>
    <xf numFmtId="164" fontId="25" fillId="10" borderId="1" xfId="0" applyFont="true" applyBorder="true" applyAlignment="true" applyProtection="false">
      <alignment horizontal="general" vertical="center" textRotation="0" wrapText="false" indent="0" shrinkToFit="false"/>
      <protection locked="true" hidden="false"/>
    </xf>
    <xf numFmtId="164" fontId="20" fillId="10" borderId="1" xfId="0" applyFont="true" applyBorder="true" applyAlignment="true" applyProtection="false">
      <alignment horizontal="center" vertical="center" textRotation="0" wrapText="true" indent="0" shrinkToFit="false"/>
      <protection locked="true" hidden="false"/>
    </xf>
    <xf numFmtId="164" fontId="25" fillId="10" borderId="1" xfId="0" applyFont="true" applyBorder="true" applyAlignment="true" applyProtection="false">
      <alignment horizontal="right" vertical="center" textRotation="0" wrapText="false" indent="0" shrinkToFit="false"/>
      <protection locked="true" hidden="false"/>
    </xf>
    <xf numFmtId="176" fontId="25" fillId="10" borderId="1" xfId="20" applyFont="true" applyBorder="true" applyAlignment="true" applyProtection="false">
      <alignment horizontal="left" vertical="center" textRotation="0" wrapText="false" indent="0" shrinkToFit="false"/>
      <protection locked="true" hidden="false"/>
    </xf>
    <xf numFmtId="164" fontId="25" fillId="10" borderId="1" xfId="0" applyFont="true" applyBorder="true" applyAlignment="true" applyProtection="false">
      <alignment horizontal="left" vertical="center" textRotation="0" wrapText="true" indent="0" shrinkToFit="false"/>
      <protection locked="true" hidden="false"/>
    </xf>
    <xf numFmtId="181" fontId="25" fillId="10" borderId="1" xfId="0" applyFont="true" applyBorder="true" applyAlignment="true" applyProtection="false">
      <alignment horizontal="right" vertical="center" textRotation="0" wrapText="false" indent="0" shrinkToFit="false"/>
      <protection locked="true" hidden="false"/>
    </xf>
    <xf numFmtId="164" fontId="20" fillId="10" borderId="0" xfId="0" applyFont="true" applyBorder="false" applyAlignment="true" applyProtection="false">
      <alignment horizontal="center" vertical="bottom" textRotation="0" wrapText="true" indent="0" shrinkToFit="false"/>
      <protection locked="true" hidden="false"/>
    </xf>
    <xf numFmtId="164" fontId="25" fillId="32" borderId="1" xfId="0" applyFont="true" applyBorder="true" applyAlignment="true" applyProtection="false">
      <alignment horizontal="left" vertical="center" textRotation="0" wrapText="false" indent="0" shrinkToFit="false"/>
      <protection locked="true" hidden="false"/>
    </xf>
    <xf numFmtId="164" fontId="25" fillId="32" borderId="1" xfId="0" applyFont="true" applyBorder="true" applyAlignment="true" applyProtection="false">
      <alignment horizontal="general" vertical="center" textRotation="0" wrapText="false" indent="0" shrinkToFit="false"/>
      <protection locked="true" hidden="false"/>
    </xf>
    <xf numFmtId="164" fontId="20" fillId="32" borderId="1" xfId="0" applyFont="true" applyBorder="true" applyAlignment="true" applyProtection="false">
      <alignment horizontal="center" vertical="center" textRotation="0" wrapText="true" indent="0" shrinkToFit="false"/>
      <protection locked="true" hidden="false"/>
    </xf>
    <xf numFmtId="164" fontId="25" fillId="32" borderId="1" xfId="0" applyFont="true" applyBorder="true" applyAlignment="true" applyProtection="false">
      <alignment horizontal="right" vertical="center" textRotation="0" wrapText="false" indent="0" shrinkToFit="false"/>
      <protection locked="true" hidden="false"/>
    </xf>
    <xf numFmtId="176" fontId="25" fillId="32" borderId="1" xfId="20" applyFont="true" applyBorder="true" applyAlignment="true" applyProtection="false">
      <alignment horizontal="left" vertical="center" textRotation="0" wrapText="false" indent="0" shrinkToFit="false"/>
      <protection locked="true" hidden="false"/>
    </xf>
    <xf numFmtId="164" fontId="25" fillId="32" borderId="1" xfId="0" applyFont="true" applyBorder="true" applyAlignment="true" applyProtection="false">
      <alignment horizontal="left" vertical="center" textRotation="0" wrapText="true" indent="0" shrinkToFit="false"/>
      <protection locked="true" hidden="false"/>
    </xf>
    <xf numFmtId="181" fontId="25" fillId="32" borderId="1" xfId="0" applyFont="true" applyBorder="true" applyAlignment="true" applyProtection="false">
      <alignment horizontal="right" vertical="center" textRotation="0" wrapText="false" indent="0" shrinkToFit="false"/>
      <protection locked="true" hidden="false"/>
    </xf>
    <xf numFmtId="164" fontId="20" fillId="32" borderId="0" xfId="0" applyFont="true" applyBorder="false" applyAlignment="true" applyProtection="false">
      <alignment horizontal="center" vertical="bottom" textRotation="0" wrapText="false" indent="0" shrinkToFit="false"/>
      <protection locked="true" hidden="false"/>
    </xf>
    <xf numFmtId="164" fontId="25" fillId="3" borderId="1" xfId="0" applyFont="true" applyBorder="true" applyAlignment="true" applyProtection="false">
      <alignment horizontal="left" vertical="center" textRotation="0" wrapText="false" indent="0" shrinkToFit="false"/>
      <protection locked="true" hidden="false"/>
    </xf>
    <xf numFmtId="164" fontId="25" fillId="3" borderId="1" xfId="0" applyFont="true" applyBorder="true" applyAlignment="true" applyProtection="false">
      <alignment horizontal="general" vertical="center" textRotation="0" wrapText="false" indent="0" shrinkToFit="false"/>
      <protection locked="true" hidden="false"/>
    </xf>
    <xf numFmtId="164" fontId="20" fillId="3" borderId="1" xfId="0" applyFont="true" applyBorder="true" applyAlignment="true" applyProtection="false">
      <alignment horizontal="center" vertical="center" textRotation="0" wrapText="true" indent="0" shrinkToFit="false"/>
      <protection locked="true" hidden="false"/>
    </xf>
    <xf numFmtId="164" fontId="25" fillId="3" borderId="1" xfId="0" applyFont="true" applyBorder="true" applyAlignment="true" applyProtection="false">
      <alignment horizontal="right" vertical="center" textRotation="0" wrapText="false" indent="0" shrinkToFit="false"/>
      <protection locked="true" hidden="false"/>
    </xf>
    <xf numFmtId="176" fontId="25" fillId="3" borderId="1" xfId="20" applyFont="true" applyBorder="true" applyAlignment="true" applyProtection="false">
      <alignment horizontal="left" vertical="center" textRotation="0" wrapText="false" indent="0" shrinkToFit="false"/>
      <protection locked="true" hidden="false"/>
    </xf>
    <xf numFmtId="164" fontId="25" fillId="3" borderId="1" xfId="0" applyFont="true" applyBorder="true" applyAlignment="true" applyProtection="false">
      <alignment horizontal="left" vertical="center" textRotation="0" wrapText="true" indent="0" shrinkToFit="false"/>
      <protection locked="true" hidden="false"/>
    </xf>
    <xf numFmtId="181" fontId="25" fillId="3" borderId="1" xfId="0" applyFont="true" applyBorder="true" applyAlignment="true" applyProtection="false">
      <alignment horizontal="right" vertical="center" textRotation="0" wrapText="false" indent="0" shrinkToFit="false"/>
      <protection locked="true" hidden="false"/>
    </xf>
    <xf numFmtId="168" fontId="20" fillId="27" borderId="1" xfId="0" applyFont="true" applyBorder="true" applyAlignment="true" applyProtection="false">
      <alignment horizontal="left" vertical="center" textRotation="0" wrapText="false" indent="0" shrinkToFit="false"/>
      <protection locked="true" hidden="false"/>
    </xf>
    <xf numFmtId="164" fontId="20" fillId="3" borderId="0" xfId="0" applyFont="true" applyBorder="false" applyAlignment="true" applyProtection="false">
      <alignment horizontal="center" vertical="bottom" textRotation="0" wrapText="false" indent="0" shrinkToFit="false"/>
      <protection locked="true" hidden="false"/>
    </xf>
    <xf numFmtId="164" fontId="25" fillId="2" borderId="1" xfId="0" applyFont="true" applyBorder="true" applyAlignment="true" applyProtection="false">
      <alignment horizontal="left" vertical="center" textRotation="0" wrapText="false" indent="0" shrinkToFit="false"/>
      <protection locked="true" hidden="false"/>
    </xf>
    <xf numFmtId="164" fontId="25" fillId="2" borderId="1" xfId="0" applyFont="true" applyBorder="true" applyAlignment="true" applyProtection="false">
      <alignment horizontal="general" vertical="center" textRotation="0" wrapText="false" indent="0" shrinkToFit="false"/>
      <protection locked="true" hidden="false"/>
    </xf>
    <xf numFmtId="164" fontId="20" fillId="2" borderId="1" xfId="0" applyFont="true" applyBorder="true" applyAlignment="true" applyProtection="false">
      <alignment horizontal="center" vertical="center" textRotation="0" wrapText="true" indent="0" shrinkToFit="false"/>
      <protection locked="true" hidden="false"/>
    </xf>
    <xf numFmtId="164" fontId="25" fillId="2" borderId="1" xfId="0" applyFont="true" applyBorder="true" applyAlignment="true" applyProtection="false">
      <alignment horizontal="right" vertical="center" textRotation="0" wrapText="false" indent="0" shrinkToFit="false"/>
      <protection locked="true" hidden="false"/>
    </xf>
    <xf numFmtId="176" fontId="25" fillId="2" borderId="1" xfId="20" applyFont="true" applyBorder="true" applyAlignment="true" applyProtection="false">
      <alignment horizontal="left" vertical="center" textRotation="0" wrapText="false" indent="0" shrinkToFit="false"/>
      <protection locked="true" hidden="false"/>
    </xf>
    <xf numFmtId="164" fontId="25" fillId="2" borderId="1" xfId="0" applyFont="true" applyBorder="true" applyAlignment="true" applyProtection="false">
      <alignment horizontal="left" vertical="center" textRotation="0" wrapText="true" indent="0" shrinkToFit="false"/>
      <protection locked="true" hidden="false"/>
    </xf>
    <xf numFmtId="181" fontId="25" fillId="2" borderId="1" xfId="0" applyFont="true" applyBorder="true" applyAlignment="true" applyProtection="false">
      <alignment horizontal="right" vertical="center" textRotation="0" wrapText="false" indent="0" shrinkToFit="false"/>
      <protection locked="true" hidden="false"/>
    </xf>
    <xf numFmtId="164" fontId="20" fillId="2" borderId="0" xfId="0" applyFont="true" applyBorder="false" applyAlignment="true" applyProtection="false">
      <alignment horizontal="center" vertical="bottom" textRotation="0" wrapText="false" indent="0" shrinkToFit="false"/>
      <protection locked="true" hidden="false"/>
    </xf>
    <xf numFmtId="164" fontId="24" fillId="33" borderId="1" xfId="0" applyFont="true" applyBorder="true" applyAlignment="true" applyProtection="false">
      <alignment horizontal="left" vertical="center" textRotation="0" wrapText="false" indent="0" shrinkToFit="false"/>
      <protection locked="true" hidden="false"/>
    </xf>
    <xf numFmtId="164" fontId="24" fillId="33" borderId="1" xfId="0" applyFont="true" applyBorder="true" applyAlignment="true" applyProtection="false">
      <alignment horizontal="general" vertical="center" textRotation="0" wrapText="false" indent="0" shrinkToFit="false"/>
      <protection locked="true" hidden="false"/>
    </xf>
    <xf numFmtId="164" fontId="28" fillId="33" borderId="1" xfId="0" applyFont="true" applyBorder="true" applyAlignment="true" applyProtection="false">
      <alignment horizontal="center" vertical="center" textRotation="0" wrapText="true" indent="0" shrinkToFit="false"/>
      <protection locked="true" hidden="false"/>
    </xf>
    <xf numFmtId="164" fontId="24" fillId="33" borderId="1" xfId="0" applyFont="true" applyBorder="true" applyAlignment="true" applyProtection="false">
      <alignment horizontal="right" vertical="center" textRotation="0" wrapText="false" indent="0" shrinkToFit="false"/>
      <protection locked="true" hidden="false"/>
    </xf>
    <xf numFmtId="176" fontId="24" fillId="33" borderId="1" xfId="20" applyFont="true" applyBorder="true" applyAlignment="true" applyProtection="false">
      <alignment horizontal="left" vertical="center" textRotation="0" wrapText="false" indent="0" shrinkToFit="false"/>
      <protection locked="true" hidden="false"/>
    </xf>
    <xf numFmtId="164" fontId="24" fillId="33" borderId="1" xfId="0" applyFont="true" applyBorder="true" applyAlignment="true" applyProtection="false">
      <alignment horizontal="left" vertical="center" textRotation="0" wrapText="true" indent="0" shrinkToFit="false"/>
      <protection locked="true" hidden="false"/>
    </xf>
    <xf numFmtId="181" fontId="24" fillId="33" borderId="1" xfId="0" applyFont="true" applyBorder="true" applyAlignment="true" applyProtection="false">
      <alignment horizontal="right" vertical="center" textRotation="0" wrapText="false" indent="0" shrinkToFit="false"/>
      <protection locked="true" hidden="false"/>
    </xf>
    <xf numFmtId="164" fontId="28" fillId="33" borderId="0" xfId="0" applyFont="true" applyBorder="false" applyAlignment="true" applyProtection="false">
      <alignment horizontal="center" vertical="bottom" textRotation="0" wrapText="false" indent="0" shrinkToFit="false"/>
      <protection locked="true" hidden="false"/>
    </xf>
    <xf numFmtId="173" fontId="25" fillId="0" borderId="0" xfId="0" applyFont="true" applyBorder="false" applyAlignment="false" applyProtection="false">
      <alignment horizontal="general" vertical="bottom" textRotation="0" wrapText="false" indent="0" shrinkToFit="false"/>
      <protection locked="true" hidden="false"/>
    </xf>
    <xf numFmtId="165" fontId="20" fillId="0" borderId="1" xfId="20" applyFont="true" applyBorder="true" applyAlignment="true" applyProtection="false">
      <alignment horizontal="left" vertical="center" textRotation="0" wrapText="true" indent="0" shrinkToFit="false"/>
      <protection locked="true" hidden="false"/>
    </xf>
    <xf numFmtId="164" fontId="20" fillId="31" borderId="0" xfId="0" applyFont="true" applyBorder="false" applyAlignment="true" applyProtection="false">
      <alignment horizontal="center" vertical="bottom" textRotation="0" wrapText="false" indent="0" shrinkToFit="false"/>
      <protection locked="true" hidden="false"/>
    </xf>
    <xf numFmtId="164" fontId="23" fillId="0" borderId="0" xfId="0" applyFont="true" applyBorder="false" applyAlignment="false" applyProtection="true">
      <alignment horizontal="general" vertical="bottom" textRotation="0" wrapText="false" indent="0" shrinkToFit="false"/>
      <protection locked="true" hidden="false"/>
    </xf>
    <xf numFmtId="164" fontId="23" fillId="0" borderId="0" xfId="0" applyFont="true" applyBorder="false" applyAlignment="false" applyProtection="true">
      <alignment horizontal="general" vertical="bottom" textRotation="0" wrapText="false" indent="0" shrinkToFit="false"/>
      <protection locked="true" hidden="false"/>
    </xf>
    <xf numFmtId="165" fontId="23" fillId="0" borderId="60" xfId="21" applyFont="true" applyBorder="true" applyAlignment="true" applyProtection="false">
      <alignment horizontal="center" vertical="bottom" textRotation="0" wrapText="true" indent="0" shrinkToFit="false"/>
      <protection locked="true" hidden="false"/>
    </xf>
    <xf numFmtId="164" fontId="19" fillId="17" borderId="61" xfId="22" applyFont="true" applyBorder="true" applyAlignment="true" applyProtection="true">
      <alignment horizontal="center" vertical="center" textRotation="0" wrapText="false" indent="0" shrinkToFit="false"/>
      <protection locked="true" hidden="false"/>
    </xf>
    <xf numFmtId="164" fontId="20" fillId="17" borderId="25" xfId="22" applyFont="true" applyBorder="true" applyAlignment="true" applyProtection="true">
      <alignment horizontal="center" vertical="center" textRotation="0" wrapText="false" indent="0" shrinkToFit="false"/>
      <protection locked="true" hidden="false"/>
    </xf>
    <xf numFmtId="164" fontId="23" fillId="0" borderId="0" xfId="0" applyFont="true" applyBorder="false" applyAlignment="true" applyProtection="true">
      <alignment horizontal="general" vertical="center" textRotation="0" wrapText="false" indent="0" shrinkToFit="false"/>
      <protection locked="true" hidden="false"/>
    </xf>
    <xf numFmtId="164" fontId="23" fillId="0" borderId="0" xfId="0" applyFont="true" applyBorder="false" applyAlignment="true" applyProtection="true">
      <alignment horizontal="general" vertical="center" textRotation="0" wrapText="false" indent="0" shrinkToFit="false"/>
      <protection locked="true" hidden="false"/>
    </xf>
    <xf numFmtId="164" fontId="45" fillId="27" borderId="7" xfId="0" applyFont="true" applyBorder="true" applyAlignment="true" applyProtection="true">
      <alignment horizontal="center" vertical="center" textRotation="0" wrapText="false" indent="0" shrinkToFit="false"/>
      <protection locked="true" hidden="false"/>
    </xf>
    <xf numFmtId="164" fontId="32" fillId="0" borderId="35" xfId="0" applyFont="true" applyBorder="true" applyAlignment="true" applyProtection="true">
      <alignment horizontal="left" vertical="center" textRotation="0" wrapText="false" indent="0" shrinkToFit="false"/>
      <protection locked="true" hidden="false"/>
    </xf>
    <xf numFmtId="164" fontId="23" fillId="0" borderId="57" xfId="0" applyFont="true" applyBorder="true" applyAlignment="true" applyProtection="true">
      <alignment horizontal="left" vertical="center" textRotation="0" wrapText="false" indent="0" shrinkToFit="false"/>
      <protection locked="false" hidden="false"/>
    </xf>
    <xf numFmtId="164" fontId="32" fillId="0" borderId="0" xfId="0" applyFont="true" applyBorder="false" applyAlignment="true" applyProtection="true">
      <alignment horizontal="general" vertical="center" textRotation="0" wrapText="false" indent="0" shrinkToFit="false"/>
      <protection locked="true" hidden="false"/>
    </xf>
    <xf numFmtId="164" fontId="23" fillId="0" borderId="0" xfId="0" applyFont="true" applyBorder="false" applyAlignment="true" applyProtection="true">
      <alignment horizontal="center" vertical="center" textRotation="0" wrapText="false" indent="0" shrinkToFit="false"/>
      <protection locked="true" hidden="false"/>
    </xf>
    <xf numFmtId="164" fontId="23" fillId="0" borderId="0" xfId="0" applyFont="true" applyBorder="false" applyAlignment="true" applyProtection="true">
      <alignment horizontal="center" vertical="center" textRotation="0" wrapText="false" indent="0" shrinkToFit="false"/>
      <protection locked="true" hidden="false"/>
    </xf>
    <xf numFmtId="164" fontId="32" fillId="0" borderId="57" xfId="0" applyFont="true" applyBorder="true" applyAlignment="true" applyProtection="true">
      <alignment horizontal="left" vertical="center" textRotation="0" wrapText="false" indent="0" shrinkToFit="false"/>
      <protection locked="false" hidden="false"/>
    </xf>
    <xf numFmtId="164" fontId="32" fillId="0" borderId="57" xfId="0" applyFont="true" applyBorder="true" applyAlignment="true" applyProtection="true">
      <alignment horizontal="center" vertical="center" textRotation="0" wrapText="false" indent="0" shrinkToFit="false"/>
      <protection locked="false" hidden="false"/>
    </xf>
    <xf numFmtId="164" fontId="32" fillId="0" borderId="35" xfId="0" applyFont="true" applyBorder="true" applyAlignment="true" applyProtection="true">
      <alignment horizontal="center" vertical="center" textRotation="0" wrapText="false" indent="0" shrinkToFit="false"/>
      <protection locked="true" hidden="false"/>
    </xf>
    <xf numFmtId="164" fontId="32" fillId="0" borderId="30" xfId="0" applyFont="true" applyBorder="true" applyAlignment="true" applyProtection="true">
      <alignment horizontal="center" vertical="center" textRotation="0" wrapText="false" indent="0" shrinkToFit="false"/>
      <protection locked="true" hidden="false"/>
    </xf>
    <xf numFmtId="164" fontId="23" fillId="0" borderId="62" xfId="0" applyFont="true" applyBorder="true" applyAlignment="true" applyProtection="true">
      <alignment horizontal="general" vertical="center" textRotation="0" wrapText="false" indent="0" shrinkToFit="false"/>
      <protection locked="true" hidden="false"/>
    </xf>
    <xf numFmtId="164" fontId="23" fillId="27" borderId="12" xfId="0" applyFont="true" applyBorder="true" applyAlignment="true" applyProtection="true">
      <alignment horizontal="left" vertical="center" textRotation="0" wrapText="false" indent="0" shrinkToFit="false"/>
      <protection locked="true" hidden="false"/>
    </xf>
    <xf numFmtId="164" fontId="32" fillId="27" borderId="13" xfId="0" applyFont="true" applyBorder="true" applyAlignment="true" applyProtection="true">
      <alignment horizontal="center" vertical="center" textRotation="0" wrapText="false" indent="0" shrinkToFit="false"/>
      <protection locked="true" hidden="false"/>
    </xf>
    <xf numFmtId="164" fontId="29" fillId="27" borderId="14" xfId="0" applyFont="true" applyBorder="true" applyAlignment="true" applyProtection="true">
      <alignment horizontal="center" vertical="center" textRotation="0" wrapText="true" indent="0" shrinkToFit="false"/>
      <protection locked="true" hidden="false"/>
    </xf>
    <xf numFmtId="164" fontId="29" fillId="0" borderId="0" xfId="0" applyFont="true" applyBorder="false" applyAlignment="true" applyProtection="true">
      <alignment horizontal="center" vertical="center" textRotation="0" wrapText="true" indent="0" shrinkToFit="false"/>
      <protection locked="true" hidden="false"/>
    </xf>
    <xf numFmtId="164" fontId="32" fillId="27" borderId="60" xfId="0" applyFont="true" applyBorder="true" applyAlignment="true" applyProtection="true">
      <alignment horizontal="center" vertical="center" textRotation="90" wrapText="false" indent="0" shrinkToFit="false"/>
      <protection locked="true" hidden="false"/>
    </xf>
    <xf numFmtId="164" fontId="23" fillId="27" borderId="34" xfId="0" applyFont="true" applyBorder="true" applyAlignment="true" applyProtection="true">
      <alignment horizontal="left" vertical="bottom" textRotation="90" wrapText="false" indent="0" shrinkToFit="false"/>
      <protection locked="true" hidden="false"/>
    </xf>
    <xf numFmtId="164" fontId="23" fillId="27" borderId="63" xfId="0" applyFont="true" applyBorder="true" applyAlignment="true" applyProtection="true">
      <alignment horizontal="left" vertical="bottom" textRotation="90" wrapText="false" indent="0" shrinkToFit="false"/>
      <protection locked="true" hidden="false"/>
    </xf>
    <xf numFmtId="164" fontId="46" fillId="0" borderId="0" xfId="0" applyFont="true" applyBorder="false" applyAlignment="false" applyProtection="true">
      <alignment horizontal="general" vertical="bottom" textRotation="0" wrapText="false" indent="0" shrinkToFit="false"/>
      <protection locked="true" hidden="false"/>
    </xf>
    <xf numFmtId="164" fontId="23" fillId="27" borderId="18" xfId="0" applyFont="true" applyBorder="true" applyAlignment="true" applyProtection="true">
      <alignment horizontal="center" vertical="center" textRotation="0" wrapText="false" indent="0" shrinkToFit="false"/>
      <protection locked="true" hidden="false"/>
    </xf>
    <xf numFmtId="164" fontId="23" fillId="0" borderId="23" xfId="0" applyFont="true" applyBorder="true" applyAlignment="true" applyProtection="true">
      <alignment horizontal="left" vertical="center" textRotation="0" wrapText="false" indent="0" shrinkToFit="false"/>
      <protection locked="true" hidden="false"/>
    </xf>
    <xf numFmtId="164" fontId="47" fillId="0" borderId="23" xfId="0" applyFont="true" applyBorder="true" applyAlignment="true" applyProtection="true">
      <alignment horizontal="center" vertical="center" textRotation="0" wrapText="false" indent="0" shrinkToFit="false"/>
      <protection locked="false" hidden="false"/>
    </xf>
    <xf numFmtId="164" fontId="47" fillId="27" borderId="19" xfId="0" applyFont="true" applyBorder="true" applyAlignment="true" applyProtection="true">
      <alignment horizontal="center" vertical="center" textRotation="0" wrapText="false" indent="0" shrinkToFit="false"/>
      <protection locked="true" hidden="false"/>
    </xf>
    <xf numFmtId="164" fontId="23" fillId="0" borderId="30" xfId="0" applyFont="true" applyBorder="true" applyAlignment="true" applyProtection="true">
      <alignment horizontal="left" vertical="bottom" textRotation="0" wrapText="false" indent="0" shrinkToFit="false"/>
      <protection locked="true" hidden="false"/>
    </xf>
    <xf numFmtId="167" fontId="46" fillId="0" borderId="0" xfId="0" applyFont="true" applyBorder="false" applyAlignment="true" applyProtection="true">
      <alignment horizontal="center" vertical="center" textRotation="0" wrapText="false" indent="0" shrinkToFit="false"/>
      <protection locked="true" hidden="false"/>
    </xf>
    <xf numFmtId="164" fontId="23" fillId="27" borderId="15" xfId="0" applyFont="true" applyBorder="true" applyAlignment="true" applyProtection="true">
      <alignment horizontal="center" vertical="center" textRotation="0" wrapText="false" indent="0" shrinkToFit="false"/>
      <protection locked="true" hidden="false"/>
    </xf>
    <xf numFmtId="164" fontId="23" fillId="0" borderId="1" xfId="0" applyFont="true" applyBorder="true" applyAlignment="true" applyProtection="true">
      <alignment horizontal="left" vertical="center" textRotation="0" wrapText="false" indent="0" shrinkToFit="false"/>
      <protection locked="true" hidden="false"/>
    </xf>
    <xf numFmtId="164" fontId="47" fillId="0" borderId="1" xfId="0" applyFont="true" applyBorder="true" applyAlignment="true" applyProtection="true">
      <alignment horizontal="center" vertical="center" textRotation="0" wrapText="false" indent="0" shrinkToFit="false"/>
      <protection locked="false" hidden="false"/>
    </xf>
    <xf numFmtId="164" fontId="47" fillId="27" borderId="16" xfId="0" applyFont="true" applyBorder="true" applyAlignment="true" applyProtection="true">
      <alignment horizontal="center" vertical="center" textRotation="0" wrapText="false" indent="0" shrinkToFit="false"/>
      <protection locked="true" hidden="false"/>
    </xf>
    <xf numFmtId="164" fontId="32" fillId="0" borderId="0" xfId="0" applyFont="true" applyBorder="false" applyAlignment="true" applyProtection="true">
      <alignment horizontal="general" vertical="center" textRotation="90" wrapText="false" indent="0" shrinkToFit="false"/>
      <protection locked="true" hidden="false"/>
    </xf>
    <xf numFmtId="164" fontId="23" fillId="0" borderId="1" xfId="0" applyFont="true" applyBorder="true" applyAlignment="true" applyProtection="true">
      <alignment horizontal="left" vertical="center" textRotation="0" wrapText="true" indent="0" shrinkToFit="false"/>
      <protection locked="true" hidden="false"/>
    </xf>
    <xf numFmtId="164" fontId="47" fillId="0" borderId="16" xfId="0" applyFont="true" applyBorder="true" applyAlignment="true" applyProtection="true">
      <alignment horizontal="center" vertical="center" textRotation="0" wrapText="false" indent="0" shrinkToFit="false"/>
      <protection locked="false" hidden="false"/>
    </xf>
    <xf numFmtId="164" fontId="23" fillId="0" borderId="0" xfId="0" applyFont="true" applyBorder="false" applyAlignment="true" applyProtection="true">
      <alignment horizontal="general" vertical="top" textRotation="90" wrapText="false" indent="0" shrinkToFit="false"/>
      <protection locked="true" hidden="false"/>
    </xf>
    <xf numFmtId="164" fontId="47" fillId="0" borderId="19" xfId="0" applyFont="true" applyBorder="true" applyAlignment="true" applyProtection="true">
      <alignment horizontal="center" vertical="center" textRotation="0" wrapText="false" indent="0" shrinkToFit="false"/>
      <protection locked="false" hidden="false"/>
    </xf>
    <xf numFmtId="164" fontId="32" fillId="0" borderId="7" xfId="0" applyFont="true" applyBorder="true" applyAlignment="true" applyProtection="true">
      <alignment horizontal="center" vertical="center" textRotation="0" wrapText="false" indent="0" shrinkToFit="false"/>
      <protection locked="true" hidden="false"/>
    </xf>
    <xf numFmtId="164" fontId="23" fillId="0" borderId="12" xfId="0" applyFont="true" applyBorder="true" applyAlignment="true" applyProtection="true">
      <alignment horizontal="left" vertical="center" textRotation="0" wrapText="false" indent="0" shrinkToFit="false"/>
      <protection locked="true" hidden="false"/>
    </xf>
    <xf numFmtId="167" fontId="23" fillId="0" borderId="20" xfId="0" applyFont="true" applyBorder="true" applyAlignment="true" applyProtection="true">
      <alignment horizontal="center" vertical="center" textRotation="0" wrapText="false" indent="0" shrinkToFit="false"/>
      <protection locked="true" hidden="false"/>
    </xf>
    <xf numFmtId="167" fontId="23" fillId="0" borderId="59" xfId="0" applyFont="true" applyBorder="true" applyAlignment="true" applyProtection="true">
      <alignment horizontal="center" vertical="center" textRotation="0" wrapText="false" indent="0" shrinkToFit="false"/>
      <protection locked="true" hidden="false"/>
    </xf>
    <xf numFmtId="167" fontId="23" fillId="0" borderId="47" xfId="0" applyFont="true" applyBorder="true" applyAlignment="false" applyProtection="true">
      <alignment horizontal="general" vertical="bottom" textRotation="0" wrapText="false" indent="0" shrinkToFit="false"/>
      <protection locked="true" hidden="false"/>
    </xf>
    <xf numFmtId="164" fontId="48" fillId="0" borderId="7" xfId="0" applyFont="true" applyBorder="true" applyAlignment="true" applyProtection="true">
      <alignment horizontal="center" vertical="center" textRotation="0" wrapText="false" indent="0" shrinkToFit="false"/>
      <protection locked="true" hidden="false"/>
    </xf>
    <xf numFmtId="164" fontId="23" fillId="0" borderId="15" xfId="0" applyFont="true" applyBorder="true" applyAlignment="true" applyProtection="true">
      <alignment horizontal="left" vertical="center" textRotation="0" wrapText="false" indent="0" shrinkToFit="false"/>
      <protection locked="true" hidden="false"/>
    </xf>
    <xf numFmtId="167" fontId="23" fillId="0" borderId="2" xfId="0" applyFont="true" applyBorder="true" applyAlignment="true" applyProtection="true">
      <alignment horizontal="center" vertical="center" textRotation="0" wrapText="false" indent="0" shrinkToFit="false"/>
      <protection locked="true" hidden="false"/>
    </xf>
    <xf numFmtId="164" fontId="23" fillId="0" borderId="7" xfId="0" applyFont="true" applyBorder="true" applyAlignment="true" applyProtection="true">
      <alignment horizontal="center" vertical="center" textRotation="0" wrapText="true" indent="0" shrinkToFit="false"/>
      <protection locked="true" hidden="false"/>
    </xf>
    <xf numFmtId="167" fontId="23" fillId="0" borderId="1" xfId="0" applyFont="true" applyBorder="true" applyAlignment="true" applyProtection="true">
      <alignment horizontal="center" vertical="center" textRotation="0" wrapText="false" indent="0" shrinkToFit="false"/>
      <protection locked="true" hidden="false"/>
    </xf>
    <xf numFmtId="167" fontId="23" fillId="0" borderId="3" xfId="0" applyFont="true" applyBorder="true" applyAlignment="true" applyProtection="true">
      <alignment horizontal="center" vertical="center" textRotation="0" wrapText="false" indent="0" shrinkToFit="false"/>
      <protection locked="true" hidden="false"/>
    </xf>
    <xf numFmtId="164" fontId="23" fillId="0" borderId="18" xfId="0" applyFont="true" applyBorder="true" applyAlignment="true" applyProtection="true">
      <alignment horizontal="left" vertical="center" textRotation="0" wrapText="false" indent="0" shrinkToFit="false"/>
      <protection locked="true" hidden="false"/>
    </xf>
    <xf numFmtId="167" fontId="23" fillId="0" borderId="64" xfId="0" applyFont="true" applyBorder="true" applyAlignment="true" applyProtection="true">
      <alignment horizontal="general" vertical="center" textRotation="0" wrapText="false" indent="0" shrinkToFit="false"/>
      <protection locked="true" hidden="false"/>
    </xf>
    <xf numFmtId="167" fontId="32" fillId="0" borderId="64" xfId="0" applyFont="true" applyBorder="true" applyAlignment="true" applyProtection="true">
      <alignment horizontal="general" vertical="center" textRotation="0" wrapText="false" indent="0" shrinkToFit="false"/>
      <protection locked="true" hidden="false"/>
    </xf>
    <xf numFmtId="167" fontId="32" fillId="0" borderId="65" xfId="0" applyFont="true" applyBorder="true" applyAlignment="true" applyProtection="true">
      <alignment horizontal="general" vertical="center" textRotation="0" wrapText="false" indent="0" shrinkToFit="false"/>
      <protection locked="true" hidden="false"/>
    </xf>
    <xf numFmtId="164" fontId="49" fillId="0" borderId="0" xfId="0" applyFont="true" applyBorder="false" applyAlignment="true" applyProtection="true">
      <alignment horizontal="general" vertical="bottom" textRotation="0" wrapText="false" indent="0" shrinkToFit="false"/>
      <protection locked="true" hidden="false"/>
    </xf>
    <xf numFmtId="164" fontId="50" fillId="27" borderId="35" xfId="0" applyFont="true" applyBorder="true" applyAlignment="true" applyProtection="true">
      <alignment horizontal="left" vertical="center" textRotation="0" wrapText="false" indent="0" shrinkToFit="false"/>
      <protection locked="true" hidden="false"/>
    </xf>
    <xf numFmtId="167" fontId="23" fillId="27" borderId="57" xfId="0" applyFont="true" applyBorder="true" applyAlignment="true" applyProtection="true">
      <alignment horizontal="right" vertical="center" textRotation="0" wrapText="false" indent="0" shrinkToFit="false"/>
      <protection locked="true" hidden="false"/>
    </xf>
    <xf numFmtId="164" fontId="23" fillId="17" borderId="35" xfId="0" applyFont="true" applyBorder="true" applyAlignment="true" applyProtection="true">
      <alignment horizontal="left" vertical="center" textRotation="0" wrapText="false" indent="0" shrinkToFit="false"/>
      <protection locked="true" hidden="false"/>
    </xf>
    <xf numFmtId="164" fontId="23" fillId="17" borderId="57" xfId="0" applyFont="true" applyBorder="true" applyAlignment="true" applyProtection="true">
      <alignment horizontal="right" vertical="center" textRotation="0" wrapText="false" indent="0" shrinkToFit="false"/>
      <protection locked="false" hidden="false"/>
    </xf>
    <xf numFmtId="164" fontId="29" fillId="0" borderId="12" xfId="0" applyFont="true" applyBorder="true" applyAlignment="true" applyProtection="true">
      <alignment horizontal="center" vertical="center" textRotation="0" wrapText="false" indent="0" shrinkToFit="false"/>
      <protection locked="true" hidden="false"/>
    </xf>
    <xf numFmtId="164" fontId="29" fillId="0" borderId="13" xfId="0" applyFont="true" applyBorder="true" applyAlignment="true" applyProtection="true">
      <alignment horizontal="center" vertical="center" textRotation="0" wrapText="false" indent="0" shrinkToFit="false"/>
      <protection locked="true" hidden="false"/>
    </xf>
    <xf numFmtId="167" fontId="29" fillId="0" borderId="14" xfId="0" applyFont="true" applyBorder="true" applyAlignment="true" applyProtection="true">
      <alignment horizontal="center" vertical="center" textRotation="0" wrapText="true" indent="0" shrinkToFit="false"/>
      <protection locked="true" hidden="false"/>
    </xf>
    <xf numFmtId="164" fontId="29" fillId="0" borderId="0" xfId="0" applyFont="true" applyBorder="false" applyAlignment="true" applyProtection="true">
      <alignment horizontal="general" vertical="center" textRotation="0" wrapText="false" indent="0" shrinkToFit="false"/>
      <protection locked="true" hidden="false"/>
    </xf>
    <xf numFmtId="167" fontId="23" fillId="0" borderId="0" xfId="0" applyFont="true" applyBorder="false" applyAlignment="true" applyProtection="true">
      <alignment horizontal="center" vertical="center" textRotation="0" wrapText="false" indent="0" shrinkToFit="false"/>
      <protection locked="true" hidden="false"/>
    </xf>
    <xf numFmtId="164" fontId="21" fillId="0" borderId="15" xfId="0" applyFont="true" applyBorder="true" applyAlignment="true" applyProtection="true">
      <alignment horizontal="center" vertical="center" textRotation="0" wrapText="false" indent="0" shrinkToFit="false"/>
      <protection locked="true" hidden="false"/>
    </xf>
    <xf numFmtId="166" fontId="21" fillId="0" borderId="16" xfId="23" applyFont="true" applyBorder="true" applyAlignment="true" applyProtection="false">
      <alignment horizontal="right" vertical="center" textRotation="0" wrapText="false" indent="0" shrinkToFit="false"/>
      <protection locked="true" hidden="false"/>
    </xf>
    <xf numFmtId="164" fontId="21" fillId="0" borderId="0" xfId="0" applyFont="true" applyBorder="false" applyAlignment="true" applyProtection="false">
      <alignment horizontal="general" vertical="bottom" textRotation="0" wrapText="false" indent="0" shrinkToFit="false"/>
      <protection locked="true" hidden="false"/>
    </xf>
    <xf numFmtId="166" fontId="21" fillId="0" borderId="16" xfId="23" applyFont="true" applyBorder="true" applyAlignment="true" applyProtection="false">
      <alignment horizontal="right" vertical="bottom" textRotation="0" wrapText="false" indent="0" shrinkToFit="false"/>
      <protection locked="true" hidden="false"/>
    </xf>
    <xf numFmtId="164" fontId="23" fillId="27" borderId="7" xfId="0" applyFont="true" applyBorder="true" applyAlignment="true" applyProtection="true">
      <alignment horizontal="left" vertical="bottom" textRotation="0" wrapText="false" indent="0" shrinkToFit="false"/>
      <protection locked="true" hidden="false"/>
    </xf>
    <xf numFmtId="176" fontId="23" fillId="27" borderId="7" xfId="20" applyFont="true" applyBorder="true" applyAlignment="true" applyProtection="false">
      <alignment horizontal="right" vertical="center" textRotation="0" wrapText="false" indent="0" shrinkToFit="false"/>
      <protection locked="true" hidden="false"/>
    </xf>
    <xf numFmtId="164" fontId="23" fillId="27" borderId="5" xfId="0" applyFont="true" applyBorder="true" applyAlignment="true" applyProtection="true">
      <alignment horizontal="left" vertical="bottom" textRotation="0" wrapText="false" indent="0" shrinkToFit="false"/>
      <protection locked="true" hidden="false"/>
    </xf>
    <xf numFmtId="176" fontId="23" fillId="27" borderId="5" xfId="20" applyFont="true" applyBorder="true" applyAlignment="true" applyProtection="false">
      <alignment horizontal="right" vertical="center" textRotation="0" wrapText="false" indent="0" shrinkToFit="false"/>
      <protection locked="true" hidden="false"/>
    </xf>
    <xf numFmtId="164" fontId="23" fillId="27" borderId="33" xfId="0" applyFont="true" applyBorder="true" applyAlignment="true" applyProtection="true">
      <alignment horizontal="left" vertical="bottom" textRotation="0" wrapText="false" indent="0" shrinkToFit="false"/>
      <protection locked="true" hidden="false"/>
    </xf>
    <xf numFmtId="166" fontId="23" fillId="27" borderId="33" xfId="23" applyFont="true" applyBorder="true" applyAlignment="true" applyProtection="false">
      <alignment horizontal="right" vertical="center" textRotation="0" wrapText="false" indent="0" shrinkToFit="false"/>
      <protection locked="true" hidden="false"/>
    </xf>
    <xf numFmtId="164" fontId="21" fillId="0" borderId="18" xfId="0" applyFont="true" applyBorder="true" applyAlignment="true" applyProtection="true">
      <alignment horizontal="center" vertical="center" textRotation="0" wrapText="false" indent="0" shrinkToFit="false"/>
      <protection locked="true" hidden="false"/>
    </xf>
    <xf numFmtId="164" fontId="21" fillId="0" borderId="23" xfId="0" applyFont="true" applyBorder="true" applyAlignment="true" applyProtection="false">
      <alignment horizontal="left" vertical="bottom" textRotation="0" wrapText="false" indent="0" shrinkToFit="false"/>
      <protection locked="true" hidden="false"/>
    </xf>
    <xf numFmtId="166" fontId="21" fillId="0" borderId="19" xfId="23" applyFont="true" applyBorder="true" applyAlignment="true" applyProtection="false">
      <alignment horizontal="right" vertical="bottom" textRotation="0" wrapText="false" indent="0" shrinkToFit="false"/>
      <protection locked="true" hidden="false"/>
    </xf>
    <xf numFmtId="164" fontId="23" fillId="27" borderId="6" xfId="0" applyFont="true" applyBorder="true" applyAlignment="true" applyProtection="true">
      <alignment horizontal="left" vertical="bottom" textRotation="0" wrapText="false" indent="0" shrinkToFit="false"/>
      <protection locked="true" hidden="false"/>
    </xf>
    <xf numFmtId="176" fontId="23" fillId="27" borderId="6" xfId="20" applyFont="true" applyBorder="true" applyAlignment="true" applyProtection="false">
      <alignment horizontal="right" vertical="center" textRotation="0" wrapText="false" indent="0" shrinkToFit="false"/>
      <protection locked="true" hidden="false"/>
    </xf>
    <xf numFmtId="164" fontId="23" fillId="0" borderId="34" xfId="0" applyFont="true" applyBorder="true" applyAlignment="true" applyProtection="true">
      <alignment horizontal="left" vertical="center" textRotation="0" wrapText="false" indent="0" shrinkToFit="false"/>
      <protection locked="true" hidden="false"/>
    </xf>
    <xf numFmtId="167" fontId="23" fillId="0" borderId="0" xfId="0" applyFont="true" applyBorder="false" applyAlignment="true" applyProtection="true">
      <alignment horizontal="general" vertical="center" textRotation="0" wrapText="false" indent="0" shrinkToFit="false"/>
      <protection locked="true" hidden="false"/>
    </xf>
    <xf numFmtId="167" fontId="32" fillId="0" borderId="0" xfId="0" applyFont="true" applyBorder="false" applyAlignment="true" applyProtection="true">
      <alignment horizontal="general" vertical="center" textRotation="0" wrapText="false" indent="0" shrinkToFit="false"/>
      <protection locked="true" hidden="false"/>
    </xf>
    <xf numFmtId="164" fontId="52" fillId="0" borderId="0" xfId="0" applyFont="true" applyBorder="false" applyAlignment="true" applyProtection="true">
      <alignment horizontal="right" vertical="bottom" textRotation="0" wrapText="false" indent="0" shrinkToFit="false"/>
      <protection locked="true" hidden="false"/>
    </xf>
    <xf numFmtId="164" fontId="23" fillId="0" borderId="0" xfId="0" applyFont="true" applyBorder="false" applyAlignment="true" applyProtection="true">
      <alignment horizontal="center" vertical="center" textRotation="90" wrapText="true" indent="0" shrinkToFit="false"/>
      <protection locked="true" hidden="false"/>
    </xf>
    <xf numFmtId="164" fontId="53" fillId="0" borderId="0" xfId="0" applyFont="true" applyBorder="false" applyAlignment="false" applyProtection="true">
      <alignment horizontal="general" vertical="bottom" textRotation="0" wrapText="false" indent="0" shrinkToFit="false"/>
      <protection locked="true" hidden="false"/>
    </xf>
    <xf numFmtId="164" fontId="23" fillId="0" borderId="7" xfId="0" applyFont="true" applyBorder="true" applyAlignment="true" applyProtection="true">
      <alignment horizontal="center" vertical="center" textRotation="0" wrapText="true" indent="0" shrinkToFit="false"/>
      <protection locked="true" hidden="false"/>
    </xf>
    <xf numFmtId="164" fontId="23" fillId="0" borderId="7" xfId="0" applyFont="true" applyBorder="true" applyAlignment="true" applyProtection="true">
      <alignment horizontal="left" vertical="top" textRotation="0" wrapText="false" indent="0" shrinkToFit="false"/>
      <protection locked="false" hidden="false"/>
    </xf>
    <xf numFmtId="164" fontId="23" fillId="0" borderId="0" xfId="0" applyFont="true" applyBorder="false" applyAlignment="true" applyProtection="true">
      <alignment horizontal="left" vertical="center" textRotation="0" wrapText="false" indent="0" shrinkToFit="false"/>
      <protection locked="true" hidden="false"/>
    </xf>
    <xf numFmtId="164" fontId="23" fillId="0"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false" applyProtection="true">
      <alignment horizontal="general" vertical="bottom" textRotation="0" wrapText="false" indent="0" shrinkToFit="false"/>
      <protection locked="true" hidden="false"/>
    </xf>
    <xf numFmtId="164" fontId="32" fillId="27" borderId="5" xfId="0" applyFont="true" applyBorder="true" applyAlignment="true" applyProtection="true">
      <alignment horizontal="center" vertical="center" textRotation="0" wrapText="false" indent="0" shrinkToFit="false"/>
      <protection locked="true" hidden="false"/>
    </xf>
    <xf numFmtId="164" fontId="23" fillId="27" borderId="18" xfId="0" applyFont="true" applyBorder="true" applyAlignment="true" applyProtection="true">
      <alignment horizontal="center" vertical="top" textRotation="0" wrapText="false" indent="0" shrinkToFit="false"/>
      <protection locked="false" hidden="false"/>
    </xf>
    <xf numFmtId="164" fontId="23" fillId="27" borderId="19" xfId="0" applyFont="true" applyBorder="true" applyAlignment="true" applyProtection="true">
      <alignment horizontal="center" vertical="top" textRotation="0" wrapText="false" indent="0" shrinkToFit="false"/>
      <protection locked="false" hidden="false"/>
    </xf>
    <xf numFmtId="164" fontId="23" fillId="0" borderId="24" xfId="0" applyFont="true" applyBorder="true" applyAlignment="true" applyProtection="true">
      <alignment horizontal="general" vertical="top" textRotation="0" wrapText="false" indent="0" shrinkToFit="false"/>
      <protection locked="true" hidden="false"/>
    </xf>
    <xf numFmtId="164" fontId="23" fillId="0" borderId="32" xfId="0" applyFont="true" applyBorder="true" applyAlignment="true" applyProtection="true">
      <alignment horizontal="general" vertical="top" textRotation="0" wrapText="false" indent="0" shrinkToFit="false"/>
      <protection locked="true" hidden="false"/>
    </xf>
    <xf numFmtId="164" fontId="52" fillId="0" borderId="25" xfId="0" applyFont="true" applyBorder="true" applyAlignment="true" applyProtection="true">
      <alignment horizontal="right"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true">
      <alignment horizontal="center" vertical="bottom" textRotation="0" wrapText="false" indent="0" shrinkToFit="false"/>
      <protection locked="true" hidden="false"/>
    </xf>
    <xf numFmtId="164" fontId="54" fillId="0" borderId="39" xfId="0" applyFont="true" applyBorder="true" applyAlignment="true" applyProtection="true">
      <alignment horizontal="center" vertical="center" textRotation="0" wrapText="false" indent="0" shrinkToFit="false"/>
      <protection locked="true" hidden="false"/>
    </xf>
    <xf numFmtId="164" fontId="55" fillId="0" borderId="40" xfId="0" applyFont="true" applyBorder="true" applyAlignment="true" applyProtection="true">
      <alignment horizontal="center" vertical="center" textRotation="0" wrapText="false" indent="0" shrinkToFit="false"/>
      <protection locked="true" hidden="false"/>
    </xf>
    <xf numFmtId="164" fontId="56" fillId="0" borderId="26" xfId="0" applyFont="true" applyBorder="true" applyAlignment="true" applyProtection="true">
      <alignment horizontal="center" vertical="center" textRotation="0" wrapText="false" indent="0" shrinkToFit="false"/>
      <protection locked="true" hidden="false"/>
    </xf>
    <xf numFmtId="164" fontId="56" fillId="0" borderId="0" xfId="0" applyFont="true" applyBorder="false" applyAlignment="true" applyProtection="true">
      <alignment horizontal="general" vertical="center" textRotation="0" wrapText="false" indent="0" shrinkToFit="false"/>
      <protection locked="true" hidden="false"/>
    </xf>
    <xf numFmtId="164" fontId="4" fillId="9" borderId="15" xfId="0" applyFont="true" applyBorder="true" applyAlignment="true" applyProtection="true">
      <alignment horizontal="left" vertical="center" textRotation="0" wrapText="false" indent="0" shrinkToFit="false"/>
      <protection locked="true" hidden="false"/>
    </xf>
    <xf numFmtId="164" fontId="0" fillId="0" borderId="1" xfId="0" applyFont="false" applyBorder="true" applyAlignment="true" applyProtection="true">
      <alignment horizontal="left" vertical="center" textRotation="0" wrapText="false" indent="0" shrinkToFit="false"/>
      <protection locked="fals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6" fontId="0" fillId="0" borderId="0" xfId="23"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true">
      <alignment horizontal="left" vertical="center" textRotation="0" wrapText="false" indent="0" shrinkToFit="false"/>
      <protection locked="true" hidden="false"/>
    </xf>
    <xf numFmtId="187" fontId="0" fillId="0" borderId="1" xfId="0" applyFont="false" applyBorder="true" applyAlignment="true" applyProtection="true">
      <alignment horizontal="center" vertical="center" textRotation="0" wrapText="false" indent="0" shrinkToFit="false"/>
      <protection locked="false" hidden="false"/>
    </xf>
    <xf numFmtId="164" fontId="0" fillId="0" borderId="30" xfId="0" applyFont="false" applyBorder="true" applyAlignment="false" applyProtection="true">
      <alignment horizontal="general" vertical="bottom" textRotation="0" wrapText="false" indent="0" shrinkToFit="false"/>
      <protection locked="true" hidden="false"/>
    </xf>
    <xf numFmtId="164" fontId="4" fillId="9" borderId="1" xfId="0" applyFont="true" applyBorder="true" applyAlignment="true" applyProtection="true">
      <alignment horizontal="left" vertical="center" textRotation="0" wrapText="false" indent="0" shrinkToFit="false"/>
      <protection locked="true" hidden="false"/>
    </xf>
    <xf numFmtId="164" fontId="0" fillId="0" borderId="1" xfId="0" applyFont="false" applyBorder="true" applyAlignment="true" applyProtection="true">
      <alignment horizontal="left" vertical="bottom" textRotation="0" wrapText="false" indent="0" shrinkToFit="false"/>
      <protection locked="false" hidden="false"/>
    </xf>
    <xf numFmtId="164" fontId="4" fillId="9" borderId="23" xfId="0" applyFont="true" applyBorder="true" applyAlignment="true" applyProtection="true">
      <alignment horizontal="center" vertical="center" textRotation="0" wrapText="true" indent="0" shrinkToFit="false"/>
      <protection locked="true" hidden="false"/>
    </xf>
    <xf numFmtId="164" fontId="0" fillId="0" borderId="4" xfId="0" applyFont="false" applyBorder="true" applyAlignment="true" applyProtection="true">
      <alignment horizontal="center" vertical="center" textRotation="0" wrapText="false" indent="0" shrinkToFit="false"/>
      <protection locked="false" hidden="false"/>
    </xf>
    <xf numFmtId="164" fontId="4" fillId="0" borderId="12" xfId="0" applyFont="true" applyBorder="true" applyAlignment="true" applyProtection="false">
      <alignment horizontal="center" vertical="bottom" textRotation="0" wrapText="false" indent="0" shrinkToFit="false"/>
      <protection locked="true" hidden="false"/>
    </xf>
    <xf numFmtId="164" fontId="4" fillId="0" borderId="14" xfId="0" applyFont="true" applyBorder="true" applyAlignment="true" applyProtection="false">
      <alignment horizontal="general" vertical="bottom" textRotation="0" wrapText="false" indent="0" shrinkToFit="false"/>
      <protection locked="true" hidden="false"/>
    </xf>
    <xf numFmtId="164" fontId="0" fillId="0" borderId="16" xfId="0" applyFont="false" applyBorder="true" applyAlignment="true" applyProtection="true">
      <alignment horizontal="general" vertical="center" textRotation="0" wrapText="false" indent="0" shrinkToFit="false"/>
      <protection locked="false" hidden="false"/>
    </xf>
    <xf numFmtId="164" fontId="57" fillId="13" borderId="15" xfId="0" applyFont="true" applyBorder="true" applyAlignment="true" applyProtection="true">
      <alignment horizontal="left" vertical="center" textRotation="0" wrapText="false" indent="0" shrinkToFit="false"/>
      <protection locked="true" hidden="false"/>
    </xf>
    <xf numFmtId="164" fontId="58" fillId="13" borderId="16" xfId="0" applyFont="true" applyBorder="true" applyAlignment="true" applyProtection="false">
      <alignment horizontal="center" vertical="bottom" textRotation="0" wrapText="false" indent="0" shrinkToFit="false"/>
      <protection locked="true" hidden="false"/>
    </xf>
    <xf numFmtId="164" fontId="57" fillId="13" borderId="18" xfId="0" applyFont="true" applyBorder="true" applyAlignment="true" applyProtection="true">
      <alignment horizontal="left" vertical="center" textRotation="0" wrapText="false" indent="0" shrinkToFit="false"/>
      <protection locked="true" hidden="false"/>
    </xf>
    <xf numFmtId="164" fontId="57" fillId="13" borderId="19" xfId="0" applyFont="true" applyBorder="tru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true">
      <alignment horizontal="center" vertical="center" textRotation="0" wrapText="false" indent="0" shrinkToFit="false"/>
      <protection locked="true" hidden="false"/>
    </xf>
    <xf numFmtId="164" fontId="4" fillId="0" borderId="1" xfId="0" applyFont="true" applyBorder="tru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true">
      <alignment horizontal="center" vertical="bottom" textRotation="0" wrapText="fals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78" fontId="4" fillId="0" borderId="1" xfId="0" applyFont="true" applyBorder="tru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right" vertical="center" textRotation="0" wrapText="false" indent="0" shrinkToFit="false"/>
      <protection locked="true" hidden="false"/>
    </xf>
    <xf numFmtId="164" fontId="0" fillId="0" borderId="0" xfId="0" applyFont="false" applyBorder="false" applyAlignment="true" applyProtection="true">
      <alignment horizontal="right" vertical="center"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78" fontId="4" fillId="0" borderId="0" xfId="0" applyFont="true" applyBorder="false" applyAlignment="true" applyProtection="false">
      <alignment horizontal="center" vertical="bottom" textRotation="0" wrapText="false" indent="0" shrinkToFit="false"/>
      <protection locked="true" hidden="false"/>
    </xf>
    <xf numFmtId="164" fontId="4" fillId="0" borderId="3" xfId="0" applyFont="true" applyBorder="true" applyAlignment="true" applyProtection="true">
      <alignment horizontal="right" vertical="center" textRotation="0" wrapText="false" indent="0" shrinkToFit="false"/>
      <protection locked="true" hidden="false"/>
    </xf>
    <xf numFmtId="164" fontId="0" fillId="0" borderId="46" xfId="0" applyFont="false" applyBorder="true" applyAlignment="true" applyProtection="true">
      <alignment horizontal="right" vertical="center" textRotation="0" wrapText="false" indent="0" shrinkToFit="false"/>
      <protection locked="true" hidden="false"/>
    </xf>
    <xf numFmtId="164" fontId="0" fillId="0" borderId="21" xfId="0" applyFont="false" applyBorder="true" applyAlignment="true" applyProtection="true">
      <alignment horizontal="right" vertical="center"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6" fillId="0" borderId="35" xfId="0" applyFont="true" applyBorder="true" applyAlignment="true" applyProtection="true">
      <alignment horizontal="center" vertical="top" textRotation="0" wrapText="false" indent="0" shrinkToFit="false"/>
      <protection locked="true" hidden="false"/>
    </xf>
    <xf numFmtId="164" fontId="56" fillId="0" borderId="41" xfId="0" applyFont="true" applyBorder="true" applyAlignment="true" applyProtection="true">
      <alignment horizontal="center" vertical="top" textRotation="0" wrapText="false" indent="0" shrinkToFit="false"/>
      <protection locked="true" hidden="false"/>
    </xf>
    <xf numFmtId="164" fontId="56" fillId="0" borderId="57" xfId="0" applyFont="true" applyBorder="true" applyAlignment="true" applyProtection="true">
      <alignment horizontal="center" vertical="top" textRotation="0" wrapText="false" indent="0" shrinkToFit="false"/>
      <protection locked="true" hidden="false"/>
    </xf>
    <xf numFmtId="164" fontId="59" fillId="0" borderId="32" xfId="0" applyFont="true" applyBorder="true" applyAlignment="true" applyProtection="false">
      <alignment horizontal="center" vertical="center" textRotation="0" wrapText="false" indent="0" shrinkToFit="false"/>
      <protection locked="true" hidden="false"/>
    </xf>
    <xf numFmtId="164" fontId="60" fillId="0" borderId="32" xfId="0" applyFont="true" applyBorder="true" applyAlignment="true" applyProtection="false">
      <alignment horizontal="general" vertical="center" textRotation="0" wrapText="false" indent="0" shrinkToFit="false"/>
      <protection locked="true" hidden="false"/>
    </xf>
    <xf numFmtId="164" fontId="61" fillId="0" borderId="32" xfId="0" applyFont="true" applyBorder="true" applyAlignment="true" applyProtection="false">
      <alignment horizontal="center" vertical="center" textRotation="0" wrapText="false" indent="0" shrinkToFit="false"/>
      <protection locked="true" hidden="false"/>
    </xf>
    <xf numFmtId="165" fontId="61" fillId="0" borderId="32" xfId="20" applyFont="true" applyBorder="true" applyAlignment="true" applyProtection="false">
      <alignment horizontal="center" vertical="center" textRotation="0" wrapText="false" indent="0" shrinkToFit="false"/>
      <protection locked="true" hidden="false"/>
    </xf>
    <xf numFmtId="164" fontId="13" fillId="11" borderId="7" xfId="0" applyFont="true" applyBorder="true" applyAlignment="true" applyProtection="false">
      <alignment horizontal="center" vertical="bottom" textRotation="0" wrapText="false" indent="0" shrinkToFit="false"/>
      <protection locked="true" hidden="false"/>
    </xf>
    <xf numFmtId="164" fontId="13" fillId="11" borderId="35" xfId="0" applyFont="true" applyBorder="true" applyAlignment="true" applyProtection="false">
      <alignment horizontal="center" vertical="center" textRotation="0" wrapText="false" indent="0" shrinkToFit="false"/>
      <protection locked="true" hidden="false"/>
    </xf>
    <xf numFmtId="164" fontId="13" fillId="11" borderId="41" xfId="0" applyFont="true" applyBorder="true" applyAlignment="true" applyProtection="false">
      <alignment horizontal="center" vertical="center" textRotation="0" wrapText="false" indent="0" shrinkToFit="false"/>
      <protection locked="true" hidden="false"/>
    </xf>
    <xf numFmtId="164" fontId="13" fillId="11" borderId="41" xfId="0" applyFont="true" applyBorder="true" applyAlignment="true" applyProtection="false">
      <alignment horizontal="center" vertical="center" textRotation="0" wrapText="true" indent="0" shrinkToFit="false"/>
      <protection locked="true" hidden="false"/>
    </xf>
    <xf numFmtId="164" fontId="13" fillId="11" borderId="13" xfId="0" applyFont="true" applyBorder="true" applyAlignment="true" applyProtection="false">
      <alignment horizontal="center" vertical="bottom" textRotation="0" wrapText="false" indent="0" shrinkToFit="false"/>
      <protection locked="true" hidden="false"/>
    </xf>
    <xf numFmtId="165" fontId="13" fillId="11" borderId="41" xfId="20" applyFont="true" applyBorder="true" applyAlignment="true" applyProtection="false">
      <alignment horizontal="center" vertical="bottom" textRotation="0" wrapText="true" indent="0" shrinkToFit="false"/>
      <protection locked="true" hidden="false"/>
    </xf>
    <xf numFmtId="164" fontId="13" fillId="11" borderId="14" xfId="0" applyFont="true" applyBorder="true" applyAlignment="true" applyProtection="true">
      <alignment horizontal="center" vertical="bottom" textRotation="0" wrapText="false" indent="0" shrinkToFit="false"/>
      <protection locked="true" hidden="false"/>
    </xf>
    <xf numFmtId="164" fontId="13" fillId="11" borderId="47" xfId="0" applyFont="true" applyBorder="true" applyAlignment="true" applyProtection="false">
      <alignment horizontal="center" vertical="center" textRotation="0" wrapText="false" indent="0" shrinkToFit="false"/>
      <protection locked="true" hidden="false"/>
    </xf>
    <xf numFmtId="164" fontId="13" fillId="11" borderId="52" xfId="0" applyFont="true" applyBorder="true" applyAlignment="true" applyProtection="false">
      <alignment horizontal="center" vertical="center" textRotation="0" wrapText="false" indent="0" shrinkToFit="false"/>
      <protection locked="true" hidden="false"/>
    </xf>
    <xf numFmtId="164" fontId="13" fillId="11" borderId="7" xfId="0" applyFont="true" applyBorder="true" applyAlignment="true" applyProtection="false">
      <alignment horizontal="center" vertical="center" textRotation="90" wrapText="false" indent="0" shrinkToFit="false"/>
      <protection locked="true" hidden="false"/>
    </xf>
    <xf numFmtId="167" fontId="13" fillId="0" borderId="48" xfId="0" applyFont="true" applyBorder="true" applyAlignment="true" applyProtection="false">
      <alignment horizontal="general" vertical="bottom" textRotation="0" wrapText="true" indent="0" shrinkToFit="false"/>
      <protection locked="true" hidden="false"/>
    </xf>
    <xf numFmtId="164" fontId="13" fillId="0" borderId="13" xfId="0" applyFont="true" applyBorder="true" applyAlignment="true" applyProtection="false">
      <alignment horizontal="center" vertical="bottom" textRotation="0" wrapText="true" indent="0" shrinkToFit="false"/>
      <protection locked="true" hidden="false"/>
    </xf>
    <xf numFmtId="164" fontId="13" fillId="0" borderId="13" xfId="0" applyFont="true" applyBorder="true" applyAlignment="false" applyProtection="false">
      <alignment horizontal="general" vertical="bottom" textRotation="0" wrapText="false" indent="0" shrinkToFit="false"/>
      <protection locked="true" hidden="false"/>
    </xf>
    <xf numFmtId="164" fontId="13" fillId="0" borderId="13" xfId="0" applyFont="true" applyBorder="true" applyAlignment="false" applyProtection="true">
      <alignment horizontal="general" vertical="bottom" textRotation="0" wrapText="false" indent="0" shrinkToFit="false"/>
      <protection locked="false" hidden="false"/>
    </xf>
    <xf numFmtId="188" fontId="18" fillId="0" borderId="13" xfId="0" applyFont="true" applyBorder="true" applyAlignment="false" applyProtection="false">
      <alignment horizontal="general" vertical="bottom" textRotation="0" wrapText="false" indent="0" shrinkToFit="false"/>
      <protection locked="true" hidden="false"/>
    </xf>
    <xf numFmtId="165" fontId="13" fillId="0" borderId="13" xfId="20" applyFont="true" applyBorder="true" applyAlignment="false" applyProtection="false">
      <alignment horizontal="general" vertical="bottom" textRotation="0" wrapText="false" indent="0" shrinkToFit="false"/>
      <protection locked="true" hidden="false"/>
    </xf>
    <xf numFmtId="165" fontId="13" fillId="0" borderId="14" xfId="20" applyFont="true" applyBorder="true" applyAlignment="false" applyProtection="false">
      <alignment horizontal="general" vertical="bottom" textRotation="0" wrapText="false" indent="0" shrinkToFit="false"/>
      <protection locked="true" hidden="false"/>
    </xf>
    <xf numFmtId="167" fontId="13" fillId="0" borderId="21" xfId="0" applyFont="true" applyBorder="true" applyAlignment="true" applyProtection="false">
      <alignment horizontal="general" vertical="bottom" textRotation="0" wrapText="true" indent="0" shrinkToFit="false"/>
      <protection locked="true" hidden="false"/>
    </xf>
    <xf numFmtId="164" fontId="13" fillId="0" borderId="1" xfId="0" applyFont="true" applyBorder="true" applyAlignment="true" applyProtection="false">
      <alignment horizontal="center" vertical="bottom" textRotation="0" wrapText="true" indent="0" shrinkToFit="false"/>
      <protection locked="true" hidden="false"/>
    </xf>
    <xf numFmtId="164" fontId="13" fillId="0" borderId="1" xfId="0" applyFont="true" applyBorder="true" applyAlignment="false" applyProtection="true">
      <alignment horizontal="general" vertical="bottom" textRotation="0" wrapText="false" indent="0" shrinkToFit="false"/>
      <protection locked="false" hidden="false"/>
    </xf>
    <xf numFmtId="188" fontId="18" fillId="0" borderId="1" xfId="0" applyFont="true" applyBorder="true" applyAlignment="false" applyProtection="false">
      <alignment horizontal="general" vertical="bottom" textRotation="0" wrapText="false" indent="0" shrinkToFit="false"/>
      <protection locked="true" hidden="false"/>
    </xf>
    <xf numFmtId="165" fontId="13" fillId="0" borderId="1" xfId="20" applyFont="true" applyBorder="true" applyAlignment="false" applyProtection="false">
      <alignment horizontal="general" vertical="bottom" textRotation="0" wrapText="false" indent="0" shrinkToFit="false"/>
      <protection locked="true" hidden="false"/>
    </xf>
    <xf numFmtId="165" fontId="13" fillId="0" borderId="16" xfId="20" applyFont="true" applyBorder="true" applyAlignment="false" applyProtection="false">
      <alignment horizontal="general" vertical="bottom" textRotation="0" wrapText="false" indent="0" shrinkToFit="false"/>
      <protection locked="true" hidden="false"/>
    </xf>
    <xf numFmtId="167" fontId="13" fillId="0" borderId="53" xfId="0" applyFont="true" applyBorder="true" applyAlignment="true" applyProtection="false">
      <alignment horizontal="general" vertical="bottom" textRotation="0" wrapText="true" indent="0" shrinkToFit="false"/>
      <protection locked="true" hidden="false"/>
    </xf>
    <xf numFmtId="164" fontId="13" fillId="0" borderId="47" xfId="0" applyFont="true" applyBorder="true" applyAlignment="true" applyProtection="false">
      <alignment horizontal="center" vertical="bottom" textRotation="0" wrapText="true" indent="0" shrinkToFit="false"/>
      <protection locked="true" hidden="false"/>
    </xf>
    <xf numFmtId="164" fontId="13" fillId="0" borderId="47" xfId="0" applyFont="true" applyBorder="true" applyAlignment="false" applyProtection="false">
      <alignment horizontal="general" vertical="bottom" textRotation="0" wrapText="false" indent="0" shrinkToFit="false"/>
      <protection locked="true" hidden="false"/>
    </xf>
    <xf numFmtId="164" fontId="13" fillId="0" borderId="47" xfId="0" applyFont="true" applyBorder="true" applyAlignment="false" applyProtection="true">
      <alignment horizontal="general" vertical="bottom" textRotation="0" wrapText="false" indent="0" shrinkToFit="false"/>
      <protection locked="false" hidden="false"/>
    </xf>
    <xf numFmtId="188" fontId="18" fillId="0" borderId="47" xfId="0" applyFont="true" applyBorder="true" applyAlignment="false" applyProtection="false">
      <alignment horizontal="general" vertical="bottom" textRotation="0" wrapText="false" indent="0" shrinkToFit="false"/>
      <protection locked="true" hidden="false"/>
    </xf>
    <xf numFmtId="165" fontId="13" fillId="0" borderId="47" xfId="20" applyFont="true" applyBorder="true" applyAlignment="false" applyProtection="false">
      <alignment horizontal="general" vertical="bottom" textRotation="0" wrapText="false" indent="0" shrinkToFit="false"/>
      <protection locked="true" hidden="false"/>
    </xf>
    <xf numFmtId="165" fontId="13" fillId="0" borderId="52" xfId="20" applyFont="true" applyBorder="true" applyAlignment="false" applyProtection="false">
      <alignment horizontal="general" vertical="bottom" textRotation="0" wrapText="false" indent="0" shrinkToFit="false"/>
      <protection locked="true" hidden="false"/>
    </xf>
    <xf numFmtId="164" fontId="13" fillId="11" borderId="7" xfId="0" applyFont="true" applyBorder="true" applyAlignment="true" applyProtection="false">
      <alignment horizontal="center" vertical="center" textRotation="90" wrapText="true" indent="0" shrinkToFit="false"/>
      <protection locked="true" hidden="false"/>
    </xf>
    <xf numFmtId="164" fontId="13" fillId="0" borderId="48" xfId="0" applyFont="true" applyBorder="true" applyAlignment="true" applyProtection="false">
      <alignment horizontal="general" vertical="bottom" textRotation="0" wrapText="true" indent="0" shrinkToFit="false"/>
      <protection locked="true" hidden="false"/>
    </xf>
    <xf numFmtId="164" fontId="13" fillId="0" borderId="21" xfId="0" applyFont="true" applyBorder="true" applyAlignment="true" applyProtection="false">
      <alignment horizontal="general" vertical="bottom" textRotation="0" wrapText="true" indent="0" shrinkToFit="false"/>
      <protection locked="true" hidden="false"/>
    </xf>
    <xf numFmtId="164" fontId="13" fillId="0" borderId="22" xfId="0" applyFont="true" applyBorder="true" applyAlignment="true" applyProtection="false">
      <alignment horizontal="general" vertical="bottom" textRotation="0" wrapText="true" indent="0" shrinkToFit="false"/>
      <protection locked="true" hidden="false"/>
    </xf>
    <xf numFmtId="164" fontId="13" fillId="0" borderId="23" xfId="0" applyFont="true" applyBorder="true" applyAlignment="true" applyProtection="false">
      <alignment horizontal="center" vertical="bottom" textRotation="0" wrapText="true" indent="0" shrinkToFit="false"/>
      <protection locked="true" hidden="false"/>
    </xf>
    <xf numFmtId="164" fontId="13" fillId="0" borderId="23" xfId="0" applyFont="true" applyBorder="true" applyAlignment="false" applyProtection="false">
      <alignment horizontal="general" vertical="bottom" textRotation="0" wrapText="false" indent="0" shrinkToFit="false"/>
      <protection locked="true" hidden="false"/>
    </xf>
    <xf numFmtId="164" fontId="13" fillId="0" borderId="23" xfId="0" applyFont="true" applyBorder="true" applyAlignment="false" applyProtection="true">
      <alignment horizontal="general" vertical="bottom" textRotation="0" wrapText="false" indent="0" shrinkToFit="false"/>
      <protection locked="false" hidden="false"/>
    </xf>
    <xf numFmtId="188" fontId="18" fillId="0" borderId="23" xfId="0" applyFont="true" applyBorder="true" applyAlignment="false" applyProtection="false">
      <alignment horizontal="general" vertical="bottom" textRotation="0" wrapText="false" indent="0" shrinkToFit="false"/>
      <protection locked="true" hidden="false"/>
    </xf>
    <xf numFmtId="165" fontId="13" fillId="0" borderId="23" xfId="20" applyFont="true" applyBorder="true" applyAlignment="false" applyProtection="false">
      <alignment horizontal="general" vertical="bottom" textRotation="0" wrapText="false" indent="0" shrinkToFit="false"/>
      <protection locked="true" hidden="false"/>
    </xf>
    <xf numFmtId="165" fontId="13" fillId="0" borderId="19" xfId="20" applyFont="true" applyBorder="true" applyAlignment="false" applyProtection="false">
      <alignment horizontal="general" vertical="bottom" textRotation="0" wrapText="false" indent="0" shrinkToFit="false"/>
      <protection locked="true" hidden="false"/>
    </xf>
    <xf numFmtId="164" fontId="13" fillId="0" borderId="49" xfId="0" applyFont="true" applyBorder="true" applyAlignment="true" applyProtection="false">
      <alignment horizontal="general" vertical="bottom" textRotation="0" wrapText="true" indent="0" shrinkToFit="false"/>
      <protection locked="true" hidden="false"/>
    </xf>
    <xf numFmtId="164" fontId="13" fillId="0" borderId="20" xfId="0" applyFont="true" applyBorder="true" applyAlignment="true" applyProtection="false">
      <alignment horizontal="center" vertical="bottom" textRotation="0" wrapText="true" indent="0" shrinkToFit="false"/>
      <protection locked="true" hidden="false"/>
    </xf>
    <xf numFmtId="164" fontId="13" fillId="0" borderId="20" xfId="0" applyFont="true" applyBorder="true" applyAlignment="false" applyProtection="false">
      <alignment horizontal="general" vertical="bottom" textRotation="0" wrapText="false" indent="0" shrinkToFit="false"/>
      <protection locked="true" hidden="false"/>
    </xf>
    <xf numFmtId="164" fontId="13" fillId="0" borderId="20" xfId="0" applyFont="true" applyBorder="true" applyAlignment="false" applyProtection="true">
      <alignment horizontal="general" vertical="bottom" textRotation="0" wrapText="false" indent="0" shrinkToFit="false"/>
      <protection locked="false" hidden="false"/>
    </xf>
    <xf numFmtId="188" fontId="18" fillId="0" borderId="20" xfId="0" applyFont="true" applyBorder="true" applyAlignment="false" applyProtection="false">
      <alignment horizontal="general" vertical="bottom" textRotation="0" wrapText="false" indent="0" shrinkToFit="false"/>
      <protection locked="true" hidden="false"/>
    </xf>
    <xf numFmtId="165" fontId="13" fillId="0" borderId="20" xfId="20" applyFont="true" applyBorder="true" applyAlignment="false" applyProtection="false">
      <alignment horizontal="general" vertical="bottom" textRotation="0" wrapText="false" indent="0" shrinkToFit="false"/>
      <protection locked="true" hidden="false"/>
    </xf>
    <xf numFmtId="165" fontId="13" fillId="0" borderId="50" xfId="20" applyFont="true" applyBorder="true" applyAlignment="false" applyProtection="false">
      <alignment horizontal="general" vertical="bottom" textRotation="0" wrapText="false" indent="0" shrinkToFit="false"/>
      <protection locked="true" hidden="false"/>
    </xf>
    <xf numFmtId="164" fontId="13" fillId="0" borderId="66" xfId="0" applyFont="true" applyBorder="true" applyAlignment="true" applyProtection="false">
      <alignment horizontal="general" vertical="bottom" textRotation="0" wrapText="true" indent="0" shrinkToFit="false"/>
      <protection locked="true" hidden="false"/>
    </xf>
    <xf numFmtId="164" fontId="13" fillId="0" borderId="59" xfId="0" applyFont="true" applyBorder="true" applyAlignment="true" applyProtection="false">
      <alignment horizontal="center" vertical="bottom" textRotation="0" wrapText="true" indent="0" shrinkToFit="false"/>
      <protection locked="true" hidden="false"/>
    </xf>
    <xf numFmtId="164" fontId="13" fillId="0" borderId="59" xfId="0" applyFont="true" applyBorder="true" applyAlignment="false" applyProtection="false">
      <alignment horizontal="general" vertical="bottom" textRotation="0" wrapText="false" indent="0" shrinkToFit="false"/>
      <protection locked="true" hidden="false"/>
    </xf>
    <xf numFmtId="165" fontId="13" fillId="0" borderId="59" xfId="20" applyFont="true" applyBorder="true" applyAlignment="false" applyProtection="false">
      <alignment horizontal="general" vertical="bottom" textRotation="0" wrapText="false" indent="0" shrinkToFit="false"/>
      <protection locked="true" hidden="false"/>
    </xf>
    <xf numFmtId="164" fontId="13" fillId="11" borderId="7" xfId="0" applyFont="true" applyBorder="true" applyAlignment="true" applyProtection="false">
      <alignment horizontal="left" vertical="center" textRotation="0" wrapText="false" indent="0" shrinkToFit="false"/>
      <protection locked="true" hidden="false"/>
    </xf>
    <xf numFmtId="165" fontId="13" fillId="11" borderId="56" xfId="20" applyFont="true" applyBorder="true" applyAlignment="false" applyProtection="false">
      <alignment horizontal="general" vertical="bottom" textRotation="0" wrapText="false" indent="0" shrinkToFit="false"/>
      <protection locked="true" hidden="false"/>
    </xf>
    <xf numFmtId="165" fontId="13" fillId="11" borderId="64" xfId="20" applyFont="true" applyBorder="true" applyAlignment="false" applyProtection="false">
      <alignment horizontal="general" vertical="bottom" textRotation="0" wrapText="false" indent="0" shrinkToFit="false"/>
      <protection locked="true" hidden="false"/>
    </xf>
    <xf numFmtId="165" fontId="13" fillId="11" borderId="36" xfId="20" applyFont="true" applyBorder="true" applyAlignment="false" applyProtection="false">
      <alignment horizontal="general" vertical="bottom" textRotation="0" wrapText="false" indent="0" shrinkToFit="false"/>
      <protection locked="true" hidden="false"/>
    </xf>
    <xf numFmtId="164" fontId="37" fillId="0" borderId="0" xfId="0" applyFont="true" applyBorder="false" applyAlignment="true" applyProtection="false">
      <alignment horizontal="general" vertical="center" textRotation="0" wrapText="false" indent="0" shrinkToFit="false"/>
      <protection locked="true" hidden="false"/>
    </xf>
    <xf numFmtId="165" fontId="13" fillId="11" borderId="56" xfId="20" applyFont="true" applyBorder="true" applyAlignment="true" applyProtection="false">
      <alignment horizontal="center" vertical="bottom" textRotation="0" wrapText="true" indent="0" shrinkToFit="false"/>
      <protection locked="true" hidden="false"/>
    </xf>
    <xf numFmtId="165" fontId="13" fillId="11" borderId="64" xfId="20" applyFont="true" applyBorder="true" applyAlignment="true" applyProtection="false">
      <alignment horizontal="center" vertical="bottom" textRotation="0" wrapText="true" indent="0" shrinkToFit="false"/>
      <protection locked="true" hidden="false"/>
    </xf>
    <xf numFmtId="165" fontId="13" fillId="11" borderId="36" xfId="20" applyFont="true" applyBorder="true" applyAlignment="true" applyProtection="false">
      <alignment horizontal="center" vertical="bottom" textRotation="0" wrapText="true" indent="0" shrinkToFit="false"/>
      <protection locked="true" hidden="false"/>
    </xf>
    <xf numFmtId="164" fontId="23" fillId="0" borderId="60" xfId="0" applyFont="true" applyBorder="true" applyAlignment="true" applyProtection="true">
      <alignment horizontal="center" vertical="bottom" textRotation="0" wrapText="false" indent="0" shrinkToFit="false"/>
      <protection locked="true" hidden="false"/>
    </xf>
    <xf numFmtId="164" fontId="23" fillId="0" borderId="7" xfId="0" applyFont="true" applyBorder="true" applyAlignment="true" applyProtection="true">
      <alignment horizontal="center" vertical="bottom"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xf numFmtId="165" fontId="23" fillId="0" borderId="3" xfId="21" applyFont="true" applyBorder="true" applyAlignment="true" applyProtection="false">
      <alignment horizontal="center" vertical="bottom" textRotation="0" wrapText="true" indent="0" shrinkToFit="false"/>
      <protection locked="true" hidden="false"/>
    </xf>
    <xf numFmtId="164" fontId="19" fillId="17" borderId="53" xfId="22" applyFont="true" applyBorder="true" applyAlignment="true" applyProtection="true">
      <alignment horizontal="center" vertical="center" textRotation="0" wrapText="false" indent="0" shrinkToFit="false"/>
      <protection locked="true" hidden="false"/>
    </xf>
    <xf numFmtId="164" fontId="20" fillId="17" borderId="49" xfId="22" applyFont="true" applyBorder="true" applyAlignment="true" applyProtection="true">
      <alignment horizontal="center" vertical="center" textRotation="0" wrapText="false" indent="0" shrinkToFit="false"/>
      <protection locked="true" hidden="false"/>
    </xf>
    <xf numFmtId="170" fontId="23" fillId="0" borderId="0" xfId="0" applyFont="true" applyBorder="false" applyAlignment="true" applyProtection="true">
      <alignment horizontal="general" vertical="center" textRotation="0" wrapText="false" indent="0" shrinkToFit="false"/>
      <protection locked="true" hidden="false"/>
    </xf>
    <xf numFmtId="164" fontId="45" fillId="27" borderId="1" xfId="0" applyFont="true" applyBorder="true" applyAlignment="true" applyProtection="true">
      <alignment horizontal="center" vertical="center" textRotation="0" wrapText="false" indent="0" shrinkToFit="false"/>
      <protection locked="true" hidden="false"/>
    </xf>
    <xf numFmtId="164" fontId="32" fillId="27" borderId="1" xfId="0" applyFont="true" applyBorder="true" applyAlignment="true" applyProtection="true">
      <alignment horizontal="left" vertical="center" textRotation="0" wrapText="false" indent="0" shrinkToFit="false"/>
      <protection locked="true" hidden="false"/>
    </xf>
    <xf numFmtId="164" fontId="23" fillId="0" borderId="1" xfId="0" applyFont="true" applyBorder="true" applyAlignment="true" applyProtection="true">
      <alignment horizontal="left" vertical="center" textRotation="0" wrapText="false" indent="0" shrinkToFit="false"/>
      <protection locked="false" hidden="false"/>
    </xf>
    <xf numFmtId="170" fontId="23" fillId="0" borderId="0" xfId="0" applyFont="true" applyBorder="false" applyAlignment="true" applyProtection="true">
      <alignment horizontal="center" vertical="center" textRotation="0" wrapText="false" indent="0" shrinkToFit="false"/>
      <protection locked="true" hidden="false"/>
    </xf>
    <xf numFmtId="164" fontId="32" fillId="0" borderId="1" xfId="0" applyFont="true" applyBorder="true" applyAlignment="true" applyProtection="true">
      <alignment horizontal="left" vertical="center" textRotation="0" wrapText="false" indent="0" shrinkToFit="false"/>
      <protection locked="true" hidden="false"/>
    </xf>
    <xf numFmtId="164" fontId="32" fillId="0" borderId="1" xfId="0" applyFont="true" applyBorder="true" applyAlignment="true" applyProtection="true">
      <alignment horizontal="center"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70" fontId="32" fillId="0" borderId="0" xfId="0" applyFont="true" applyBorder="false" applyAlignment="true" applyProtection="true">
      <alignment horizontal="general" vertical="center" textRotation="0" wrapText="false" indent="0" shrinkToFit="false"/>
      <protection locked="true" hidden="false"/>
    </xf>
    <xf numFmtId="170" fontId="32" fillId="27" borderId="1" xfId="0" applyFont="true" applyBorder="true" applyAlignment="true" applyProtection="true">
      <alignment horizontal="general" vertical="center" textRotation="0" wrapText="false" indent="0" shrinkToFit="false"/>
      <protection locked="true" hidden="false"/>
    </xf>
    <xf numFmtId="164" fontId="23" fillId="0" borderId="1" xfId="0" applyFont="true" applyBorder="true" applyAlignment="false" applyProtection="true">
      <alignment horizontal="general" vertical="bottom" textRotation="0" wrapText="false" indent="0" shrinkToFit="false"/>
      <protection locked="true" hidden="false"/>
    </xf>
    <xf numFmtId="170" fontId="12" fillId="0" borderId="0" xfId="0" applyFont="true" applyBorder="false" applyAlignment="false" applyProtection="false">
      <alignment horizontal="general" vertical="bottom" textRotation="0" wrapText="false" indent="0" shrinkToFit="false"/>
      <protection locked="true" hidden="false"/>
    </xf>
    <xf numFmtId="170" fontId="23" fillId="0" borderId="0" xfId="0" applyFont="true" applyBorder="false" applyAlignment="false" applyProtection="false">
      <alignment horizontal="general" vertical="bottom" textRotation="0" wrapText="false" indent="0" shrinkToFit="false"/>
      <protection locked="true" hidden="false"/>
    </xf>
    <xf numFmtId="164" fontId="12" fillId="27" borderId="1" xfId="0" applyFont="true" applyBorder="true" applyAlignment="true" applyProtection="false">
      <alignment horizontal="center" vertical="center" textRotation="0" wrapText="false" indent="0" shrinkToFit="false"/>
      <protection locked="true" hidden="false"/>
    </xf>
    <xf numFmtId="170" fontId="12" fillId="27" borderId="1" xfId="0" applyFont="true" applyBorder="true" applyAlignment="true" applyProtection="false">
      <alignment horizontal="center" vertical="center" textRotation="0" wrapText="true" indent="0" shrinkToFit="false"/>
      <protection locked="true" hidden="false"/>
    </xf>
    <xf numFmtId="164" fontId="12" fillId="27" borderId="1" xfId="0" applyFont="true" applyBorder="true" applyAlignment="true" applyProtection="false">
      <alignment horizontal="center" vertical="center" textRotation="0" wrapText="true" indent="0" shrinkToFit="false"/>
      <protection locked="true" hidden="false"/>
    </xf>
    <xf numFmtId="164" fontId="12" fillId="8" borderId="1" xfId="0" applyFont="true" applyBorder="true" applyAlignment="true" applyProtection="false">
      <alignment horizontal="center" vertical="center" textRotation="0" wrapText="false" indent="0" shrinkToFit="false"/>
      <protection locked="true" hidden="false"/>
    </xf>
    <xf numFmtId="164" fontId="12" fillId="8" borderId="1" xfId="0" applyFont="true" applyBorder="true" applyAlignment="true" applyProtection="false">
      <alignment horizontal="general" vertical="center" textRotation="0" wrapText="false" indent="0" shrinkToFit="false"/>
      <protection locked="true" hidden="false"/>
    </xf>
    <xf numFmtId="170" fontId="12" fillId="8" borderId="1" xfId="0" applyFont="true" applyBorder="true" applyAlignment="true" applyProtection="false">
      <alignment horizontal="general" vertical="center" textRotation="0" wrapText="false" indent="0" shrinkToFit="false"/>
      <protection locked="true" hidden="false"/>
    </xf>
    <xf numFmtId="171" fontId="12" fillId="8" borderId="1" xfId="20" applyFont="true" applyBorder="true" applyAlignment="true" applyProtection="false">
      <alignment horizontal="general" vertical="center" textRotation="0" wrapText="false" indent="0" shrinkToFit="false"/>
      <protection locked="true" hidden="false"/>
    </xf>
    <xf numFmtId="170" fontId="12" fillId="0" borderId="1" xfId="0" applyFont="true" applyBorder="true" applyAlignment="true" applyProtection="false">
      <alignment horizontal="general" vertical="center" textRotation="0" wrapText="false" indent="0" shrinkToFit="false"/>
      <protection locked="true" hidden="false"/>
    </xf>
    <xf numFmtId="186" fontId="12" fillId="8" borderId="1" xfId="0" applyFont="true" applyBorder="true" applyAlignment="true" applyProtection="false">
      <alignment horizontal="general" vertical="center" textRotation="0" wrapText="false" indent="0" shrinkToFit="false"/>
      <protection locked="true" hidden="false"/>
    </xf>
    <xf numFmtId="186" fontId="0" fillId="0" borderId="0" xfId="0" applyFont="false" applyBorder="false" applyAlignment="false" applyProtection="false">
      <alignment horizontal="general" vertical="bottom" textRotation="0" wrapText="false" indent="0" shrinkToFit="false"/>
      <protection locked="true" hidden="false"/>
    </xf>
    <xf numFmtId="170" fontId="0" fillId="0" borderId="0" xfId="0" applyFont="false" applyBorder="false" applyAlignment="false" applyProtection="false">
      <alignment horizontal="general" vertical="bottom" textRotation="0" wrapText="false" indent="0" shrinkToFit="false"/>
      <protection locked="true" hidden="false"/>
    </xf>
    <xf numFmtId="164" fontId="12" fillId="8" borderId="47" xfId="0" applyFont="true" applyBorder="true" applyAlignment="true" applyProtection="false">
      <alignment horizontal="center" vertical="center" textRotation="0" wrapText="false" indent="0" shrinkToFit="false"/>
      <protection locked="true" hidden="false"/>
    </xf>
    <xf numFmtId="165" fontId="12" fillId="8" borderId="1" xfId="20" applyFont="true" applyBorder="true" applyAlignment="true" applyProtection="false">
      <alignment horizontal="center" vertical="center" textRotation="0" wrapText="false" indent="0" shrinkToFit="false"/>
      <protection locked="true" hidden="false"/>
    </xf>
    <xf numFmtId="165" fontId="12" fillId="8" borderId="59" xfId="20" applyFont="true" applyBorder="true" applyAlignment="true" applyProtection="false">
      <alignment horizontal="center" vertical="center" textRotation="0" wrapText="false" indent="0" shrinkToFit="false"/>
      <protection locked="true" hidden="false"/>
    </xf>
    <xf numFmtId="164" fontId="12" fillId="34" borderId="1" xfId="0" applyFont="true" applyBorder="true" applyAlignment="true" applyProtection="false">
      <alignment horizontal="center" vertical="center" textRotation="0" wrapText="false" indent="0" shrinkToFit="false"/>
      <protection locked="true" hidden="false"/>
    </xf>
    <xf numFmtId="164" fontId="12" fillId="34" borderId="1" xfId="0" applyFont="true" applyBorder="true" applyAlignment="true" applyProtection="false">
      <alignment horizontal="general" vertical="center" textRotation="0" wrapText="false" indent="0" shrinkToFit="false"/>
      <protection locked="true" hidden="false"/>
    </xf>
    <xf numFmtId="170" fontId="12" fillId="34" borderId="1" xfId="0" applyFont="true" applyBorder="true" applyAlignment="true" applyProtection="false">
      <alignment horizontal="general" vertical="center" textRotation="0" wrapText="false" indent="0" shrinkToFit="false"/>
      <protection locked="true" hidden="false"/>
    </xf>
    <xf numFmtId="171" fontId="12" fillId="34" borderId="1" xfId="20" applyFont="true" applyBorder="true" applyAlignment="true" applyProtection="false">
      <alignment horizontal="general" vertical="center" textRotation="0" wrapText="false" indent="0" shrinkToFit="false"/>
      <protection locked="true" hidden="false"/>
    </xf>
    <xf numFmtId="186" fontId="12" fillId="34" borderId="1" xfId="0" applyFont="true" applyBorder="true" applyAlignment="true" applyProtection="false">
      <alignment horizontal="general" vertical="center" textRotation="0" wrapText="false" indent="0" shrinkToFit="false"/>
      <protection locked="true" hidden="false"/>
    </xf>
    <xf numFmtId="164" fontId="12" fillId="34" borderId="47" xfId="0" applyFont="true" applyBorder="true" applyAlignment="true" applyProtection="false">
      <alignment horizontal="center" vertical="center" textRotation="0" wrapText="false" indent="0" shrinkToFit="false"/>
      <protection locked="true" hidden="false"/>
    </xf>
    <xf numFmtId="165" fontId="12" fillId="34" borderId="1" xfId="20" applyFont="true" applyBorder="true" applyAlignment="true" applyProtection="false">
      <alignment horizontal="center" vertical="center" textRotation="0" wrapText="false" indent="0" shrinkToFit="fals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xf numFmtId="170" fontId="12" fillId="27" borderId="20" xfId="0" applyFont="true" applyBorder="true" applyAlignment="true" applyProtection="false">
      <alignment horizontal="general" vertical="center" textRotation="0" wrapText="false" indent="0" shrinkToFit="false"/>
      <protection locked="true" hidden="false"/>
    </xf>
    <xf numFmtId="171" fontId="12" fillId="27" borderId="20" xfId="20" applyFont="true" applyBorder="true" applyAlignment="true" applyProtection="false">
      <alignment horizontal="general" vertical="center" textRotation="0" wrapText="false" indent="0" shrinkToFit="false"/>
      <protection locked="true" hidden="false"/>
    </xf>
    <xf numFmtId="171" fontId="12" fillId="27" borderId="1" xfId="20" applyFont="true" applyBorder="true" applyAlignment="true" applyProtection="false">
      <alignment horizontal="general" vertical="center" textRotation="0" wrapText="false" indent="0" shrinkToFit="false"/>
      <protection locked="true" hidden="false"/>
    </xf>
    <xf numFmtId="168" fontId="12" fillId="0" borderId="0" xfId="20" applyFont="true" applyBorder="false" applyAlignment="false" applyProtection="false">
      <alignment horizontal="general" vertical="bottom" textRotation="0" wrapText="false" indent="0" shrinkToFit="false"/>
      <protection locked="true" hidden="false"/>
    </xf>
    <xf numFmtId="164" fontId="63" fillId="0" borderId="0" xfId="0" applyFont="true" applyBorder="false" applyAlignment="false" applyProtection="false">
      <alignment horizontal="general" vertical="bottom" textRotation="0" wrapText="false" indent="0" shrinkToFit="false"/>
      <protection locked="true" hidden="false"/>
    </xf>
    <xf numFmtId="164" fontId="32" fillId="0" borderId="1" xfId="0" applyFont="true" applyBorder="true" applyAlignment="true" applyProtection="true">
      <alignment horizontal="center" vertical="center" textRotation="0" wrapText="false" indent="0" shrinkToFit="false"/>
      <protection locked="true" hidden="false"/>
    </xf>
    <xf numFmtId="164" fontId="23" fillId="0" borderId="1" xfId="0" applyFont="true" applyBorder="true" applyAlignment="true" applyProtection="true">
      <alignment horizontal="left" vertical="top" textRotation="0" wrapText="false" indent="0" shrinkToFit="false"/>
      <protection locked="false" hidden="false"/>
    </xf>
  </cellXfs>
  <cellStyles count="19">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Moeda" xfId="20" builtinId="53" customBuiltin="true"/>
    <cellStyle name="Moeda 2" xfId="21" builtinId="53" customBuiltin="true"/>
    <cellStyle name="Normal 2" xfId="22" builtinId="53" customBuiltin="true"/>
    <cellStyle name="Porcentagem" xfId="23" builtinId="53" customBuiltin="true"/>
    <cellStyle name="cf1" xfId="24" builtinId="53" customBuiltin="true"/>
    <cellStyle name="cf2" xfId="25" builtinId="53" customBuiltin="true"/>
    <cellStyle name="cf3" xfId="26" builtinId="53" customBuiltin="true"/>
    <cellStyle name="cf4" xfId="27" builtinId="53" customBuiltin="true"/>
    <cellStyle name="cf5" xfId="28" builtinId="53" customBuiltin="true"/>
    <cellStyle name="cf6" xfId="29" builtinId="53" customBuiltin="true"/>
    <cellStyle name="cf7" xfId="30" builtinId="53" customBuiltin="true"/>
    <cellStyle name="cf8" xfId="31" builtinId="53" customBuiltin="true"/>
    <cellStyle name="cf9" xfId="32" builtinId="53" customBuiltin="true"/>
  </cellStyles>
  <dxfs count="9">
    <dxf>
      <font>
        <name val="Calibri"/>
        <family val="0"/>
        <b val="1"/>
        <color rgb="FF9C0006"/>
      </font>
      <numFmt numFmtId="164" formatCode="General"/>
      <fill>
        <patternFill>
          <bgColor rgb="FFFFC7CE"/>
        </patternFill>
      </fill>
    </dxf>
    <dxf>
      <font>
        <name val="Calibri"/>
        <family val="0"/>
        <b val="1"/>
        <color rgb="FFFFFFFF"/>
      </font>
      <numFmt numFmtId="164" formatCode="General"/>
      <fill>
        <patternFill>
          <bgColor rgb="FFFF0000"/>
        </patternFill>
      </fill>
    </dxf>
    <dxf>
      <font>
        <name val="Calibri"/>
        <family val="0"/>
        <b val="1"/>
        <color rgb="FF006100"/>
      </font>
      <numFmt numFmtId="164" formatCode="General"/>
      <fill>
        <patternFill>
          <bgColor rgb="FFC6EFCE"/>
        </patternFill>
      </fill>
    </dxf>
    <dxf>
      <font>
        <name val="Calibri"/>
        <family val="0"/>
        <b val="1"/>
        <color rgb="FF000000"/>
      </font>
      <numFmt numFmtId="164" formatCode="General"/>
      <fill>
        <patternFill>
          <bgColor rgb="FFFF0000"/>
        </patternFill>
      </fill>
    </dxf>
    <dxf>
      <font>
        <name val="Calibri"/>
        <family val="0"/>
        <b val="1"/>
        <color rgb="FF000000"/>
      </font>
      <numFmt numFmtId="164" formatCode="General"/>
      <fill>
        <patternFill>
          <bgColor rgb="FF00B050"/>
        </patternFill>
      </fill>
    </dxf>
    <dxf>
      <font>
        <name val="Calibri"/>
        <family val="0"/>
        <b val="1"/>
        <color rgb="FF000000"/>
      </font>
      <numFmt numFmtId="164" formatCode="General"/>
      <fill>
        <patternFill>
          <bgColor rgb="FFFFFF00"/>
        </patternFill>
      </fill>
    </dxf>
    <dxf>
      <font>
        <name val="Calibri"/>
        <family val="0"/>
        <color rgb="FF006100"/>
      </font>
      <numFmt numFmtId="164" formatCode="General"/>
      <fill>
        <patternFill>
          <bgColor rgb="FFC6EFCE"/>
        </patternFill>
      </fill>
    </dxf>
    <dxf>
      <font>
        <name val="Calibri"/>
        <family val="0"/>
        <color rgb="FF9C6500"/>
      </font>
      <numFmt numFmtId="164" formatCode="General"/>
      <fill>
        <patternFill>
          <bgColor rgb="FFFFEB9C"/>
        </patternFill>
      </fill>
    </dxf>
    <dxf>
      <font>
        <name val="Calibri"/>
        <family val="0"/>
        <color rgb="FF9C0006"/>
      </font>
      <numFmt numFmtId="164" formatCode="General"/>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6100"/>
      <rgbColor rgb="FF000080"/>
      <rgbColor rgb="FF9C6500"/>
      <rgbColor rgb="FF800080"/>
      <rgbColor rgb="FF008080"/>
      <rgbColor rgb="FFC0C0C0"/>
      <rgbColor rgb="FF808080"/>
      <rgbColor rgb="FFB1A0C7"/>
      <rgbColor rgb="FF7030A0"/>
      <rgbColor rgb="FFF2F2F2"/>
      <rgbColor rgb="FFDCE6F1"/>
      <rgbColor rgb="FF660066"/>
      <rgbColor rgb="FFDA9694"/>
      <rgbColor rgb="FF0066CC"/>
      <rgbColor rgb="FFC5D9F1"/>
      <rgbColor rgb="FF000080"/>
      <rgbColor rgb="FFFF00FF"/>
      <rgbColor rgb="FFD9D9D9"/>
      <rgbColor rgb="FF00FFFF"/>
      <rgbColor rgb="FF800080"/>
      <rgbColor rgb="FF800000"/>
      <rgbColor rgb="FF008080"/>
      <rgbColor rgb="FF0000FF"/>
      <rgbColor rgb="FF00CCFF"/>
      <rgbColor rgb="FFE4DFEC"/>
      <rgbColor rgb="FFC6EFCE"/>
      <rgbColor rgb="FFFFEB9C"/>
      <rgbColor rgb="FFB8CCE4"/>
      <rgbColor rgb="FFE6B8B7"/>
      <rgbColor rgb="FFCCC0DA"/>
      <rgbColor rgb="FFFABF8F"/>
      <rgbColor rgb="FF538DD5"/>
      <rgbColor rgb="FF8DB4E2"/>
      <rgbColor rgb="FFBFBFBF"/>
      <rgbColor rgb="FFFCD5B4"/>
      <rgbColor rgb="FFFFC7CE"/>
      <rgbColor rgb="FFE26B0A"/>
      <rgbColor rgb="FF595959"/>
      <rgbColor rgb="FFA6A6A6"/>
      <rgbColor rgb="FF244062"/>
      <rgbColor rgb="FF00B050"/>
      <rgbColor rgb="FF0D0D0D"/>
      <rgbColor rgb="FF333300"/>
      <rgbColor rgb="FF974706"/>
      <rgbColor rgb="FF993366"/>
      <rgbColor rgb="FF333399"/>
      <rgbColor rgb="FF403151"/>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2.wmf"/>
</Relationships>
</file>

<file path=xl/drawings/_rels/drawing3.xml.rels><?xml version="1.0" encoding="UTF-8"?>
<Relationships xmlns="http://schemas.openxmlformats.org/package/2006/relationships"><Relationship Id="rId1" Type="http://schemas.openxmlformats.org/officeDocument/2006/relationships/image" Target="../media/image3.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85680</xdr:colOff>
      <xdr:row>0</xdr:row>
      <xdr:rowOff>66600</xdr:rowOff>
    </xdr:from>
    <xdr:to>
      <xdr:col>1</xdr:col>
      <xdr:colOff>38160</xdr:colOff>
      <xdr:row>2</xdr:row>
      <xdr:rowOff>10080</xdr:rowOff>
    </xdr:to>
    <xdr:pic>
      <xdr:nvPicPr>
        <xdr:cNvPr id="0" name="Imagem 1" descr=""/>
        <xdr:cNvPicPr/>
      </xdr:nvPicPr>
      <xdr:blipFill>
        <a:blip r:embed="rId1"/>
        <a:stretch/>
      </xdr:blipFill>
      <xdr:spPr>
        <a:xfrm>
          <a:off x="85680" y="66600"/>
          <a:ext cx="333360" cy="362520"/>
        </a:xfrm>
        <a:prstGeom prst="rect">
          <a:avLst/>
        </a:prstGeom>
        <a:ln w="2556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200160</xdr:colOff>
      <xdr:row>0</xdr:row>
      <xdr:rowOff>38160</xdr:rowOff>
    </xdr:from>
    <xdr:to>
      <xdr:col>0</xdr:col>
      <xdr:colOff>781200</xdr:colOff>
      <xdr:row>2</xdr:row>
      <xdr:rowOff>134280</xdr:rowOff>
    </xdr:to>
    <xdr:pic>
      <xdr:nvPicPr>
        <xdr:cNvPr id="1" name="Imagem 1" descr=""/>
        <xdr:cNvPicPr/>
      </xdr:nvPicPr>
      <xdr:blipFill>
        <a:blip r:embed="rId1"/>
        <a:stretch/>
      </xdr:blipFill>
      <xdr:spPr>
        <a:xfrm>
          <a:off x="200160" y="38160"/>
          <a:ext cx="581040" cy="524520"/>
        </a:xfrm>
        <a:prstGeom prst="rect">
          <a:avLst/>
        </a:prstGeom>
        <a:ln w="2556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85680</xdr:colOff>
      <xdr:row>0</xdr:row>
      <xdr:rowOff>66600</xdr:rowOff>
    </xdr:from>
    <xdr:to>
      <xdr:col>0</xdr:col>
      <xdr:colOff>371520</xdr:colOff>
      <xdr:row>2</xdr:row>
      <xdr:rowOff>18000</xdr:rowOff>
    </xdr:to>
    <xdr:pic>
      <xdr:nvPicPr>
        <xdr:cNvPr id="2" name="Imagem 1" descr=""/>
        <xdr:cNvPicPr/>
      </xdr:nvPicPr>
      <xdr:blipFill>
        <a:blip r:embed="rId1"/>
        <a:stretch/>
      </xdr:blipFill>
      <xdr:spPr>
        <a:xfrm>
          <a:off x="85680" y="66600"/>
          <a:ext cx="285840" cy="341640"/>
        </a:xfrm>
        <a:prstGeom prst="rect">
          <a:avLst/>
        </a:prstGeom>
        <a:ln w="25560">
          <a:noFill/>
        </a:ln>
      </xdr:spPr>
    </xdr:pic>
    <xdr:clientData/>
  </xdr:twoCellAnchor>
</xdr:wsDr>
</file>

<file path=xl/worksheets/_rels/sheet24.xml.rels><?xml version="1.0" encoding="UTF-8"?>
<Relationships xmlns="http://schemas.openxmlformats.org/package/2006/relationships"><Relationship Id="rId1" Type="http://schemas.openxmlformats.org/officeDocument/2006/relationships/drawing" Target="../drawings/drawing1.xml"/>
</Relationships>
</file>

<file path=xl/worksheets/_rels/sheet25.xml.rels><?xml version="1.0" encoding="UTF-8"?>
<Relationships xmlns="http://schemas.openxmlformats.org/package/2006/relationships"><Relationship Id="rId1" Type="http://schemas.openxmlformats.org/officeDocument/2006/relationships/drawing" Target="../drawings/drawing2.xml"/>
</Relationships>
</file>

<file path=xl/worksheets/_rels/sheet28.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J36"/>
  <sheetViews>
    <sheetView showFormulas="false" showGridLines="true" showRowColHeaders="true" showZeros="true" rightToLeft="false" tabSelected="true" showOutlineSymbols="true" defaultGridColor="true" view="normal" topLeftCell="A1" colorId="64" zoomScale="95" zoomScaleNormal="95" zoomScalePageLayoutView="100" workbookViewId="0">
      <selection pane="topLeft" activeCell="H21" activeCellId="0" sqref="H21"/>
    </sheetView>
  </sheetViews>
  <sheetFormatPr defaultRowHeight="15" zeroHeight="false" outlineLevelRow="0" outlineLevelCol="0"/>
  <cols>
    <col collapsed="false" customWidth="true" hidden="false" outlineLevel="0" max="1" min="1" style="1" width="4.99"/>
    <col collapsed="false" customWidth="true" hidden="false" outlineLevel="0" max="2" min="2" style="1" width="41.71"/>
    <col collapsed="false" customWidth="true" hidden="false" outlineLevel="0" max="3" min="3" style="2" width="14.31"/>
    <col collapsed="false" customWidth="true" hidden="true" outlineLevel="0" max="4" min="4" style="1" width="14.31"/>
    <col collapsed="false" customWidth="true" hidden="false" outlineLevel="0" max="5" min="5" style="1" width="10.66"/>
    <col collapsed="false" customWidth="true" hidden="false" outlineLevel="0" max="6" min="6" style="1" width="24.57"/>
    <col collapsed="false" customWidth="true" hidden="false" outlineLevel="0" max="7" min="7" style="1" width="22.55"/>
    <col collapsed="false" customWidth="true" hidden="false" outlineLevel="0" max="8" min="8" style="1" width="17.28"/>
    <col collapsed="false" customWidth="true" hidden="false" outlineLevel="0" max="9" min="9" style="1" width="10.93"/>
    <col collapsed="false" customWidth="true" hidden="false" outlineLevel="0" max="10" min="10" style="1" width="9.45"/>
    <col collapsed="false" customWidth="true" hidden="false" outlineLevel="0" max="1025" min="11" style="1" width="8.64"/>
  </cols>
  <sheetData>
    <row r="1" customFormat="false" ht="15" hidden="false" customHeight="true" outlineLevel="0" collapsed="false">
      <c r="A1" s="3" t="s">
        <v>0</v>
      </c>
      <c r="B1" s="3"/>
      <c r="C1" s="3"/>
      <c r="D1" s="3"/>
      <c r="E1" s="4" t="s">
        <v>1</v>
      </c>
      <c r="F1" s="4"/>
      <c r="G1" s="4"/>
    </row>
    <row r="2" customFormat="false" ht="15" hidden="false" customHeight="true" outlineLevel="0" collapsed="false">
      <c r="A2" s="3" t="s">
        <v>2</v>
      </c>
      <c r="B2" s="3"/>
      <c r="C2" s="3"/>
      <c r="D2" s="3"/>
      <c r="E2" s="4"/>
      <c r="F2" s="4"/>
      <c r="G2" s="4"/>
    </row>
    <row r="3" customFormat="false" ht="15" hidden="false" customHeight="true" outlineLevel="0" collapsed="false">
      <c r="A3" s="5" t="s">
        <v>3</v>
      </c>
      <c r="B3" s="5"/>
      <c r="C3" s="5"/>
      <c r="D3" s="5"/>
      <c r="E3" s="5"/>
      <c r="F3" s="5"/>
      <c r="G3" s="5"/>
    </row>
    <row r="5" customFormat="false" ht="18" hidden="false" customHeight="false" outlineLevel="0" collapsed="false">
      <c r="A5" s="6" t="s">
        <v>4</v>
      </c>
      <c r="B5" s="6"/>
      <c r="C5" s="6"/>
      <c r="D5" s="6"/>
      <c r="E5" s="6"/>
      <c r="F5" s="6"/>
      <c r="G5" s="6"/>
      <c r="H5" s="6"/>
    </row>
    <row r="6" customFormat="false" ht="15" hidden="false" customHeight="true" outlineLevel="0" collapsed="false">
      <c r="A6" s="7" t="s">
        <v>5</v>
      </c>
      <c r="B6" s="7"/>
      <c r="C6" s="7"/>
      <c r="D6" s="7"/>
      <c r="E6" s="7"/>
      <c r="F6" s="7"/>
      <c r="G6" s="7"/>
      <c r="H6" s="8"/>
    </row>
    <row r="7" customFormat="false" ht="15" hidden="false" customHeight="true" outlineLevel="0" collapsed="false">
      <c r="A7" s="7" t="s">
        <v>6</v>
      </c>
      <c r="B7" s="7"/>
      <c r="C7" s="9"/>
      <c r="D7" s="10"/>
      <c r="E7" s="7" t="s">
        <v>7</v>
      </c>
      <c r="F7" s="7"/>
      <c r="G7" s="7"/>
      <c r="H7" s="8"/>
    </row>
    <row r="8" customFormat="false" ht="15" hidden="false" customHeight="true" outlineLevel="0" collapsed="false">
      <c r="A8" s="7" t="s">
        <v>8</v>
      </c>
      <c r="B8" s="7"/>
      <c r="C8" s="7"/>
      <c r="D8" s="7"/>
      <c r="E8" s="7"/>
      <c r="F8" s="7"/>
      <c r="G8" s="7"/>
      <c r="H8" s="8"/>
    </row>
    <row r="9" customFormat="false" ht="15" hidden="false" customHeight="true" outlineLevel="0" collapsed="false">
      <c r="A9" s="7" t="s">
        <v>9</v>
      </c>
      <c r="B9" s="7"/>
      <c r="C9" s="7"/>
      <c r="D9" s="7"/>
      <c r="E9" s="7"/>
      <c r="F9" s="7"/>
      <c r="G9" s="7"/>
      <c r="H9" s="8"/>
    </row>
    <row r="10" customFormat="false" ht="15" hidden="false" customHeight="true" outlineLevel="0" collapsed="false">
      <c r="A10" s="7" t="s">
        <v>10</v>
      </c>
      <c r="B10" s="7"/>
      <c r="C10" s="7"/>
      <c r="D10" s="7"/>
      <c r="E10" s="7"/>
      <c r="F10" s="7"/>
      <c r="G10" s="7"/>
      <c r="H10" s="8"/>
    </row>
    <row r="11" s="1" customFormat="true" ht="15" hidden="false" customHeight="false" outlineLevel="0" collapsed="false">
      <c r="H11" s="11"/>
    </row>
    <row r="12" customFormat="false" ht="15" hidden="false" customHeight="true" outlineLevel="0" collapsed="false">
      <c r="A12" s="12" t="s">
        <v>11</v>
      </c>
      <c r="B12" s="12"/>
      <c r="C12" s="12"/>
      <c r="D12" s="12"/>
      <c r="E12" s="12"/>
      <c r="F12" s="12"/>
      <c r="G12" s="12"/>
      <c r="H12" s="13"/>
    </row>
    <row r="13" customFormat="false" ht="15" hidden="false" customHeight="true" outlineLevel="0" collapsed="false">
      <c r="A13" s="12" t="s">
        <v>12</v>
      </c>
      <c r="B13" s="12"/>
      <c r="C13" s="12"/>
      <c r="D13" s="12"/>
      <c r="E13" s="12"/>
      <c r="F13" s="12"/>
      <c r="G13" s="12"/>
      <c r="H13" s="13"/>
    </row>
    <row r="14" customFormat="false" ht="15" hidden="false" customHeight="true" outlineLevel="0" collapsed="false">
      <c r="A14" s="12" t="s">
        <v>13</v>
      </c>
      <c r="B14" s="12"/>
      <c r="C14" s="12"/>
      <c r="D14" s="13"/>
      <c r="E14" s="13"/>
      <c r="F14" s="13"/>
      <c r="G14" s="13"/>
      <c r="H14" s="13"/>
    </row>
    <row r="16" customFormat="false" ht="15" hidden="false" customHeight="false" outlineLevel="0" collapsed="false">
      <c r="A16" s="14" t="s">
        <v>14</v>
      </c>
      <c r="B16" s="14"/>
      <c r="C16" s="14"/>
      <c r="D16" s="14"/>
      <c r="E16" s="14"/>
      <c r="F16" s="14"/>
      <c r="G16" s="14"/>
    </row>
    <row r="17" customFormat="false" ht="27" hidden="false" customHeight="true" outlineLevel="0" collapsed="false">
      <c r="A17" s="15" t="s">
        <v>15</v>
      </c>
      <c r="B17" s="15"/>
      <c r="C17" s="16" t="s">
        <v>16</v>
      </c>
      <c r="D17" s="16"/>
      <c r="E17" s="16"/>
      <c r="F17" s="16"/>
      <c r="G17" s="16"/>
      <c r="J17" s="17"/>
    </row>
    <row r="18" customFormat="false" ht="15" hidden="false" customHeight="true" outlineLevel="0" collapsed="false">
      <c r="A18" s="15" t="s">
        <v>17</v>
      </c>
      <c r="B18" s="15"/>
      <c r="C18" s="18" t="s">
        <v>18</v>
      </c>
      <c r="D18" s="15"/>
      <c r="E18" s="16" t="s">
        <v>19</v>
      </c>
      <c r="F18" s="16"/>
      <c r="G18" s="16"/>
    </row>
    <row r="19" customFormat="false" ht="138" hidden="false" customHeight="true" outlineLevel="0" collapsed="false">
      <c r="A19" s="19" t="s">
        <v>20</v>
      </c>
      <c r="B19" s="19"/>
      <c r="C19" s="20" t="s">
        <v>21</v>
      </c>
      <c r="D19" s="21"/>
      <c r="E19" s="22"/>
      <c r="F19" s="22"/>
      <c r="G19" s="22"/>
    </row>
    <row r="20" customFormat="false" ht="36" hidden="false" customHeight="true" outlineLevel="0" collapsed="false">
      <c r="A20" s="15" t="s">
        <v>22</v>
      </c>
      <c r="B20" s="15"/>
      <c r="C20" s="23" t="s">
        <v>23</v>
      </c>
      <c r="D20" s="23"/>
      <c r="E20" s="23"/>
      <c r="F20" s="23"/>
      <c r="G20" s="23" t="n">
        <v>12</v>
      </c>
    </row>
    <row r="21" customFormat="false" ht="30" hidden="false" customHeight="true" outlineLevel="0" collapsed="false">
      <c r="A21" s="19" t="s">
        <v>24</v>
      </c>
      <c r="B21" s="19"/>
      <c r="C21" s="24" t="s">
        <v>25</v>
      </c>
      <c r="D21" s="24"/>
      <c r="E21" s="24"/>
      <c r="F21" s="24"/>
      <c r="G21" s="25"/>
    </row>
    <row r="22" customFormat="false" ht="30" hidden="false" customHeight="true" outlineLevel="0" collapsed="false">
      <c r="A22" s="19"/>
      <c r="B22" s="19"/>
      <c r="C22" s="24" t="s">
        <v>26</v>
      </c>
      <c r="D22" s="24"/>
      <c r="E22" s="24"/>
      <c r="F22" s="24"/>
      <c r="G22" s="25"/>
    </row>
    <row r="23" customFormat="false" ht="30" hidden="false" customHeight="true" outlineLevel="0" collapsed="false">
      <c r="A23" s="19"/>
      <c r="B23" s="19"/>
      <c r="C23" s="24" t="s">
        <v>27</v>
      </c>
      <c r="D23" s="24"/>
      <c r="E23" s="24"/>
      <c r="F23" s="24"/>
      <c r="G23" s="25"/>
    </row>
    <row r="24" customFormat="false" ht="15.75" hidden="false" customHeight="false" outlineLevel="0" collapsed="false">
      <c r="A24" s="26" t="s">
        <v>28</v>
      </c>
      <c r="B24" s="26"/>
      <c r="C24" s="26"/>
      <c r="D24" s="26"/>
      <c r="E24" s="26"/>
      <c r="F24" s="26"/>
      <c r="G24" s="26"/>
    </row>
    <row r="25" customFormat="false" ht="43.5" hidden="false" customHeight="true" outlineLevel="0" collapsed="false">
      <c r="A25" s="27" t="s">
        <v>29</v>
      </c>
      <c r="B25" s="27"/>
      <c r="C25" s="27"/>
      <c r="D25" s="27"/>
      <c r="E25" s="27"/>
      <c r="F25" s="27"/>
      <c r="G25" s="27"/>
    </row>
    <row r="26" customFormat="false" ht="37.5" hidden="false" customHeight="true" outlineLevel="0" collapsed="false">
      <c r="A26" s="28" t="s">
        <v>30</v>
      </c>
      <c r="B26" s="28"/>
      <c r="C26" s="28"/>
      <c r="D26" s="28"/>
      <c r="E26" s="28"/>
      <c r="F26" s="28"/>
      <c r="G26" s="28"/>
    </row>
    <row r="27" customFormat="false" ht="5.25" hidden="false" customHeight="true" outlineLevel="0" collapsed="false">
      <c r="A27" s="29"/>
      <c r="B27" s="29"/>
      <c r="C27" s="30"/>
      <c r="D27" s="29"/>
      <c r="E27" s="29"/>
      <c r="F27" s="29"/>
      <c r="G27" s="29"/>
    </row>
    <row r="28" customFormat="false" ht="15.75" hidden="false" customHeight="false" outlineLevel="0" collapsed="false">
      <c r="A28" s="31" t="s">
        <v>31</v>
      </c>
      <c r="B28" s="31"/>
      <c r="C28" s="31"/>
      <c r="D28" s="31"/>
      <c r="E28" s="31"/>
      <c r="F28" s="31"/>
      <c r="G28" s="31"/>
    </row>
    <row r="29" s="37" customFormat="true" ht="12.75" hidden="false" customHeight="false" outlineLevel="0" collapsed="false">
      <c r="A29" s="32" t="s">
        <v>32</v>
      </c>
      <c r="B29" s="33" t="s">
        <v>33</v>
      </c>
      <c r="C29" s="34" t="s">
        <v>34</v>
      </c>
      <c r="D29" s="35" t="s">
        <v>35</v>
      </c>
      <c r="E29" s="35" t="s">
        <v>36</v>
      </c>
      <c r="F29" s="35" t="s">
        <v>37</v>
      </c>
      <c r="G29" s="36" t="s">
        <v>38</v>
      </c>
      <c r="J29" s="38"/>
    </row>
    <row r="30" s="44" customFormat="true" ht="25.5" hidden="false" customHeight="false" outlineLevel="0" collapsed="false">
      <c r="A30" s="39" t="n">
        <v>1</v>
      </c>
      <c r="B30" s="40" t="s">
        <v>39</v>
      </c>
      <c r="C30" s="41" t="s">
        <v>40</v>
      </c>
      <c r="D30" s="41" t="n">
        <f aca="false">+'LOTE_I_-_Custo_M2'!D2</f>
        <v>1400</v>
      </c>
      <c r="E30" s="42" t="n">
        <f aca="false">+G20</f>
        <v>12</v>
      </c>
      <c r="F30" s="43" t="n">
        <f aca="false">+'LOTE_I_-_Custo_M2'!T57+'LOTE_I_-_Custo_M2'!T55</f>
        <v>50.57</v>
      </c>
      <c r="G30" s="43" t="n">
        <f aca="false">+F30*$E$30</f>
        <v>606.84</v>
      </c>
      <c r="J30" s="45"/>
    </row>
    <row r="31" customFormat="false" ht="15" hidden="false" customHeight="false" outlineLevel="0" collapsed="false">
      <c r="A31" s="46"/>
      <c r="B31" s="11"/>
      <c r="C31" s="47"/>
      <c r="D31" s="47"/>
      <c r="E31" s="47"/>
      <c r="F31" s="48"/>
      <c r="G31" s="49"/>
      <c r="H31" s="50"/>
    </row>
    <row r="32" s="29" customFormat="true" ht="9.75" hidden="false" customHeight="false" outlineLevel="0" collapsed="false">
      <c r="A32" s="51" t="s">
        <v>28</v>
      </c>
      <c r="B32" s="51"/>
      <c r="C32" s="51"/>
      <c r="D32" s="51"/>
      <c r="E32" s="51"/>
      <c r="F32" s="51"/>
      <c r="G32" s="51"/>
      <c r="H32" s="52"/>
    </row>
    <row r="33" s="29" customFormat="true" ht="9" hidden="false" customHeight="false" outlineLevel="0" collapsed="false">
      <c r="C33" s="30"/>
    </row>
    <row r="34" s="29" customFormat="true" ht="9" hidden="false" customHeight="false" outlineLevel="0" collapsed="false">
      <c r="C34" s="30"/>
    </row>
    <row r="35" s="29" customFormat="true" ht="12" hidden="false" customHeight="false" outlineLevel="0" collapsed="false">
      <c r="C35" s="53"/>
      <c r="D35" s="54"/>
      <c r="E35" s="54"/>
      <c r="F35" s="55" t="s">
        <v>41</v>
      </c>
      <c r="G35" s="55" t="s">
        <v>42</v>
      </c>
    </row>
    <row r="36" s="29" customFormat="true" ht="12" hidden="false" customHeight="false" outlineLevel="0" collapsed="false">
      <c r="C36" s="56" t="s">
        <v>43</v>
      </c>
      <c r="D36" s="56"/>
      <c r="E36" s="56"/>
      <c r="F36" s="57" t="n">
        <f aca="false">+F30</f>
        <v>50.57</v>
      </c>
      <c r="G36" s="57" t="n">
        <f aca="false">+G30</f>
        <v>606.84</v>
      </c>
    </row>
  </sheetData>
  <mergeCells count="28">
    <mergeCell ref="A1:C1"/>
    <mergeCell ref="E1:G2"/>
    <mergeCell ref="A2:C2"/>
    <mergeCell ref="A3:G3"/>
    <mergeCell ref="A5:H5"/>
    <mergeCell ref="A6:G6"/>
    <mergeCell ref="A7:B7"/>
    <mergeCell ref="E7:G7"/>
    <mergeCell ref="A8:G8"/>
    <mergeCell ref="A9:G9"/>
    <mergeCell ref="A10:G10"/>
    <mergeCell ref="A12:G12"/>
    <mergeCell ref="A13:G13"/>
    <mergeCell ref="A14:C14"/>
    <mergeCell ref="A16:G16"/>
    <mergeCell ref="C17:G17"/>
    <mergeCell ref="E18:G18"/>
    <mergeCell ref="E19:G19"/>
    <mergeCell ref="C20:F20"/>
    <mergeCell ref="C21:F21"/>
    <mergeCell ref="C22:F22"/>
    <mergeCell ref="C23:F23"/>
    <mergeCell ref="A24:G24"/>
    <mergeCell ref="A25:G25"/>
    <mergeCell ref="A26:G26"/>
    <mergeCell ref="A28:G28"/>
    <mergeCell ref="A32:G32"/>
    <mergeCell ref="C36:E36"/>
  </mergeCells>
  <printOptions headings="false" gridLines="false" gridLinesSet="true" horizontalCentered="false" verticalCentered="false"/>
  <pageMargins left="1.33888888888889" right="0.118055555555556" top="0.315277777777778" bottom="0.26875" header="0.315277777777778" footer="0.157638888888889"/>
  <pageSetup paperSize="9" scale="60" firstPageNumber="0" fitToWidth="1" fitToHeight="1" pageOrder="downThenOver" orientation="portrait" blackAndWhite="false" draft="false" cellComments="none" useFirstPageNumber="false" horizontalDpi="300" verticalDpi="300" copies="1"/>
  <headerFooter differentFirst="false" differentOddEven="false">
    <oddHeader/>
    <oddFooter>&amp;R&amp;8&amp;A</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G15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08"/>
    <col collapsed="false" customWidth="true" hidden="false" outlineLevel="0" max="2" min="2" style="44" width="54.54"/>
    <col collapsed="false" customWidth="true" hidden="false" outlineLevel="0" max="3" min="3" style="44" width="10.12"/>
    <col collapsed="false" customWidth="true" hidden="false" outlineLevel="0" max="4" min="4" style="44" width="16.87"/>
    <col collapsed="false" customWidth="true" hidden="false" outlineLevel="0" max="5" min="5" style="44" width="12.69"/>
    <col collapsed="false" customWidth="true" hidden="false" outlineLevel="0" max="1025" min="6" style="44" width="8.64"/>
  </cols>
  <sheetData>
    <row r="1" customFormat="false" ht="12.75" hidden="false" customHeight="false" outlineLevel="0" collapsed="false">
      <c r="A1" s="492" t="s">
        <v>374</v>
      </c>
      <c r="B1" s="492"/>
      <c r="C1" s="492"/>
      <c r="D1" s="492"/>
      <c r="E1" s="493"/>
      <c r="F1" s="493"/>
    </row>
    <row r="3" customFormat="false" ht="12.75" hidden="false" customHeight="false" outlineLevel="0" collapsed="false">
      <c r="A3" s="494" t="s">
        <v>375</v>
      </c>
      <c r="B3" s="494"/>
      <c r="C3" s="494"/>
      <c r="D3" s="494"/>
    </row>
    <row r="4" s="498" customFormat="true" ht="26.25" hidden="false" customHeight="true" outlineLevel="0" collapsed="false">
      <c r="A4" s="630" t="n">
        <v>1</v>
      </c>
      <c r="B4" s="631" t="s">
        <v>376</v>
      </c>
      <c r="C4" s="632" t="s">
        <v>576</v>
      </c>
      <c r="D4" s="632"/>
    </row>
    <row r="5" s="498" customFormat="true" ht="12.75" hidden="false" customHeight="false" outlineLevel="0" collapsed="false">
      <c r="A5" s="630" t="n">
        <v>2</v>
      </c>
      <c r="B5" s="631" t="s">
        <v>378</v>
      </c>
      <c r="C5" s="633" t="s">
        <v>574</v>
      </c>
      <c r="D5" s="633"/>
    </row>
    <row r="6" s="498" customFormat="true" ht="12.75" hidden="false" customHeight="false" outlineLevel="0" collapsed="false">
      <c r="A6" s="630" t="n">
        <v>3</v>
      </c>
      <c r="B6" s="631" t="s">
        <v>380</v>
      </c>
      <c r="C6" s="634" t="n">
        <f aca="false">+APRESENTACAO!G21</f>
        <v>0</v>
      </c>
      <c r="D6" s="634"/>
    </row>
    <row r="7" s="498" customFormat="true" ht="12.75" hidden="false" customHeight="true" outlineLevel="0" collapsed="false">
      <c r="A7" s="630" t="n">
        <v>4</v>
      </c>
      <c r="B7" s="631" t="s">
        <v>381</v>
      </c>
      <c r="C7" s="635" t="s">
        <v>382</v>
      </c>
      <c r="D7" s="635"/>
    </row>
    <row r="8" s="498" customFormat="true" ht="12.75" hidden="false" customHeight="false" outlineLevel="0" collapsed="false">
      <c r="A8" s="630" t="n">
        <v>5</v>
      </c>
      <c r="B8" s="631" t="s">
        <v>383</v>
      </c>
      <c r="C8" s="636" t="n">
        <v>43524</v>
      </c>
      <c r="D8" s="636"/>
    </row>
    <row r="9" customFormat="false" ht="12.75" hidden="false" customHeight="false" outlineLevel="0" collapsed="false">
      <c r="D9" s="623"/>
    </row>
    <row r="10" customFormat="false" ht="12.75" hidden="false" customHeight="false" outlineLevel="0" collapsed="false">
      <c r="A10" s="505" t="s">
        <v>384</v>
      </c>
      <c r="B10" s="505"/>
      <c r="C10" s="505"/>
      <c r="D10" s="505"/>
    </row>
    <row r="11" customFormat="false" ht="12.75" hidden="false" customHeight="false" outlineLevel="0" collapsed="false">
      <c r="A11" s="506" t="n">
        <v>1</v>
      </c>
      <c r="B11" s="507" t="s">
        <v>385</v>
      </c>
      <c r="C11" s="492" t="s">
        <v>386</v>
      </c>
      <c r="D11" s="508" t="s">
        <v>387</v>
      </c>
    </row>
    <row r="12" customFormat="false" ht="12.75" hidden="false" customHeight="false" outlineLevel="0" collapsed="false">
      <c r="A12" s="509" t="s">
        <v>15</v>
      </c>
      <c r="B12" s="509" t="s">
        <v>388</v>
      </c>
      <c r="C12" s="509"/>
      <c r="D12" s="510" t="n">
        <f aca="false">+C6</f>
        <v>0</v>
      </c>
    </row>
    <row r="13" customFormat="false" ht="12.75" hidden="false" customHeight="false" outlineLevel="0" collapsed="false">
      <c r="A13" s="509" t="s">
        <v>17</v>
      </c>
      <c r="B13" s="511" t="s">
        <v>389</v>
      </c>
      <c r="C13" s="512"/>
      <c r="D13" s="510"/>
      <c r="E13" s="513"/>
    </row>
    <row r="14" customFormat="false" ht="12.75" hidden="false" customHeight="false" outlineLevel="0" collapsed="false">
      <c r="A14" s="509" t="s">
        <v>20</v>
      </c>
      <c r="B14" s="511" t="s">
        <v>390</v>
      </c>
      <c r="C14" s="512" t="n">
        <v>0.4</v>
      </c>
      <c r="D14" s="510" t="n">
        <f aca="false">+C14*D12</f>
        <v>0</v>
      </c>
    </row>
    <row r="15" customFormat="false" ht="12.75" hidden="false" customHeight="false" outlineLevel="0" collapsed="false">
      <c r="A15" s="509" t="s">
        <v>22</v>
      </c>
      <c r="B15" s="509" t="s">
        <v>391</v>
      </c>
      <c r="C15" s="509"/>
      <c r="D15" s="510"/>
    </row>
    <row r="16" customFormat="false" ht="12.75" hidden="false" customHeight="false" outlineLevel="0" collapsed="false">
      <c r="A16" s="509" t="s">
        <v>392</v>
      </c>
      <c r="B16" s="509" t="s">
        <v>393</v>
      </c>
      <c r="C16" s="509"/>
      <c r="D16" s="510"/>
    </row>
    <row r="17" customFormat="false" ht="12.75" hidden="false" customHeight="false" outlineLevel="0" collapsed="false">
      <c r="A17" s="509" t="s">
        <v>394</v>
      </c>
      <c r="B17" s="509" t="s">
        <v>395</v>
      </c>
      <c r="C17" s="509"/>
      <c r="D17" s="510"/>
    </row>
    <row r="18" customFormat="false" ht="12.75" hidden="false" customHeight="false" outlineLevel="0" collapsed="false">
      <c r="A18" s="509" t="s">
        <v>396</v>
      </c>
      <c r="B18" s="509" t="s">
        <v>397</v>
      </c>
      <c r="C18" s="509"/>
      <c r="D18" s="510"/>
    </row>
    <row r="19" customFormat="false" ht="12.75" hidden="false" customHeight="false" outlineLevel="0" collapsed="false">
      <c r="A19" s="509" t="s">
        <v>398</v>
      </c>
      <c r="B19" s="509" t="s">
        <v>399</v>
      </c>
      <c r="C19" s="509"/>
      <c r="D19" s="514"/>
    </row>
    <row r="20" customFormat="false" ht="12.75" hidden="false" customHeight="false" outlineLevel="0" collapsed="false">
      <c r="A20" s="509" t="s">
        <v>400</v>
      </c>
      <c r="B20" s="511" t="s">
        <v>401</v>
      </c>
      <c r="C20" s="512"/>
      <c r="D20" s="510"/>
    </row>
    <row r="21" customFormat="false" ht="12.75" hidden="false" customHeight="false" outlineLevel="0" collapsed="false">
      <c r="A21" s="509" t="s">
        <v>402</v>
      </c>
      <c r="B21" s="509" t="s">
        <v>403</v>
      </c>
      <c r="C21" s="509"/>
      <c r="D21" s="515"/>
      <c r="F21" s="516"/>
    </row>
    <row r="22" customFormat="false" ht="12.75" hidden="false" customHeight="false" outlineLevel="0" collapsed="false">
      <c r="A22" s="509" t="s">
        <v>404</v>
      </c>
      <c r="B22" s="509" t="s">
        <v>405</v>
      </c>
      <c r="C22" s="509"/>
      <c r="D22" s="515"/>
    </row>
    <row r="23" customFormat="false" ht="12.75" hidden="false" customHeight="false" outlineLevel="0" collapsed="false">
      <c r="A23" s="494" t="s">
        <v>406</v>
      </c>
      <c r="B23" s="494"/>
      <c r="C23" s="494"/>
      <c r="D23" s="517" t="n">
        <f aca="false">SUM(D12:D22)</f>
        <v>0</v>
      </c>
    </row>
    <row r="25" customFormat="false" ht="12.75" hidden="false" customHeight="false" outlineLevel="0" collapsed="false">
      <c r="A25" s="505" t="s">
        <v>407</v>
      </c>
      <c r="B25" s="505"/>
      <c r="C25" s="505"/>
      <c r="D25" s="505"/>
    </row>
    <row r="27" customFormat="false" ht="12.75" hidden="false" customHeight="false" outlineLevel="0" collapsed="false">
      <c r="A27" s="505" t="s">
        <v>408</v>
      </c>
      <c r="B27" s="505"/>
      <c r="C27" s="505"/>
      <c r="D27" s="505"/>
    </row>
    <row r="28" customFormat="false" ht="12.75" hidden="false" customHeight="false" outlineLevel="0" collapsed="false">
      <c r="A28" s="518" t="s">
        <v>409</v>
      </c>
      <c r="B28" s="519" t="s">
        <v>410</v>
      </c>
      <c r="C28" s="520" t="s">
        <v>386</v>
      </c>
      <c r="D28" s="521" t="s">
        <v>387</v>
      </c>
    </row>
    <row r="29" customFormat="false" ht="12.75" hidden="false" customHeight="false" outlineLevel="0" collapsed="false">
      <c r="A29" s="509" t="s">
        <v>15</v>
      </c>
      <c r="B29" s="522" t="s">
        <v>411</v>
      </c>
      <c r="C29" s="523" t="e">
        <f aca="false">ROUND(+D29/$D$23,4)</f>
        <v>#DIV/0!</v>
      </c>
      <c r="D29" s="515" t="n">
        <f aca="false">ROUND(+D23/12,2)</f>
        <v>0</v>
      </c>
    </row>
    <row r="30" customFormat="false" ht="12.75" hidden="false" customHeight="false" outlineLevel="0" collapsed="false">
      <c r="A30" s="524" t="s">
        <v>17</v>
      </c>
      <c r="B30" s="525" t="s">
        <v>412</v>
      </c>
      <c r="C30" s="526" t="e">
        <f aca="false">ROUND(+D30/$D$23,4)</f>
        <v>#DIV/0!</v>
      </c>
      <c r="D30" s="527" t="n">
        <f aca="false">+D31+D32</f>
        <v>0</v>
      </c>
    </row>
    <row r="31" customFormat="false" ht="12.75" hidden="false" customHeight="false" outlineLevel="0" collapsed="false">
      <c r="A31" s="509" t="s">
        <v>77</v>
      </c>
      <c r="B31" s="528" t="s">
        <v>413</v>
      </c>
      <c r="C31" s="529" t="e">
        <f aca="false">ROUND(+D31/$D$23,4)</f>
        <v>#DIV/0!</v>
      </c>
      <c r="D31" s="530" t="n">
        <f aca="false">ROUND(+D23/12,2)</f>
        <v>0</v>
      </c>
    </row>
    <row r="32" customFormat="false" ht="12.75" hidden="false" customHeight="false" outlineLevel="0" collapsed="false">
      <c r="A32" s="509" t="s">
        <v>91</v>
      </c>
      <c r="B32" s="528" t="s">
        <v>414</v>
      </c>
      <c r="C32" s="529" t="e">
        <f aca="false">ROUND(+D32/$D$23,4)</f>
        <v>#DIV/0!</v>
      </c>
      <c r="D32" s="530" t="n">
        <f aca="false">ROUND(+(D23*1/3)/12,2)</f>
        <v>0</v>
      </c>
    </row>
    <row r="33" customFormat="false" ht="12.75" hidden="false" customHeight="false" outlineLevel="0" collapsed="false">
      <c r="A33" s="494" t="s">
        <v>406</v>
      </c>
      <c r="B33" s="494"/>
      <c r="C33" s="494"/>
      <c r="D33" s="517" t="n">
        <f aca="false">+D30+D29</f>
        <v>0</v>
      </c>
    </row>
    <row r="35" customFormat="false" ht="12.75" hidden="false" customHeight="true" outlineLevel="0" collapsed="false">
      <c r="A35" s="531" t="s">
        <v>415</v>
      </c>
      <c r="B35" s="531"/>
      <c r="C35" s="531"/>
      <c r="D35" s="531"/>
    </row>
    <row r="36" customFormat="false" ht="12.75" hidden="false" customHeight="false" outlineLevel="0" collapsed="false">
      <c r="A36" s="518" t="s">
        <v>416</v>
      </c>
      <c r="B36" s="532" t="s">
        <v>417</v>
      </c>
      <c r="C36" s="520" t="s">
        <v>386</v>
      </c>
      <c r="D36" s="521" t="s">
        <v>387</v>
      </c>
    </row>
    <row r="37" customFormat="false" ht="12.75" hidden="false" customHeight="false" outlineLevel="0" collapsed="false">
      <c r="A37" s="509" t="s">
        <v>15</v>
      </c>
      <c r="B37" s="522" t="s">
        <v>418</v>
      </c>
      <c r="C37" s="533" t="n">
        <v>0.2</v>
      </c>
      <c r="D37" s="534" t="n">
        <f aca="false">ROUND(C37*($D$23+$D$33),2)</f>
        <v>0</v>
      </c>
    </row>
    <row r="38" customFormat="false" ht="12.75" hidden="false" customHeight="false" outlineLevel="0" collapsed="false">
      <c r="A38" s="509" t="s">
        <v>17</v>
      </c>
      <c r="B38" s="522" t="s">
        <v>419</v>
      </c>
      <c r="C38" s="533" t="n">
        <v>0.025</v>
      </c>
      <c r="D38" s="534" t="n">
        <f aca="false">ROUND(C38*($D$23+$D$33),2)</f>
        <v>0</v>
      </c>
    </row>
    <row r="39" customFormat="false" ht="12.75" hidden="false" customHeight="false" outlineLevel="0" collapsed="false">
      <c r="A39" s="509" t="s">
        <v>20</v>
      </c>
      <c r="B39" s="522" t="s">
        <v>420</v>
      </c>
      <c r="C39" s="533" t="n">
        <f aca="false">3%</f>
        <v>0.03</v>
      </c>
      <c r="D39" s="534" t="n">
        <f aca="false">ROUND(C39*($D$23+$D$33),2)</f>
        <v>0</v>
      </c>
    </row>
    <row r="40" customFormat="false" ht="12.75" hidden="false" customHeight="false" outlineLevel="0" collapsed="false">
      <c r="A40" s="509" t="s">
        <v>22</v>
      </c>
      <c r="B40" s="522" t="s">
        <v>421</v>
      </c>
      <c r="C40" s="533" t="n">
        <v>0.015</v>
      </c>
      <c r="D40" s="534" t="n">
        <f aca="false">ROUND(C40*($D$23+$D$33),2)</f>
        <v>0</v>
      </c>
    </row>
    <row r="41" customFormat="false" ht="12.75" hidden="false" customHeight="false" outlineLevel="0" collapsed="false">
      <c r="A41" s="509" t="s">
        <v>392</v>
      </c>
      <c r="B41" s="522" t="s">
        <v>422</v>
      </c>
      <c r="C41" s="533" t="n">
        <v>0.01</v>
      </c>
      <c r="D41" s="534" t="n">
        <f aca="false">ROUND(C41*($D$23+$D$33),2)</f>
        <v>0</v>
      </c>
    </row>
    <row r="42" customFormat="false" ht="12.75" hidden="false" customHeight="false" outlineLevel="0" collapsed="false">
      <c r="A42" s="509" t="s">
        <v>394</v>
      </c>
      <c r="B42" s="522" t="s">
        <v>423</v>
      </c>
      <c r="C42" s="533" t="n">
        <v>0.006</v>
      </c>
      <c r="D42" s="534" t="n">
        <f aca="false">ROUND(C42*($D$23+$D$33),2)</f>
        <v>0</v>
      </c>
    </row>
    <row r="43" customFormat="false" ht="12.75" hidden="false" customHeight="false" outlineLevel="0" collapsed="false">
      <c r="A43" s="509" t="s">
        <v>396</v>
      </c>
      <c r="B43" s="522" t="s">
        <v>424</v>
      </c>
      <c r="C43" s="533" t="n">
        <v>0.002</v>
      </c>
      <c r="D43" s="534" t="n">
        <f aca="false">ROUND(C43*($D$23+$D$33),2)</f>
        <v>0</v>
      </c>
    </row>
    <row r="44" customFormat="false" ht="12.75" hidden="false" customHeight="false" outlineLevel="0" collapsed="false">
      <c r="A44" s="509" t="s">
        <v>398</v>
      </c>
      <c r="B44" s="522" t="s">
        <v>425</v>
      </c>
      <c r="C44" s="533" t="n">
        <v>0.08</v>
      </c>
      <c r="D44" s="534" t="n">
        <f aca="false">ROUND(C44*($D$23+$D$33),2)</f>
        <v>0</v>
      </c>
    </row>
    <row r="45" customFormat="false" ht="12.75" hidden="false" customHeight="false" outlineLevel="0" collapsed="false">
      <c r="A45" s="535" t="s">
        <v>406</v>
      </c>
      <c r="B45" s="536"/>
      <c r="C45" s="537" t="n">
        <f aca="false">SUM(C37:C44)</f>
        <v>0.368</v>
      </c>
      <c r="D45" s="538" t="n">
        <f aca="false">SUM(D37:D44)</f>
        <v>0</v>
      </c>
    </row>
    <row r="46" customFormat="false" ht="12.75" hidden="false" customHeight="false" outlineLevel="0" collapsed="false">
      <c r="A46" s="539"/>
      <c r="B46" s="539"/>
      <c r="C46" s="539"/>
      <c r="D46" s="539"/>
    </row>
    <row r="47" customFormat="false" ht="12.75" hidden="false" customHeight="true" outlineLevel="0" collapsed="false">
      <c r="A47" s="531" t="s">
        <v>426</v>
      </c>
      <c r="B47" s="531"/>
      <c r="C47" s="531"/>
      <c r="D47" s="531"/>
    </row>
    <row r="48" customFormat="false" ht="12.75" hidden="false" customHeight="false" outlineLevel="0" collapsed="false">
      <c r="A48" s="518" t="s">
        <v>427</v>
      </c>
      <c r="B48" s="532" t="s">
        <v>428</v>
      </c>
      <c r="C48" s="520"/>
      <c r="D48" s="521" t="s">
        <v>387</v>
      </c>
    </row>
    <row r="49" customFormat="false" ht="12.75" hidden="false" customHeight="false" outlineLevel="0" collapsed="false">
      <c r="A49" s="540" t="s">
        <v>15</v>
      </c>
      <c r="B49" s="522" t="s">
        <v>429</v>
      </c>
      <c r="C49" s="541"/>
      <c r="D49" s="534" t="n">
        <f aca="false">+Men_Cal_Serv_44_segasexinsal40!C17</f>
        <v>0</v>
      </c>
    </row>
    <row r="50" s="46" customFormat="true" ht="12.75" hidden="false" customHeight="false" outlineLevel="0" collapsed="false">
      <c r="A50" s="542" t="s">
        <v>52</v>
      </c>
      <c r="B50" s="543" t="s">
        <v>336</v>
      </c>
      <c r="C50" s="523" t="n">
        <f aca="false">+$C$131+$C$132</f>
        <v>0.0925</v>
      </c>
      <c r="D50" s="544" t="n">
        <f aca="false">+(C50*D49)*-1</f>
        <v>0</v>
      </c>
    </row>
    <row r="51" customFormat="false" ht="12.75" hidden="false" customHeight="false" outlineLevel="0" collapsed="false">
      <c r="A51" s="540" t="s">
        <v>17</v>
      </c>
      <c r="B51" s="522" t="s">
        <v>430</v>
      </c>
      <c r="C51" s="541"/>
      <c r="D51" s="534" t="n">
        <f aca="false">+Men_Cal_Serv_44_segasexinsal40!C26</f>
        <v>0</v>
      </c>
    </row>
    <row r="52" s="46" customFormat="true" ht="12.75" hidden="false" customHeight="false" outlineLevel="0" collapsed="false">
      <c r="A52" s="542" t="s">
        <v>77</v>
      </c>
      <c r="B52" s="543" t="s">
        <v>336</v>
      </c>
      <c r="C52" s="523" t="n">
        <f aca="false">+$C$131+$C$132</f>
        <v>0.0925</v>
      </c>
      <c r="D52" s="544" t="n">
        <f aca="false">+(C52*D51)*-1</f>
        <v>0</v>
      </c>
      <c r="F52" s="545"/>
    </row>
    <row r="53" customFormat="false" ht="12.75" hidden="false" customHeight="false" outlineLevel="0" collapsed="false">
      <c r="A53" s="546" t="s">
        <v>20</v>
      </c>
      <c r="B53" s="546" t="s">
        <v>431</v>
      </c>
      <c r="C53" s="541"/>
      <c r="D53" s="547"/>
    </row>
    <row r="54" customFormat="false" ht="12.75" hidden="false" customHeight="false" outlineLevel="0" collapsed="false">
      <c r="A54" s="546" t="s">
        <v>22</v>
      </c>
      <c r="B54" s="548" t="s">
        <v>432</v>
      </c>
      <c r="C54" s="541"/>
      <c r="D54" s="547"/>
    </row>
    <row r="55" customFormat="false" ht="25.5" hidden="false" customHeight="false" outlineLevel="0" collapsed="false">
      <c r="A55" s="546" t="s">
        <v>392</v>
      </c>
      <c r="B55" s="549" t="s">
        <v>433</v>
      </c>
      <c r="C55" s="541"/>
      <c r="D55" s="550"/>
      <c r="F55" s="551"/>
    </row>
    <row r="56" customFormat="false" ht="12.75" hidden="false" customHeight="false" outlineLevel="0" collapsed="false">
      <c r="A56" s="546" t="s">
        <v>394</v>
      </c>
      <c r="B56" s="552" t="s">
        <v>434</v>
      </c>
      <c r="C56" s="541"/>
      <c r="D56" s="553"/>
    </row>
    <row r="57" customFormat="false" ht="12.75" hidden="false" customHeight="false" outlineLevel="0" collapsed="false">
      <c r="A57" s="494" t="s">
        <v>406</v>
      </c>
      <c r="B57" s="494"/>
      <c r="C57" s="554"/>
      <c r="D57" s="555" t="n">
        <f aca="false">SUM(D49:D56)</f>
        <v>0</v>
      </c>
    </row>
    <row r="59" customFormat="false" ht="12.75" hidden="false" customHeight="false" outlineLevel="0" collapsed="false">
      <c r="A59" s="505" t="s">
        <v>435</v>
      </c>
      <c r="B59" s="505"/>
      <c r="C59" s="505"/>
      <c r="D59" s="505"/>
    </row>
    <row r="60" customFormat="false" ht="12.75" hidden="false" customHeight="false" outlineLevel="0" collapsed="false">
      <c r="A60" s="556" t="n">
        <v>2</v>
      </c>
      <c r="B60" s="557" t="s">
        <v>436</v>
      </c>
      <c r="C60" s="557"/>
      <c r="D60" s="558" t="s">
        <v>387</v>
      </c>
    </row>
    <row r="61" customFormat="false" ht="12.75" hidden="false" customHeight="false" outlineLevel="0" collapsed="false">
      <c r="A61" s="543" t="s">
        <v>409</v>
      </c>
      <c r="B61" s="559" t="s">
        <v>410</v>
      </c>
      <c r="C61" s="559"/>
      <c r="D61" s="534" t="n">
        <f aca="false">+D33</f>
        <v>0</v>
      </c>
    </row>
    <row r="62" customFormat="false" ht="12.75" hidden="false" customHeight="false" outlineLevel="0" collapsed="false">
      <c r="A62" s="543" t="s">
        <v>416</v>
      </c>
      <c r="B62" s="559" t="s">
        <v>417</v>
      </c>
      <c r="C62" s="559"/>
      <c r="D62" s="534" t="n">
        <f aca="false">+D45</f>
        <v>0</v>
      </c>
    </row>
    <row r="63" customFormat="false" ht="12.75" hidden="false" customHeight="false" outlineLevel="0" collapsed="false">
      <c r="A63" s="543" t="s">
        <v>427</v>
      </c>
      <c r="B63" s="559" t="s">
        <v>428</v>
      </c>
      <c r="C63" s="559"/>
      <c r="D63" s="560" t="n">
        <f aca="false">+D57</f>
        <v>0</v>
      </c>
    </row>
    <row r="64" customFormat="false" ht="12.75" hidden="false" customHeight="false" outlineLevel="0" collapsed="false">
      <c r="A64" s="557" t="s">
        <v>406</v>
      </c>
      <c r="B64" s="557"/>
      <c r="C64" s="557"/>
      <c r="D64" s="561" t="n">
        <f aca="false">SUM(D61:D63)</f>
        <v>0</v>
      </c>
    </row>
    <row r="66" customFormat="false" ht="12.75" hidden="false" customHeight="false" outlineLevel="0" collapsed="false">
      <c r="A66" s="505" t="s">
        <v>437</v>
      </c>
      <c r="B66" s="505"/>
      <c r="C66" s="505"/>
      <c r="D66" s="505"/>
    </row>
    <row r="68" customFormat="false" ht="12.75" hidden="false" customHeight="false" outlineLevel="0" collapsed="false">
      <c r="A68" s="562" t="n">
        <v>3</v>
      </c>
      <c r="B68" s="519" t="s">
        <v>438</v>
      </c>
      <c r="C68" s="492" t="s">
        <v>386</v>
      </c>
      <c r="D68" s="492" t="s">
        <v>387</v>
      </c>
    </row>
    <row r="69" customFormat="false" ht="12.75" hidden="false" customHeight="false" outlineLevel="0" collapsed="false">
      <c r="A69" s="509" t="s">
        <v>15</v>
      </c>
      <c r="B69" s="543" t="s">
        <v>439</v>
      </c>
      <c r="C69" s="523" t="e">
        <f aca="false">+D69/$D$23</f>
        <v>#DIV/0!</v>
      </c>
      <c r="D69" s="563" t="n">
        <f aca="false">+Men_Cal_Serv_44_segasexinsal40!C32</f>
        <v>0</v>
      </c>
    </row>
    <row r="70" customFormat="false" ht="12.75" hidden="false" customHeight="false" outlineLevel="0" collapsed="false">
      <c r="A70" s="509" t="s">
        <v>17</v>
      </c>
      <c r="B70" s="522" t="s">
        <v>440</v>
      </c>
      <c r="C70" s="564"/>
      <c r="D70" s="515" t="n">
        <f aca="false">ROUND(+D69*$C$44,2)</f>
        <v>0</v>
      </c>
    </row>
    <row r="71" customFormat="false" ht="25.5" hidden="false" customHeight="false" outlineLevel="0" collapsed="false">
      <c r="A71" s="509" t="s">
        <v>20</v>
      </c>
      <c r="B71" s="565" t="s">
        <v>441</v>
      </c>
      <c r="C71" s="533" t="e">
        <f aca="false">+D71/$D$23</f>
        <v>#DIV/0!</v>
      </c>
      <c r="D71" s="515" t="n">
        <f aca="false">+Men_Cal_Serv_44_segasexinsal40!C44</f>
        <v>0</v>
      </c>
    </row>
    <row r="72" customFormat="false" ht="12.75" hidden="false" customHeight="false" outlineLevel="0" collapsed="false">
      <c r="A72" s="559" t="s">
        <v>22</v>
      </c>
      <c r="B72" s="522" t="s">
        <v>442</v>
      </c>
      <c r="C72" s="533" t="e">
        <f aca="false">+D72/$D$23</f>
        <v>#DIV/0!</v>
      </c>
      <c r="D72" s="515" t="n">
        <f aca="false">+Men_Cal_Serv_44_segasexinsal40!C52</f>
        <v>0</v>
      </c>
    </row>
    <row r="73" customFormat="false" ht="25.5" hidden="false" customHeight="false" outlineLevel="0" collapsed="false">
      <c r="A73" s="559" t="s">
        <v>392</v>
      </c>
      <c r="B73" s="565" t="s">
        <v>443</v>
      </c>
      <c r="C73" s="564"/>
      <c r="D73" s="566"/>
    </row>
    <row r="74" customFormat="false" ht="25.5" hidden="false" customHeight="false" outlineLevel="0" collapsed="false">
      <c r="A74" s="559" t="s">
        <v>394</v>
      </c>
      <c r="B74" s="565" t="s">
        <v>444</v>
      </c>
      <c r="C74" s="533" t="e">
        <f aca="false">+D74/$D$23</f>
        <v>#DIV/0!</v>
      </c>
      <c r="D74" s="534" t="n">
        <f aca="false">+Men_Cal_Serv_44_segasexinsal40!C64</f>
        <v>0</v>
      </c>
    </row>
    <row r="75" customFormat="false" ht="12.75" hidden="false" customHeight="false" outlineLevel="0" collapsed="false">
      <c r="A75" s="494" t="s">
        <v>406</v>
      </c>
      <c r="B75" s="494"/>
      <c r="C75" s="494"/>
      <c r="D75" s="567" t="n">
        <f aca="false">SUM(D69:D74)</f>
        <v>0</v>
      </c>
    </row>
    <row r="77" customFormat="false" ht="12.75" hidden="false" customHeight="false" outlineLevel="0" collapsed="false">
      <c r="A77" s="505" t="s">
        <v>445</v>
      </c>
      <c r="B77" s="505"/>
      <c r="C77" s="505"/>
      <c r="D77" s="505"/>
    </row>
    <row r="79" customFormat="false" ht="12.75" hidden="false" customHeight="true" outlineLevel="0" collapsed="false">
      <c r="A79" s="568" t="s">
        <v>446</v>
      </c>
      <c r="B79" s="568"/>
      <c r="C79" s="568"/>
      <c r="D79" s="568"/>
    </row>
    <row r="80" customFormat="false" ht="12.75" hidden="false" customHeight="false" outlineLevel="0" collapsed="false">
      <c r="A80" s="562" t="s">
        <v>447</v>
      </c>
      <c r="B80" s="494" t="s">
        <v>448</v>
      </c>
      <c r="C80" s="494"/>
      <c r="D80" s="492" t="s">
        <v>387</v>
      </c>
    </row>
    <row r="81" customFormat="false" ht="12.75" hidden="false" customHeight="false" outlineLevel="0" collapsed="false">
      <c r="A81" s="522" t="s">
        <v>15</v>
      </c>
      <c r="B81" s="305" t="s">
        <v>449</v>
      </c>
      <c r="C81" s="305"/>
      <c r="D81" s="515"/>
    </row>
    <row r="82" customFormat="false" ht="12.75" hidden="false" customHeight="false" outlineLevel="0" collapsed="false">
      <c r="A82" s="543" t="s">
        <v>17</v>
      </c>
      <c r="B82" s="569" t="s">
        <v>448</v>
      </c>
      <c r="C82" s="569"/>
      <c r="D82" s="570" t="n">
        <f aca="false">+Men_Cal_Serv_44_segasexinsal40!C77</f>
        <v>0</v>
      </c>
    </row>
    <row r="83" s="46" customFormat="true" ht="12.75" hidden="false" customHeight="false" outlineLevel="0" collapsed="false">
      <c r="A83" s="543" t="s">
        <v>20</v>
      </c>
      <c r="B83" s="569" t="s">
        <v>450</v>
      </c>
      <c r="C83" s="569"/>
      <c r="D83" s="570" t="n">
        <f aca="false">+Men_Cal_Serv_44_segasexinsal40!C86</f>
        <v>0</v>
      </c>
    </row>
    <row r="84" s="46" customFormat="true" ht="12.75" hidden="false" customHeight="false" outlineLevel="0" collapsed="false">
      <c r="A84" s="543" t="s">
        <v>22</v>
      </c>
      <c r="B84" s="569" t="s">
        <v>451</v>
      </c>
      <c r="C84" s="569"/>
      <c r="D84" s="570" t="n">
        <f aca="false">+Men_Cal_Serv_44_segasexinsal40!C94</f>
        <v>0</v>
      </c>
    </row>
    <row r="85" s="46" customFormat="true" ht="14.25" hidden="false" customHeight="false" outlineLevel="0" collapsed="false">
      <c r="A85" s="543" t="s">
        <v>392</v>
      </c>
      <c r="B85" s="569" t="s">
        <v>452</v>
      </c>
      <c r="C85" s="569"/>
      <c r="D85" s="570"/>
    </row>
    <row r="86" s="46" customFormat="true" ht="12.75" hidden="false" customHeight="false" outlineLevel="0" collapsed="false">
      <c r="A86" s="543" t="s">
        <v>394</v>
      </c>
      <c r="B86" s="569" t="s">
        <v>453</v>
      </c>
      <c r="C86" s="569"/>
      <c r="D86" s="570" t="n">
        <f aca="false">+Men_Cal_Serv_44_segasexinsal40!C102</f>
        <v>0</v>
      </c>
    </row>
    <row r="87" customFormat="false" ht="12.75" hidden="false" customHeight="false" outlineLevel="0" collapsed="false">
      <c r="A87" s="522" t="s">
        <v>396</v>
      </c>
      <c r="B87" s="305" t="s">
        <v>405</v>
      </c>
      <c r="C87" s="305"/>
      <c r="D87" s="515"/>
    </row>
    <row r="88" customFormat="false" ht="12.75" hidden="false" customHeight="false" outlineLevel="0" collapsed="false">
      <c r="A88" s="522" t="s">
        <v>398</v>
      </c>
      <c r="B88" s="305" t="s">
        <v>454</v>
      </c>
      <c r="C88" s="305"/>
      <c r="D88" s="566"/>
    </row>
    <row r="89" customFormat="false" ht="12.75" hidden="false" customHeight="false" outlineLevel="0" collapsed="false">
      <c r="A89" s="494" t="s">
        <v>406</v>
      </c>
      <c r="B89" s="494"/>
      <c r="C89" s="494"/>
      <c r="D89" s="517" t="n">
        <f aca="false">SUM(D81:D88)</f>
        <v>0</v>
      </c>
    </row>
    <row r="90" customFormat="false" ht="12.75" hidden="false" customHeight="false" outlineLevel="0" collapsed="false">
      <c r="D90" s="571"/>
    </row>
    <row r="91" customFormat="false" ht="12.75" hidden="false" customHeight="false" outlineLevel="0" collapsed="false">
      <c r="A91" s="562" t="s">
        <v>455</v>
      </c>
      <c r="B91" s="494" t="s">
        <v>456</v>
      </c>
      <c r="C91" s="494"/>
      <c r="D91" s="492" t="s">
        <v>387</v>
      </c>
    </row>
    <row r="92" s="46" customFormat="true" ht="12.75" hidden="false" customHeight="false" outlineLevel="0" collapsed="false">
      <c r="A92" s="543" t="s">
        <v>15</v>
      </c>
      <c r="B92" s="559" t="s">
        <v>457</v>
      </c>
      <c r="C92" s="559"/>
      <c r="D92" s="570" t="n">
        <f aca="false">+Men_Cal_Serv_44_segasexinsal40!C113</f>
        <v>0</v>
      </c>
    </row>
    <row r="93" s="46" customFormat="true" ht="28.5" hidden="false" customHeight="true" outlineLevel="0" collapsed="false">
      <c r="A93" s="543" t="s">
        <v>17</v>
      </c>
      <c r="B93" s="572" t="s">
        <v>458</v>
      </c>
      <c r="C93" s="572"/>
      <c r="D93" s="566"/>
    </row>
    <row r="94" s="46" customFormat="true" ht="30" hidden="false" customHeight="true" outlineLevel="0" collapsed="false">
      <c r="A94" s="543" t="s">
        <v>20</v>
      </c>
      <c r="B94" s="572" t="s">
        <v>459</v>
      </c>
      <c r="C94" s="572"/>
      <c r="D94" s="566"/>
    </row>
    <row r="95" customFormat="false" ht="12.75" hidden="false" customHeight="false" outlineLevel="0" collapsed="false">
      <c r="A95" s="522" t="s">
        <v>22</v>
      </c>
      <c r="B95" s="305" t="s">
        <v>405</v>
      </c>
      <c r="C95" s="305"/>
      <c r="D95" s="515"/>
    </row>
    <row r="96" customFormat="false" ht="12.75" hidden="false" customHeight="false" outlineLevel="0" collapsed="false">
      <c r="A96" s="494" t="s">
        <v>406</v>
      </c>
      <c r="B96" s="494"/>
      <c r="C96" s="494"/>
      <c r="D96" s="517" t="n">
        <f aca="false">SUM(D92:D95)</f>
        <v>0</v>
      </c>
    </row>
    <row r="97" customFormat="false" ht="12.75" hidden="false" customHeight="false" outlineLevel="0" collapsed="false">
      <c r="D97" s="571"/>
    </row>
    <row r="98" customFormat="false" ht="12.75" hidden="false" customHeight="false" outlineLevel="0" collapsed="false">
      <c r="A98" s="562" t="s">
        <v>460</v>
      </c>
      <c r="B98" s="494" t="s">
        <v>461</v>
      </c>
      <c r="C98" s="494"/>
      <c r="D98" s="492" t="s">
        <v>387</v>
      </c>
    </row>
    <row r="99" s="574" customFormat="true" ht="36.75" hidden="false" customHeight="true" outlineLevel="0" collapsed="false">
      <c r="A99" s="559" t="s">
        <v>15</v>
      </c>
      <c r="B99" s="572" t="s">
        <v>462</v>
      </c>
      <c r="C99" s="572"/>
      <c r="D99" s="573"/>
    </row>
    <row r="100" customFormat="false" ht="12.75" hidden="false" customHeight="false" outlineLevel="0" collapsed="false">
      <c r="A100" s="494" t="s">
        <v>406</v>
      </c>
      <c r="B100" s="494"/>
      <c r="C100" s="494"/>
      <c r="D100" s="517" t="n">
        <f aca="false">SUM(D99:D99)</f>
        <v>0</v>
      </c>
    </row>
    <row r="102" customFormat="false" ht="12.75" hidden="false" customHeight="false" outlineLevel="0" collapsed="false">
      <c r="A102" s="575" t="s">
        <v>463</v>
      </c>
      <c r="B102" s="575"/>
      <c r="C102" s="575"/>
      <c r="D102" s="575"/>
    </row>
    <row r="103" customFormat="false" ht="12.75" hidden="false" customHeight="false" outlineLevel="0" collapsed="false">
      <c r="A103" s="522" t="s">
        <v>447</v>
      </c>
      <c r="B103" s="305" t="s">
        <v>448</v>
      </c>
      <c r="C103" s="305"/>
      <c r="D103" s="534" t="n">
        <f aca="false">+D89</f>
        <v>0</v>
      </c>
    </row>
    <row r="104" customFormat="false" ht="12.75" hidden="false" customHeight="false" outlineLevel="0" collapsed="false">
      <c r="A104" s="522" t="s">
        <v>455</v>
      </c>
      <c r="B104" s="305" t="s">
        <v>456</v>
      </c>
      <c r="C104" s="305"/>
      <c r="D104" s="534" t="n">
        <f aca="false">+D96</f>
        <v>0</v>
      </c>
    </row>
    <row r="105" customFormat="false" ht="12.75" hidden="false" customHeight="false" outlineLevel="0" collapsed="false">
      <c r="A105" s="576"/>
      <c r="B105" s="577" t="s">
        <v>464</v>
      </c>
      <c r="C105" s="577"/>
      <c r="D105" s="578" t="n">
        <f aca="false">+D104+D103</f>
        <v>0</v>
      </c>
    </row>
    <row r="106" customFormat="false" ht="12.75" hidden="false" customHeight="false" outlineLevel="0" collapsed="false">
      <c r="A106" s="522" t="s">
        <v>460</v>
      </c>
      <c r="B106" s="305" t="s">
        <v>461</v>
      </c>
      <c r="C106" s="305"/>
      <c r="D106" s="534" t="n">
        <f aca="false">+D100</f>
        <v>0</v>
      </c>
    </row>
    <row r="107" customFormat="false" ht="12.75" hidden="false" customHeight="false" outlineLevel="0" collapsed="false">
      <c r="A107" s="575" t="s">
        <v>406</v>
      </c>
      <c r="B107" s="575"/>
      <c r="C107" s="575"/>
      <c r="D107" s="579" t="n">
        <f aca="false">+D106+D105</f>
        <v>0</v>
      </c>
    </row>
    <row r="109" customFormat="false" ht="12.75" hidden="false" customHeight="false" outlineLevel="0" collapsed="false">
      <c r="A109" s="505" t="s">
        <v>465</v>
      </c>
      <c r="B109" s="505"/>
      <c r="C109" s="505"/>
      <c r="D109" s="505"/>
    </row>
    <row r="111" customFormat="false" ht="12.75" hidden="false" customHeight="false" outlineLevel="0" collapsed="false">
      <c r="A111" s="562" t="n">
        <v>5</v>
      </c>
      <c r="B111" s="494" t="s">
        <v>466</v>
      </c>
      <c r="C111" s="494"/>
      <c r="D111" s="492" t="s">
        <v>387</v>
      </c>
    </row>
    <row r="112" customFormat="false" ht="12.75" hidden="false" customHeight="false" outlineLevel="0" collapsed="false">
      <c r="A112" s="522" t="s">
        <v>15</v>
      </c>
      <c r="B112" s="509" t="s">
        <v>467</v>
      </c>
      <c r="C112" s="509"/>
      <c r="D112" s="515" t="n">
        <f aca="false">+Uniformes!F8</f>
        <v>0</v>
      </c>
    </row>
    <row r="113" customFormat="false" ht="12.75" hidden="false" customHeight="false" outlineLevel="0" collapsed="false">
      <c r="A113" s="522" t="s">
        <v>52</v>
      </c>
      <c r="B113" s="543" t="s">
        <v>336</v>
      </c>
      <c r="C113" s="523" t="n">
        <f aca="false">+$C$131+$C$132</f>
        <v>0.0925</v>
      </c>
      <c r="D113" s="544" t="n">
        <f aca="false">+(C113*D112)*-1</f>
        <v>0</v>
      </c>
    </row>
    <row r="114" customFormat="false" ht="12.75" hidden="false" customHeight="false" outlineLevel="0" collapsed="false">
      <c r="A114" s="522" t="s">
        <v>17</v>
      </c>
      <c r="B114" s="509" t="s">
        <v>468</v>
      </c>
      <c r="C114" s="509"/>
      <c r="D114" s="515"/>
    </row>
    <row r="115" customFormat="false" ht="12.75" hidden="false" customHeight="false" outlineLevel="0" collapsed="false">
      <c r="A115" s="522" t="s">
        <v>77</v>
      </c>
      <c r="B115" s="543" t="s">
        <v>336</v>
      </c>
      <c r="C115" s="523" t="n">
        <f aca="false">+$C$131+$C$132</f>
        <v>0.0925</v>
      </c>
      <c r="D115" s="544" t="n">
        <f aca="false">+(C115*D114)*-1</f>
        <v>0</v>
      </c>
    </row>
    <row r="116" customFormat="false" ht="12.75" hidden="false" customHeight="false" outlineLevel="0" collapsed="false">
      <c r="A116" s="522" t="s">
        <v>20</v>
      </c>
      <c r="B116" s="509" t="s">
        <v>469</v>
      </c>
      <c r="C116" s="509"/>
      <c r="D116" s="515"/>
    </row>
    <row r="117" customFormat="false" ht="12.75" hidden="false" customHeight="false" outlineLevel="0" collapsed="false">
      <c r="A117" s="522" t="s">
        <v>96</v>
      </c>
      <c r="B117" s="543" t="s">
        <v>336</v>
      </c>
      <c r="C117" s="523" t="n">
        <f aca="false">+$C$131+$C$132</f>
        <v>0.0925</v>
      </c>
      <c r="D117" s="544" t="n">
        <f aca="false">+(C117*D116)*-1</f>
        <v>0</v>
      </c>
    </row>
    <row r="118" customFormat="false" ht="12.75" hidden="false" customHeight="false" outlineLevel="0" collapsed="false">
      <c r="A118" s="522" t="s">
        <v>22</v>
      </c>
      <c r="B118" s="509" t="s">
        <v>405</v>
      </c>
      <c r="C118" s="509"/>
      <c r="D118" s="515"/>
    </row>
    <row r="119" customFormat="false" ht="12.75" hidden="false" customHeight="false" outlineLevel="0" collapsed="false">
      <c r="A119" s="522" t="s">
        <v>470</v>
      </c>
      <c r="B119" s="543" t="s">
        <v>336</v>
      </c>
      <c r="C119" s="523" t="n">
        <f aca="false">+$C$131+$C$132</f>
        <v>0.0925</v>
      </c>
      <c r="D119" s="544" t="n">
        <f aca="false">+(C119*D118)*-1</f>
        <v>0</v>
      </c>
    </row>
    <row r="120" customFormat="false" ht="12.75" hidden="false" customHeight="false" outlineLevel="0" collapsed="false">
      <c r="A120" s="494" t="s">
        <v>406</v>
      </c>
      <c r="B120" s="494"/>
      <c r="C120" s="494"/>
      <c r="D120" s="517" t="n">
        <f aca="false">SUM(D112:D118)</f>
        <v>0</v>
      </c>
    </row>
    <row r="122" customFormat="false" ht="12.75" hidden="false" customHeight="false" outlineLevel="0" collapsed="false">
      <c r="A122" s="505" t="s">
        <v>471</v>
      </c>
      <c r="B122" s="505"/>
      <c r="C122" s="505"/>
      <c r="D122" s="505"/>
    </row>
    <row r="124" customFormat="false" ht="12.75" hidden="false" customHeight="false" outlineLevel="0" collapsed="false">
      <c r="A124" s="562" t="n">
        <v>6</v>
      </c>
      <c r="B124" s="519" t="s">
        <v>472</v>
      </c>
      <c r="C124" s="580" t="s">
        <v>386</v>
      </c>
      <c r="D124" s="492" t="s">
        <v>387</v>
      </c>
    </row>
    <row r="125" customFormat="false" ht="12.75" hidden="false" customHeight="false" outlineLevel="0" collapsed="false">
      <c r="A125" s="522" t="s">
        <v>15</v>
      </c>
      <c r="B125" s="522" t="s">
        <v>328</v>
      </c>
      <c r="C125" s="533" t="n">
        <v>0.03</v>
      </c>
      <c r="D125" s="624" t="n">
        <f aca="false">($D$120+$D$107+$D$75+$D$64+$D$23)*C125</f>
        <v>0</v>
      </c>
    </row>
    <row r="126" customFormat="false" ht="12.75" hidden="false" customHeight="false" outlineLevel="0" collapsed="false">
      <c r="A126" s="522" t="s">
        <v>17</v>
      </c>
      <c r="B126" s="522" t="s">
        <v>329</v>
      </c>
      <c r="C126" s="533" t="n">
        <v>0.03</v>
      </c>
      <c r="D126" s="624" t="n">
        <f aca="false">($D$120+$D$107+$D$75+$D$64+$D$23+D125)*C126</f>
        <v>0</v>
      </c>
    </row>
    <row r="127" s="584" customFormat="true" ht="12.75" hidden="false" customHeight="false" outlineLevel="0" collapsed="false">
      <c r="A127" s="582" t="s">
        <v>473</v>
      </c>
      <c r="B127" s="582"/>
      <c r="C127" s="582"/>
      <c r="D127" s="583" t="n">
        <f aca="false">++D126+D125+D120+D107+D75+D64+D23</f>
        <v>0</v>
      </c>
    </row>
    <row r="128" s="584" customFormat="true" ht="12.75" hidden="false" customHeight="true" outlineLevel="0" collapsed="false">
      <c r="A128" s="585" t="s">
        <v>474</v>
      </c>
      <c r="B128" s="585"/>
      <c r="C128" s="585"/>
      <c r="D128" s="583" t="n">
        <f aca="false">ROUND(D127/(1-(C131+C132+C134+C136+C137)),2)</f>
        <v>0</v>
      </c>
    </row>
    <row r="129" customFormat="false" ht="12.75" hidden="false" customHeight="false" outlineLevel="0" collapsed="false">
      <c r="A129" s="522" t="s">
        <v>20</v>
      </c>
      <c r="B129" s="522" t="s">
        <v>475</v>
      </c>
      <c r="C129" s="533"/>
      <c r="D129" s="624"/>
    </row>
    <row r="130" customFormat="false" ht="12.75" hidden="false" customHeight="false" outlineLevel="0" collapsed="false">
      <c r="A130" s="522" t="s">
        <v>96</v>
      </c>
      <c r="B130" s="522" t="s">
        <v>476</v>
      </c>
      <c r="C130" s="533"/>
      <c r="D130" s="624"/>
    </row>
    <row r="131" customFormat="false" ht="12.75" hidden="false" customHeight="false" outlineLevel="0" collapsed="false">
      <c r="A131" s="522" t="s">
        <v>477</v>
      </c>
      <c r="B131" s="522" t="s">
        <v>330</v>
      </c>
      <c r="C131" s="533" t="n">
        <v>0.0165</v>
      </c>
      <c r="D131" s="624" t="n">
        <f aca="false">ROUND(C131*$D$128,2)</f>
        <v>0</v>
      </c>
      <c r="G131" s="586"/>
    </row>
    <row r="132" customFormat="false" ht="12.75" hidden="false" customHeight="false" outlineLevel="0" collapsed="false">
      <c r="A132" s="522" t="s">
        <v>478</v>
      </c>
      <c r="B132" s="522" t="s">
        <v>331</v>
      </c>
      <c r="C132" s="533" t="n">
        <v>0.076</v>
      </c>
      <c r="D132" s="624" t="n">
        <f aca="false">ROUND(C132*$D$128,2)</f>
        <v>0</v>
      </c>
      <c r="G132" s="586"/>
    </row>
    <row r="133" customFormat="false" ht="12.75" hidden="false" customHeight="false" outlineLevel="0" collapsed="false">
      <c r="A133" s="522" t="s">
        <v>479</v>
      </c>
      <c r="B133" s="522" t="s">
        <v>480</v>
      </c>
      <c r="C133" s="533"/>
      <c r="D133" s="624"/>
      <c r="G133" s="586"/>
    </row>
    <row r="134" customFormat="false" ht="12.75" hidden="false" customHeight="false" outlineLevel="0" collapsed="false">
      <c r="A134" s="522" t="s">
        <v>481</v>
      </c>
      <c r="B134" s="522" t="s">
        <v>482</v>
      </c>
      <c r="C134" s="533"/>
      <c r="D134" s="624"/>
      <c r="G134" s="586"/>
    </row>
    <row r="135" customFormat="false" ht="12.75" hidden="false" customHeight="false" outlineLevel="0" collapsed="false">
      <c r="A135" s="522" t="s">
        <v>483</v>
      </c>
      <c r="B135" s="522" t="s">
        <v>484</v>
      </c>
      <c r="C135" s="533"/>
      <c r="D135" s="624"/>
    </row>
    <row r="136" customFormat="false" ht="12.75" hidden="false" customHeight="false" outlineLevel="0" collapsed="false">
      <c r="A136" s="522" t="s">
        <v>485</v>
      </c>
      <c r="B136" s="522" t="s">
        <v>332</v>
      </c>
      <c r="C136" s="533" t="n">
        <v>0.05</v>
      </c>
      <c r="D136" s="624" t="n">
        <f aca="false">ROUND(C136*$D$128,2)</f>
        <v>0</v>
      </c>
    </row>
    <row r="137" customFormat="false" ht="12.75" hidden="false" customHeight="false" outlineLevel="0" collapsed="false">
      <c r="A137" s="522" t="s">
        <v>486</v>
      </c>
      <c r="B137" s="522" t="s">
        <v>487</v>
      </c>
      <c r="C137" s="533"/>
      <c r="D137" s="624"/>
    </row>
    <row r="138" customFormat="false" ht="12.75" hidden="false" customHeight="false" outlineLevel="0" collapsed="false">
      <c r="A138" s="522" t="s">
        <v>22</v>
      </c>
      <c r="B138" s="522" t="s">
        <v>488</v>
      </c>
      <c r="C138" s="533"/>
      <c r="D138" s="624"/>
    </row>
    <row r="139" customFormat="false" ht="14.25" hidden="false" customHeight="false" outlineLevel="0" collapsed="false">
      <c r="A139" s="522" t="s">
        <v>489</v>
      </c>
      <c r="B139" s="522" t="s">
        <v>490</v>
      </c>
      <c r="C139" s="533"/>
      <c r="D139" s="624" t="n">
        <f aca="false">+'LOTE_I_-_Custo_M2'!$T$192</f>
        <v>0.33</v>
      </c>
    </row>
    <row r="140" customFormat="false" ht="12.75" hidden="false" customHeight="false" outlineLevel="0" collapsed="false">
      <c r="A140" s="522" t="s">
        <v>491</v>
      </c>
      <c r="B140" s="522" t="s">
        <v>492</v>
      </c>
      <c r="C140" s="533"/>
      <c r="D140" s="624" t="n">
        <f aca="false">+'LOTE_I_-_Custo_M2'!$T$193</f>
        <v>0.88</v>
      </c>
    </row>
    <row r="141" customFormat="false" ht="12.75" hidden="false" customHeight="false" outlineLevel="0" collapsed="false">
      <c r="A141" s="535" t="s">
        <v>406</v>
      </c>
      <c r="B141" s="535"/>
      <c r="C141" s="587" t="n">
        <f aca="false">+C137+C136+C134+C132+C131+C126+C125</f>
        <v>0.2025</v>
      </c>
      <c r="D141" s="625" t="n">
        <f aca="false">+D136+D134+D132+D131+D126+D125+D139+D140</f>
        <v>1.21</v>
      </c>
    </row>
    <row r="143" customFormat="false" ht="12.75" hidden="false" customHeight="false" outlineLevel="0" collapsed="false">
      <c r="A143" s="589" t="s">
        <v>493</v>
      </c>
      <c r="B143" s="589"/>
      <c r="C143" s="589"/>
      <c r="D143" s="589"/>
    </row>
    <row r="144" customFormat="false" ht="12.75" hidden="false" customHeight="false" outlineLevel="0" collapsed="false">
      <c r="A144" s="522" t="s">
        <v>15</v>
      </c>
      <c r="B144" s="305" t="s">
        <v>494</v>
      </c>
      <c r="C144" s="305"/>
      <c r="D144" s="626" t="n">
        <f aca="false">+D23</f>
        <v>0</v>
      </c>
    </row>
    <row r="145" customFormat="false" ht="12.75" hidden="false" customHeight="false" outlineLevel="0" collapsed="false">
      <c r="A145" s="522" t="s">
        <v>495</v>
      </c>
      <c r="B145" s="305" t="s">
        <v>496</v>
      </c>
      <c r="C145" s="305"/>
      <c r="D145" s="626" t="n">
        <f aca="false">+D64</f>
        <v>0</v>
      </c>
    </row>
    <row r="146" customFormat="false" ht="12.75" hidden="false" customHeight="false" outlineLevel="0" collapsed="false">
      <c r="A146" s="522" t="s">
        <v>20</v>
      </c>
      <c r="B146" s="305" t="s">
        <v>497</v>
      </c>
      <c r="C146" s="305"/>
      <c r="D146" s="626" t="n">
        <f aca="false">+D75</f>
        <v>0</v>
      </c>
    </row>
    <row r="147" customFormat="false" ht="12.75" hidden="false" customHeight="false" outlineLevel="0" collapsed="false">
      <c r="A147" s="522" t="s">
        <v>22</v>
      </c>
      <c r="B147" s="305" t="s">
        <v>498</v>
      </c>
      <c r="C147" s="305"/>
      <c r="D147" s="626" t="n">
        <f aca="false">+D107</f>
        <v>0</v>
      </c>
    </row>
    <row r="148" customFormat="false" ht="12.75" hidden="false" customHeight="false" outlineLevel="0" collapsed="false">
      <c r="A148" s="522" t="s">
        <v>392</v>
      </c>
      <c r="B148" s="305" t="s">
        <v>499</v>
      </c>
      <c r="C148" s="305"/>
      <c r="D148" s="626" t="n">
        <f aca="false">+D120</f>
        <v>0</v>
      </c>
    </row>
    <row r="149" customFormat="false" ht="12.75" hidden="false" customHeight="false" outlineLevel="0" collapsed="false">
      <c r="B149" s="591" t="s">
        <v>500</v>
      </c>
      <c r="C149" s="591"/>
      <c r="D149" s="627" t="n">
        <f aca="false">SUM(D144:D148)</f>
        <v>0</v>
      </c>
    </row>
    <row r="150" customFormat="false" ht="12.75" hidden="false" customHeight="false" outlineLevel="0" collapsed="false">
      <c r="A150" s="522" t="s">
        <v>394</v>
      </c>
      <c r="B150" s="305" t="s">
        <v>501</v>
      </c>
      <c r="C150" s="305"/>
      <c r="D150" s="626" t="n">
        <f aca="false">+D141</f>
        <v>1.21</v>
      </c>
    </row>
    <row r="151" customFormat="false" ht="12.75" hidden="false" customHeight="false" outlineLevel="0" collapsed="false">
      <c r="D151" s="628"/>
    </row>
    <row r="152" customFormat="false" ht="12.75" hidden="false" customHeight="false" outlineLevel="0" collapsed="false">
      <c r="A152" s="594" t="s">
        <v>502</v>
      </c>
      <c r="B152" s="594"/>
      <c r="C152" s="594"/>
      <c r="D152" s="629" t="n">
        <f aca="false">ROUND(+D150+D149,2)</f>
        <v>1.21</v>
      </c>
    </row>
    <row r="154" customFormat="false" ht="39" hidden="false" customHeight="true" outlineLevel="0" collapsed="false">
      <c r="A154" s="597" t="s">
        <v>503</v>
      </c>
      <c r="B154" s="597"/>
      <c r="C154" s="597"/>
      <c r="D154" s="597"/>
    </row>
    <row r="155" customFormat="false" ht="14.25" hidden="false" customHeight="false" outlineLevel="0" collapsed="false">
      <c r="A155" s="599" t="s">
        <v>504</v>
      </c>
      <c r="B155" s="599"/>
      <c r="C155" s="599"/>
      <c r="D155" s="599"/>
      <c r="E155" s="598"/>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4:D154"/>
    <mergeCell ref="A155:D155"/>
  </mergeCells>
  <printOptions headings="false" gridLines="false" gridLinesSet="true" horizontalCentered="false" verticalCentered="false"/>
  <pageMargins left="1.69027777777778" right="0.0784722222222222" top="0.315277777777778" bottom="0.414583333333333" header="0.315277777777778" footer="0.275694444444444"/>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C12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9.66"/>
    <col collapsed="false" customWidth="true" hidden="false" outlineLevel="0" max="2" min="2" style="44" width="15.53"/>
    <col collapsed="false" customWidth="true" hidden="false" outlineLevel="0" max="3" min="3" style="44" width="13.09"/>
    <col collapsed="false" customWidth="true" hidden="false" outlineLevel="0" max="4" min="4" style="44" width="10.12"/>
    <col collapsed="false" customWidth="true" hidden="false" outlineLevel="0" max="5" min="5" style="44" width="74.65"/>
    <col collapsed="false" customWidth="true" hidden="false" outlineLevel="0" max="1025" min="6" style="44" width="8.64"/>
  </cols>
  <sheetData>
    <row r="1" customFormat="false" ht="36.75" hidden="false" customHeight="true" outlineLevel="0" collapsed="false">
      <c r="A1" s="637" t="s">
        <v>577</v>
      </c>
      <c r="B1" s="637"/>
      <c r="C1" s="637"/>
    </row>
    <row r="3" customFormat="false" ht="12.75" hidden="false" customHeight="false" outlineLevel="0" collapsed="false">
      <c r="A3" s="522" t="s">
        <v>506</v>
      </c>
      <c r="B3" s="522" t="n">
        <v>220</v>
      </c>
    </row>
    <row r="4" customFormat="false" ht="12.75" hidden="false" customHeight="false" outlineLevel="0" collapsed="false">
      <c r="A4" s="522" t="s">
        <v>507</v>
      </c>
      <c r="B4" s="522" t="n">
        <v>365.25</v>
      </c>
    </row>
    <row r="5" customFormat="false" ht="12.75" hidden="false" customHeight="false" outlineLevel="0" collapsed="false">
      <c r="A5" s="522" t="s">
        <v>508</v>
      </c>
      <c r="B5" s="601" t="n">
        <f aca="false">(365.25/12)/(7/5)</f>
        <v>21.7410714285714</v>
      </c>
    </row>
    <row r="6" customFormat="false" ht="12.75" hidden="false" customHeight="false" outlineLevel="0" collapsed="false">
      <c r="A6" s="543" t="s">
        <v>388</v>
      </c>
      <c r="B6" s="534" t="n">
        <f aca="false">+'Servente_44_seg_a_sex+insal40'!D12</f>
        <v>0</v>
      </c>
    </row>
    <row r="7" customFormat="false" ht="12.75" hidden="false" customHeight="false" outlineLevel="0" collapsed="false">
      <c r="A7" s="543" t="s">
        <v>509</v>
      </c>
      <c r="B7" s="534" t="n">
        <f aca="false">+'Servente_44_seg_a_sex+insal40'!D23</f>
        <v>0</v>
      </c>
    </row>
    <row r="10" customFormat="false" ht="12.75" hidden="false" customHeight="false" outlineLevel="0" collapsed="false">
      <c r="A10" s="602" t="s">
        <v>510</v>
      </c>
      <c r="B10" s="602"/>
      <c r="C10" s="602"/>
    </row>
    <row r="11" customFormat="false" ht="12.75" hidden="false" customHeight="false" outlineLevel="0" collapsed="false">
      <c r="A11" s="522" t="s">
        <v>511</v>
      </c>
      <c r="B11" s="522" t="n">
        <f aca="false">+$B$4</f>
        <v>365.25</v>
      </c>
      <c r="C11" s="564"/>
    </row>
    <row r="12" customFormat="false" ht="12.75" hidden="false" customHeight="false" outlineLevel="0" collapsed="false">
      <c r="A12" s="522" t="s">
        <v>512</v>
      </c>
      <c r="B12" s="543" t="n">
        <v>12</v>
      </c>
      <c r="C12" s="564"/>
    </row>
    <row r="13" customFormat="false" ht="12.75" hidden="false" customHeight="false" outlineLevel="0" collapsed="false">
      <c r="A13" s="522" t="s">
        <v>513</v>
      </c>
      <c r="B13" s="533" t="n">
        <v>1</v>
      </c>
      <c r="C13" s="564"/>
    </row>
    <row r="14" customFormat="false" ht="12.75" hidden="false" customHeight="false" outlineLevel="0" collapsed="false">
      <c r="A14" s="543" t="s">
        <v>514</v>
      </c>
      <c r="B14" s="603" t="n">
        <f aca="false">+B5</f>
        <v>21.7410714285714</v>
      </c>
      <c r="C14" s="564"/>
    </row>
    <row r="15" customFormat="false" ht="12.75" hidden="false" customHeight="false" outlineLevel="0" collapsed="false">
      <c r="A15" s="548" t="s">
        <v>515</v>
      </c>
      <c r="B15" s="604"/>
      <c r="C15" s="564"/>
    </row>
    <row r="16" customFormat="false" ht="12.75" hidden="false" customHeight="false" outlineLevel="0" collapsed="false">
      <c r="A16" s="522" t="s">
        <v>516</v>
      </c>
      <c r="B16" s="533" t="n">
        <v>0.06</v>
      </c>
      <c r="C16" s="564"/>
    </row>
    <row r="17" customFormat="false" ht="12.75" hidden="false" customHeight="false" outlineLevel="0" collapsed="false">
      <c r="A17" s="575" t="s">
        <v>517</v>
      </c>
      <c r="B17" s="575"/>
      <c r="C17" s="605" t="n">
        <f aca="false">ROUND((B14*(B15*2)-($B$6*B16)),2)</f>
        <v>0</v>
      </c>
    </row>
    <row r="19" customFormat="false" ht="12.75" hidden="false" customHeight="false" outlineLevel="0" collapsed="false">
      <c r="A19" s="602" t="s">
        <v>518</v>
      </c>
      <c r="B19" s="602"/>
      <c r="C19" s="602"/>
    </row>
    <row r="20" customFormat="false" ht="12.75" hidden="false" customHeight="false" outlineLevel="0" collapsed="false">
      <c r="A20" s="522" t="s">
        <v>511</v>
      </c>
      <c r="B20" s="522" t="n">
        <f aca="false">+$B$4</f>
        <v>365.25</v>
      </c>
      <c r="C20" s="564"/>
    </row>
    <row r="21" customFormat="false" ht="12.75" hidden="false" customHeight="false" outlineLevel="0" collapsed="false">
      <c r="A21" s="522" t="s">
        <v>512</v>
      </c>
      <c r="B21" s="543" t="n">
        <v>12</v>
      </c>
      <c r="C21" s="564"/>
    </row>
    <row r="22" customFormat="false" ht="12.75" hidden="false" customHeight="false" outlineLevel="0" collapsed="false">
      <c r="A22" s="522" t="s">
        <v>513</v>
      </c>
      <c r="B22" s="533" t="n">
        <v>1</v>
      </c>
      <c r="C22" s="564"/>
    </row>
    <row r="23" customFormat="false" ht="12.75" hidden="false" customHeight="false" outlineLevel="0" collapsed="false">
      <c r="A23" s="543" t="s">
        <v>514</v>
      </c>
      <c r="B23" s="603" t="n">
        <f aca="false">+B5</f>
        <v>21.7410714285714</v>
      </c>
      <c r="C23" s="564"/>
    </row>
    <row r="24" customFormat="false" ht="12.75" hidden="false" customHeight="false" outlineLevel="0" collapsed="false">
      <c r="A24" s="548" t="s">
        <v>519</v>
      </c>
      <c r="B24" s="604"/>
      <c r="C24" s="564"/>
    </row>
    <row r="25" customFormat="false" ht="12.75" hidden="false" customHeight="false" outlineLevel="0" collapsed="false">
      <c r="A25" s="522" t="s">
        <v>520</v>
      </c>
      <c r="B25" s="533" t="n">
        <v>0.1</v>
      </c>
      <c r="C25" s="564"/>
    </row>
    <row r="26" customFormat="false" ht="12.75" hidden="false" customHeight="false" outlineLevel="0" collapsed="false">
      <c r="A26" s="575" t="s">
        <v>519</v>
      </c>
      <c r="B26" s="575"/>
      <c r="C26" s="605" t="n">
        <f aca="false">ROUND((B23*(B24)-((B23*B24)*B25)),2)</f>
        <v>0</v>
      </c>
    </row>
    <row r="28" customFormat="false" ht="12.75" hidden="false" customHeight="false" outlineLevel="0" collapsed="false">
      <c r="A28" s="602" t="s">
        <v>521</v>
      </c>
      <c r="B28" s="602"/>
      <c r="C28" s="602"/>
    </row>
    <row r="29" customFormat="false" ht="12.75" hidden="false" customHeight="false" outlineLevel="0" collapsed="false">
      <c r="A29" s="522" t="s">
        <v>522</v>
      </c>
      <c r="B29" s="534" t="n">
        <f aca="false">+B7</f>
        <v>0</v>
      </c>
      <c r="C29" s="564"/>
    </row>
    <row r="30" customFormat="false" ht="12.75" hidden="false" customHeight="false" outlineLevel="0" collapsed="false">
      <c r="A30" s="522" t="s">
        <v>523</v>
      </c>
      <c r="B30" s="522" t="n">
        <v>12</v>
      </c>
      <c r="C30" s="564"/>
    </row>
    <row r="31" customFormat="false" ht="12.75" hidden="false" customHeight="false" outlineLevel="0" collapsed="false">
      <c r="A31" s="546" t="s">
        <v>524</v>
      </c>
      <c r="B31" s="606"/>
      <c r="C31" s="564"/>
    </row>
    <row r="32" customFormat="false" ht="12.75" hidden="false" customHeight="false" outlineLevel="0" collapsed="false">
      <c r="A32" s="575" t="s">
        <v>525</v>
      </c>
      <c r="B32" s="575"/>
      <c r="C32" s="605" t="n">
        <f aca="false">ROUND(+(B29/B30)*B31,2)</f>
        <v>0</v>
      </c>
    </row>
    <row r="34" customFormat="false" ht="12.75" hidden="false" customHeight="true" outlineLevel="0" collapsed="false">
      <c r="A34" s="607" t="s">
        <v>526</v>
      </c>
      <c r="B34" s="607"/>
      <c r="C34" s="607"/>
    </row>
    <row r="35" s="46" customFormat="true" ht="12.75" hidden="false" customHeight="false" outlineLevel="0" collapsed="false">
      <c r="A35" s="608" t="s">
        <v>527</v>
      </c>
      <c r="B35" s="606" t="n">
        <f aca="false">+B31</f>
        <v>0</v>
      </c>
      <c r="C35" s="564"/>
    </row>
    <row r="36" customFormat="false" ht="12.75" hidden="false" customHeight="false" outlineLevel="0" collapsed="false">
      <c r="A36" s="522" t="s">
        <v>528</v>
      </c>
      <c r="B36" s="534" t="n">
        <f aca="false">+'Servente_44_seg_a_sex+insal40'!$D$23</f>
        <v>0</v>
      </c>
      <c r="C36" s="564"/>
    </row>
    <row r="37" customFormat="false" ht="12.75" hidden="false" customHeight="false" outlineLevel="0" collapsed="false">
      <c r="A37" s="522" t="s">
        <v>411</v>
      </c>
      <c r="B37" s="534" t="n">
        <f aca="false">+'Servente_44_seg_a_sex+insal40'!$D$29</f>
        <v>0</v>
      </c>
      <c r="C37" s="564"/>
    </row>
    <row r="38" customFormat="false" ht="12.75" hidden="false" customHeight="false" outlineLevel="0" collapsed="false">
      <c r="A38" s="522" t="s">
        <v>413</v>
      </c>
      <c r="B38" s="534" t="n">
        <f aca="false">+'Servente_44_seg_a_sex+insal40'!$D$31</f>
        <v>0</v>
      </c>
      <c r="C38" s="564"/>
    </row>
    <row r="39" customFormat="false" ht="12.75" hidden="false" customHeight="false" outlineLevel="0" collapsed="false">
      <c r="A39" s="522" t="s">
        <v>414</v>
      </c>
      <c r="B39" s="534" t="n">
        <f aca="false">+'Servente_44_seg_a_sex+insal40'!$D$32</f>
        <v>0</v>
      </c>
      <c r="C39" s="564"/>
    </row>
    <row r="40" customFormat="false" ht="12.75" hidden="false" customHeight="false" outlineLevel="0" collapsed="false">
      <c r="A40" s="609" t="s">
        <v>529</v>
      </c>
      <c r="B40" s="610" t="n">
        <f aca="false">SUM(B36:B39)</f>
        <v>0</v>
      </c>
      <c r="C40" s="564"/>
    </row>
    <row r="41" customFormat="false" ht="12.75" hidden="false" customHeight="false" outlineLevel="0" collapsed="false">
      <c r="A41" s="543" t="s">
        <v>530</v>
      </c>
      <c r="B41" s="533" t="n">
        <v>0.4</v>
      </c>
      <c r="C41" s="564"/>
    </row>
    <row r="42" customFormat="false" ht="12.75" hidden="false" customHeight="false" outlineLevel="0" collapsed="false">
      <c r="A42" s="543" t="s">
        <v>531</v>
      </c>
      <c r="B42" s="533" t="n">
        <f aca="false">+'Servente_44_seg_a_sex+insal40'!$C$44</f>
        <v>0.08</v>
      </c>
      <c r="C42" s="564"/>
    </row>
    <row r="43" customFormat="false" ht="12.75" hidden="false" customHeight="false" outlineLevel="0" collapsed="false">
      <c r="A43" s="577" t="s">
        <v>532</v>
      </c>
      <c r="B43" s="577"/>
      <c r="C43" s="578" t="n">
        <f aca="false">ROUND(+B40*B41*B42*B35,2)</f>
        <v>0</v>
      </c>
    </row>
    <row r="44" customFormat="false" ht="12.75" hidden="false" customHeight="false" outlineLevel="0" collapsed="false">
      <c r="A44" s="575" t="s">
        <v>533</v>
      </c>
      <c r="B44" s="575"/>
      <c r="C44" s="579" t="n">
        <f aca="false">+C43</f>
        <v>0</v>
      </c>
    </row>
    <row r="46" customFormat="false" ht="12.75" hidden="false" customHeight="false" outlineLevel="0" collapsed="false">
      <c r="A46" s="602" t="s">
        <v>534</v>
      </c>
      <c r="B46" s="602"/>
      <c r="C46" s="602"/>
    </row>
    <row r="47" customFormat="false" ht="12.75" hidden="false" customHeight="false" outlineLevel="0" collapsed="false">
      <c r="A47" s="522" t="s">
        <v>522</v>
      </c>
      <c r="B47" s="534" t="n">
        <f aca="false">+B7</f>
        <v>0</v>
      </c>
      <c r="C47" s="564"/>
    </row>
    <row r="48" customFormat="false" ht="12.75" hidden="false" customHeight="false" outlineLevel="0" collapsed="false">
      <c r="A48" s="522" t="s">
        <v>535</v>
      </c>
      <c r="B48" s="611" t="n">
        <v>30</v>
      </c>
      <c r="C48" s="564"/>
    </row>
    <row r="49" customFormat="false" ht="12.75" hidden="false" customHeight="false" outlineLevel="0" collapsed="false">
      <c r="A49" s="522" t="s">
        <v>523</v>
      </c>
      <c r="B49" s="522" t="n">
        <v>12</v>
      </c>
      <c r="C49" s="564"/>
    </row>
    <row r="50" customFormat="false" ht="12.75" hidden="false" customHeight="false" outlineLevel="0" collapsed="false">
      <c r="A50" s="522" t="s">
        <v>536</v>
      </c>
      <c r="B50" s="522" t="n">
        <v>7</v>
      </c>
      <c r="C50" s="564"/>
    </row>
    <row r="51" customFormat="false" ht="12.75" hidden="false" customHeight="false" outlineLevel="0" collapsed="false">
      <c r="A51" s="546" t="s">
        <v>537</v>
      </c>
      <c r="B51" s="606"/>
      <c r="C51" s="564"/>
    </row>
    <row r="52" customFormat="false" ht="12.75" hidden="false" customHeight="false" outlineLevel="0" collapsed="false">
      <c r="A52" s="575" t="s">
        <v>538</v>
      </c>
      <c r="B52" s="575"/>
      <c r="C52" s="605" t="n">
        <f aca="false">+ROUND(((B47/B48/B49)*B50)*B51,2)</f>
        <v>0</v>
      </c>
    </row>
    <row r="54" customFormat="false" ht="12.75" hidden="false" customHeight="true" outlineLevel="0" collapsed="false">
      <c r="A54" s="607" t="s">
        <v>539</v>
      </c>
      <c r="B54" s="607"/>
      <c r="C54" s="607"/>
    </row>
    <row r="55" customFormat="false" ht="12.75" hidden="false" customHeight="false" outlineLevel="0" collapsed="false">
      <c r="A55" s="608" t="s">
        <v>540</v>
      </c>
      <c r="B55" s="606" t="n">
        <f aca="false">+B51</f>
        <v>0</v>
      </c>
      <c r="C55" s="564"/>
    </row>
    <row r="56" customFormat="false" ht="12.75" hidden="false" customHeight="false" outlineLevel="0" collapsed="false">
      <c r="A56" s="522" t="s">
        <v>528</v>
      </c>
      <c r="B56" s="534" t="n">
        <f aca="false">+'Servente_44_seg_a_sex+insal40'!$D$23</f>
        <v>0</v>
      </c>
      <c r="C56" s="564"/>
    </row>
    <row r="57" customFormat="false" ht="12.75" hidden="false" customHeight="false" outlineLevel="0" collapsed="false">
      <c r="A57" s="522" t="s">
        <v>411</v>
      </c>
      <c r="B57" s="534" t="n">
        <f aca="false">+'Servente_44_seg_a_sex+insal40'!$D$29</f>
        <v>0</v>
      </c>
      <c r="C57" s="564"/>
    </row>
    <row r="58" customFormat="false" ht="12.75" hidden="false" customHeight="false" outlineLevel="0" collapsed="false">
      <c r="A58" s="522" t="s">
        <v>413</v>
      </c>
      <c r="B58" s="534" t="n">
        <f aca="false">+'Servente_44_seg_a_sex+insal40'!$D$31</f>
        <v>0</v>
      </c>
      <c r="C58" s="564"/>
    </row>
    <row r="59" customFormat="false" ht="12.75" hidden="false" customHeight="false" outlineLevel="0" collapsed="false">
      <c r="A59" s="522" t="s">
        <v>414</v>
      </c>
      <c r="B59" s="534" t="n">
        <f aca="false">+'Servente_44_seg_a_sex+insal40'!$D$32</f>
        <v>0</v>
      </c>
      <c r="C59" s="564"/>
    </row>
    <row r="60" customFormat="false" ht="12.75" hidden="false" customHeight="false" outlineLevel="0" collapsed="false">
      <c r="A60" s="609" t="s">
        <v>529</v>
      </c>
      <c r="B60" s="610" t="n">
        <f aca="false">SUM(B56:B59)</f>
        <v>0</v>
      </c>
      <c r="C60" s="564"/>
    </row>
    <row r="61" customFormat="false" ht="12.75" hidden="false" customHeight="false" outlineLevel="0" collapsed="false">
      <c r="A61" s="543" t="s">
        <v>530</v>
      </c>
      <c r="B61" s="533" t="n">
        <v>0.4</v>
      </c>
      <c r="C61" s="564"/>
    </row>
    <row r="62" customFormat="false" ht="12.75" hidden="false" customHeight="false" outlineLevel="0" collapsed="false">
      <c r="A62" s="543" t="s">
        <v>531</v>
      </c>
      <c r="B62" s="533" t="n">
        <f aca="false">+'Servente_44_seg_a_sex+insal40'!$C$44</f>
        <v>0.08</v>
      </c>
      <c r="C62" s="564"/>
    </row>
    <row r="63" customFormat="false" ht="12.75" hidden="false" customHeight="false" outlineLevel="0" collapsed="false">
      <c r="A63" s="577" t="s">
        <v>532</v>
      </c>
      <c r="B63" s="577"/>
      <c r="C63" s="578" t="n">
        <f aca="false">ROUND(+B60*B61*B62*B55,2)</f>
        <v>0</v>
      </c>
    </row>
    <row r="64" customFormat="false" ht="12.75" hidden="false" customHeight="false" outlineLevel="0" collapsed="false">
      <c r="A64" s="575" t="s">
        <v>541</v>
      </c>
      <c r="B64" s="575"/>
      <c r="C64" s="579" t="n">
        <f aca="false">+C63</f>
        <v>0</v>
      </c>
    </row>
    <row r="66" customFormat="false" ht="12.75" hidden="false" customHeight="true" outlineLevel="0" collapsed="false">
      <c r="A66" s="607" t="s">
        <v>542</v>
      </c>
      <c r="B66" s="607"/>
      <c r="C66" s="607"/>
    </row>
    <row r="67" customFormat="false" ht="12.75" hidden="false" customHeight="true" outlineLevel="0" collapsed="false">
      <c r="A67" s="612" t="s">
        <v>543</v>
      </c>
      <c r="B67" s="612"/>
      <c r="C67" s="612"/>
    </row>
    <row r="68" customFormat="false" ht="12.75" hidden="false" customHeight="false" outlineLevel="0" collapsed="false">
      <c r="A68" s="612"/>
      <c r="B68" s="612"/>
      <c r="C68" s="612"/>
    </row>
    <row r="69" customFormat="false" ht="12.75" hidden="false" customHeight="false" outlineLevel="0" collapsed="false">
      <c r="A69" s="612"/>
      <c r="B69" s="612"/>
      <c r="C69" s="612"/>
    </row>
    <row r="70" customFormat="false" ht="12.75" hidden="false" customHeight="false" outlineLevel="0" collapsed="false">
      <c r="A70" s="612"/>
      <c r="B70" s="612"/>
      <c r="C70" s="612"/>
    </row>
    <row r="71" customFormat="false" ht="12.75" hidden="false" customHeight="false" outlineLevel="0" collapsed="false">
      <c r="A71" s="613"/>
      <c r="B71" s="613"/>
      <c r="C71" s="613"/>
    </row>
    <row r="72" customFormat="false" ht="12.75" hidden="false" customHeight="true" outlineLevel="0" collapsed="false">
      <c r="A72" s="607" t="s">
        <v>544</v>
      </c>
      <c r="B72" s="607"/>
      <c r="C72" s="607"/>
    </row>
    <row r="73" customFormat="false" ht="12.75" hidden="false" customHeight="false" outlineLevel="0" collapsed="false">
      <c r="A73" s="522" t="s">
        <v>545</v>
      </c>
      <c r="B73" s="534" t="n">
        <f aca="false">+$B$7</f>
        <v>0</v>
      </c>
      <c r="C73" s="564"/>
    </row>
    <row r="74" customFormat="false" ht="12.75" hidden="false" customHeight="false" outlineLevel="0" collapsed="false">
      <c r="A74" s="522" t="s">
        <v>512</v>
      </c>
      <c r="B74" s="522" t="n">
        <v>30</v>
      </c>
      <c r="C74" s="564"/>
    </row>
    <row r="75" customFormat="false" ht="12.75" hidden="false" customHeight="false" outlineLevel="0" collapsed="false">
      <c r="A75" s="522" t="s">
        <v>546</v>
      </c>
      <c r="B75" s="522" t="n">
        <v>12</v>
      </c>
      <c r="C75" s="564"/>
    </row>
    <row r="76" customFormat="false" ht="12.75" hidden="false" customHeight="false" outlineLevel="0" collapsed="false">
      <c r="A76" s="546" t="s">
        <v>547</v>
      </c>
      <c r="B76" s="546"/>
      <c r="C76" s="564"/>
    </row>
    <row r="77" customFormat="false" ht="12.75" hidden="false" customHeight="false" outlineLevel="0" collapsed="false">
      <c r="A77" s="575" t="s">
        <v>548</v>
      </c>
      <c r="B77" s="575"/>
      <c r="C77" s="556" t="n">
        <f aca="false">+ROUND((B73/B74/B75)*B76,2)</f>
        <v>0</v>
      </c>
    </row>
    <row r="79" customFormat="false" ht="12.75" hidden="false" customHeight="true" outlineLevel="0" collapsed="false">
      <c r="A79" s="607" t="s">
        <v>549</v>
      </c>
      <c r="B79" s="607"/>
      <c r="C79" s="607"/>
    </row>
    <row r="80" customFormat="false" ht="12.75" hidden="false" customHeight="false" outlineLevel="0" collapsed="false">
      <c r="A80" s="522" t="s">
        <v>545</v>
      </c>
      <c r="B80" s="534" t="n">
        <f aca="false">+$B$7</f>
        <v>0</v>
      </c>
      <c r="C80" s="564"/>
    </row>
    <row r="81" customFormat="false" ht="12.75" hidden="false" customHeight="false" outlineLevel="0" collapsed="false">
      <c r="A81" s="522" t="s">
        <v>512</v>
      </c>
      <c r="B81" s="522" t="n">
        <v>30</v>
      </c>
      <c r="C81" s="564"/>
    </row>
    <row r="82" customFormat="false" ht="12.75" hidden="false" customHeight="false" outlineLevel="0" collapsed="false">
      <c r="A82" s="522" t="s">
        <v>546</v>
      </c>
      <c r="B82" s="522" t="n">
        <v>12</v>
      </c>
      <c r="C82" s="564"/>
    </row>
    <row r="83" customFormat="false" ht="12.75" hidden="false" customHeight="false" outlineLevel="0" collapsed="false">
      <c r="A83" s="543" t="s">
        <v>550</v>
      </c>
      <c r="B83" s="522" t="n">
        <v>5</v>
      </c>
      <c r="C83" s="564"/>
    </row>
    <row r="84" customFormat="false" ht="12.75" hidden="false" customHeight="false" outlineLevel="0" collapsed="false">
      <c r="A84" s="546" t="s">
        <v>551</v>
      </c>
      <c r="B84" s="606"/>
      <c r="C84" s="564"/>
    </row>
    <row r="85" customFormat="false" ht="12.75" hidden="false" customHeight="false" outlineLevel="0" collapsed="false">
      <c r="A85" s="546" t="s">
        <v>552</v>
      </c>
      <c r="B85" s="606"/>
      <c r="C85" s="564"/>
    </row>
    <row r="86" customFormat="false" ht="12.75" hidden="false" customHeight="false" outlineLevel="0" collapsed="false">
      <c r="A86" s="575" t="s">
        <v>553</v>
      </c>
      <c r="B86" s="575"/>
      <c r="C86" s="605" t="n">
        <f aca="false">ROUND(+B80/B81/B82*B83*B84*B85,2)</f>
        <v>0</v>
      </c>
    </row>
    <row r="88" customFormat="false" ht="12.75" hidden="false" customHeight="true" outlineLevel="0" collapsed="false">
      <c r="A88" s="607" t="s">
        <v>554</v>
      </c>
      <c r="B88" s="607"/>
      <c r="C88" s="607"/>
    </row>
    <row r="89" customFormat="false" ht="12.75" hidden="false" customHeight="false" outlineLevel="0" collapsed="false">
      <c r="A89" s="522" t="s">
        <v>545</v>
      </c>
      <c r="B89" s="534" t="n">
        <f aca="false">+$B$7</f>
        <v>0</v>
      </c>
      <c r="C89" s="564"/>
    </row>
    <row r="90" customFormat="false" ht="12.75" hidden="false" customHeight="false" outlineLevel="0" collapsed="false">
      <c r="A90" s="522" t="s">
        <v>512</v>
      </c>
      <c r="B90" s="522" t="n">
        <v>30</v>
      </c>
      <c r="C90" s="564"/>
    </row>
    <row r="91" customFormat="false" ht="12.75" hidden="false" customHeight="false" outlineLevel="0" collapsed="false">
      <c r="A91" s="522" t="s">
        <v>546</v>
      </c>
      <c r="B91" s="522" t="n">
        <v>12</v>
      </c>
      <c r="C91" s="564"/>
    </row>
    <row r="92" customFormat="false" ht="12.75" hidden="false" customHeight="false" outlineLevel="0" collapsed="false">
      <c r="A92" s="543" t="s">
        <v>555</v>
      </c>
      <c r="B92" s="522" t="n">
        <v>15</v>
      </c>
      <c r="C92" s="564"/>
    </row>
    <row r="93" customFormat="false" ht="12.75" hidden="false" customHeight="false" outlineLevel="0" collapsed="false">
      <c r="A93" s="546" t="s">
        <v>556</v>
      </c>
      <c r="B93" s="606"/>
      <c r="C93" s="564"/>
    </row>
    <row r="94" customFormat="false" ht="12.75" hidden="false" customHeight="false" outlineLevel="0" collapsed="false">
      <c r="A94" s="575" t="s">
        <v>557</v>
      </c>
      <c r="B94" s="575"/>
      <c r="C94" s="605" t="n">
        <f aca="false">ROUND(+B89/B90/B91*B92*B93,2)</f>
        <v>0</v>
      </c>
    </row>
    <row r="96" customFormat="false" ht="12.75" hidden="false" customHeight="true" outlineLevel="0" collapsed="false">
      <c r="A96" s="607" t="s">
        <v>558</v>
      </c>
      <c r="B96" s="607"/>
      <c r="C96" s="607"/>
    </row>
    <row r="97" customFormat="false" ht="12.75" hidden="false" customHeight="false" outlineLevel="0" collapsed="false">
      <c r="A97" s="522" t="s">
        <v>545</v>
      </c>
      <c r="B97" s="534" t="n">
        <f aca="false">+$B$7</f>
        <v>0</v>
      </c>
      <c r="C97" s="564"/>
    </row>
    <row r="98" customFormat="false" ht="12.75" hidden="false" customHeight="false" outlineLevel="0" collapsed="false">
      <c r="A98" s="522" t="s">
        <v>512</v>
      </c>
      <c r="B98" s="522" t="n">
        <v>30</v>
      </c>
      <c r="C98" s="564"/>
    </row>
    <row r="99" customFormat="false" ht="12.75" hidden="false" customHeight="false" outlineLevel="0" collapsed="false">
      <c r="A99" s="522" t="s">
        <v>546</v>
      </c>
      <c r="B99" s="522" t="n">
        <v>12</v>
      </c>
      <c r="C99" s="564"/>
    </row>
    <row r="100" customFormat="false" ht="12.75" hidden="false" customHeight="false" outlineLevel="0" collapsed="false">
      <c r="A100" s="543" t="s">
        <v>555</v>
      </c>
      <c r="B100" s="522" t="n">
        <v>5</v>
      </c>
      <c r="C100" s="564"/>
    </row>
    <row r="101" customFormat="false" ht="12.75" hidden="false" customHeight="false" outlineLevel="0" collapsed="false">
      <c r="A101" s="546" t="s">
        <v>559</v>
      </c>
      <c r="B101" s="606"/>
      <c r="C101" s="564"/>
    </row>
    <row r="102" customFormat="false" ht="12.75" hidden="false" customHeight="false" outlineLevel="0" collapsed="false">
      <c r="A102" s="575" t="s">
        <v>560</v>
      </c>
      <c r="B102" s="575"/>
      <c r="C102" s="605" t="n">
        <f aca="false">ROUND(+B97/B98/B99*B100*B101,2)</f>
        <v>0</v>
      </c>
    </row>
    <row r="104" customFormat="false" ht="12.75" hidden="false" customHeight="true" outlineLevel="0" collapsed="false">
      <c r="A104" s="607" t="s">
        <v>562</v>
      </c>
      <c r="B104" s="607"/>
      <c r="C104" s="607"/>
    </row>
    <row r="105" customFormat="false" ht="12.75" hidden="false" customHeight="true" outlineLevel="0" collapsed="false">
      <c r="A105" s="614" t="s">
        <v>563</v>
      </c>
      <c r="B105" s="614"/>
      <c r="C105" s="614"/>
    </row>
    <row r="106" customFormat="false" ht="12.75" hidden="false" customHeight="false" outlineLevel="0" collapsed="false">
      <c r="A106" s="522" t="s">
        <v>545</v>
      </c>
      <c r="B106" s="534" t="n">
        <f aca="false">+$B$7</f>
        <v>0</v>
      </c>
      <c r="C106" s="564"/>
    </row>
    <row r="107" customFormat="false" ht="12.75" hidden="false" customHeight="false" outlineLevel="0" collapsed="false">
      <c r="A107" s="522" t="s">
        <v>564</v>
      </c>
      <c r="B107" s="534" t="n">
        <f aca="false">+B106*(1/3)</f>
        <v>0</v>
      </c>
      <c r="C107" s="564"/>
    </row>
    <row r="108" customFormat="false" ht="12.75" hidden="false" customHeight="false" outlineLevel="0" collapsed="false">
      <c r="A108" s="609" t="s">
        <v>529</v>
      </c>
      <c r="B108" s="610" t="n">
        <f aca="false">SUM(B106:B107)</f>
        <v>0</v>
      </c>
      <c r="C108" s="564"/>
    </row>
    <row r="109" customFormat="false" ht="12.75" hidden="false" customHeight="false" outlineLevel="0" collapsed="false">
      <c r="A109" s="522" t="s">
        <v>565</v>
      </c>
      <c r="B109" s="522" t="n">
        <v>4</v>
      </c>
      <c r="C109" s="564"/>
    </row>
    <row r="110" customFormat="false" ht="12.75" hidden="false" customHeight="false" outlineLevel="0" collapsed="false">
      <c r="A110" s="522" t="s">
        <v>546</v>
      </c>
      <c r="B110" s="522" t="n">
        <v>12</v>
      </c>
      <c r="C110" s="564"/>
    </row>
    <row r="111" customFormat="false" ht="12.75" hidden="false" customHeight="false" outlineLevel="0" collapsed="false">
      <c r="A111" s="546" t="s">
        <v>566</v>
      </c>
      <c r="B111" s="606"/>
      <c r="C111" s="564"/>
    </row>
    <row r="112" customFormat="false" ht="12.75" hidden="false" customHeight="false" outlineLevel="0" collapsed="false">
      <c r="A112" s="546" t="s">
        <v>567</v>
      </c>
      <c r="B112" s="606"/>
      <c r="C112" s="564"/>
    </row>
    <row r="113" customFormat="false" ht="12.75" hidden="false" customHeight="false" outlineLevel="0" collapsed="false">
      <c r="A113" s="575" t="s">
        <v>568</v>
      </c>
      <c r="B113" s="575"/>
      <c r="C113" s="605" t="n">
        <f aca="false">ROUND((((+B108*(B109/B110)/B110)*B111)*B112),2)</f>
        <v>0</v>
      </c>
    </row>
    <row r="114" customFormat="false" ht="12.75" hidden="false" customHeight="false" outlineLevel="0" collapsed="false">
      <c r="A114" s="575" t="s">
        <v>569</v>
      </c>
      <c r="B114" s="575"/>
      <c r="C114" s="575"/>
    </row>
    <row r="115" customFormat="false" ht="12.75" hidden="false" customHeight="false" outlineLevel="0" collapsed="false">
      <c r="A115" s="522" t="s">
        <v>545</v>
      </c>
      <c r="B115" s="534" t="n">
        <f aca="false">+'Servente_44_seg_a_sex+insal40'!D23</f>
        <v>0</v>
      </c>
      <c r="C115" s="564"/>
    </row>
    <row r="116" customFormat="false" ht="12.75" hidden="false" customHeight="false" outlineLevel="0" collapsed="false">
      <c r="A116" s="522" t="s">
        <v>411</v>
      </c>
      <c r="B116" s="534" t="n">
        <f aca="false">+'Servente_44_seg_a_sex+insal40'!D29</f>
        <v>0</v>
      </c>
      <c r="C116" s="564"/>
    </row>
    <row r="117" customFormat="false" ht="12.75" hidden="false" customHeight="false" outlineLevel="0" collapsed="false">
      <c r="A117" s="609" t="s">
        <v>529</v>
      </c>
      <c r="B117" s="610" t="n">
        <f aca="false">SUM(B115:B116)</f>
        <v>0</v>
      </c>
      <c r="C117" s="564"/>
    </row>
    <row r="118" customFormat="false" ht="12.75" hidden="false" customHeight="false" outlineLevel="0" collapsed="false">
      <c r="A118" s="522" t="s">
        <v>565</v>
      </c>
      <c r="B118" s="522" t="n">
        <v>4</v>
      </c>
      <c r="C118" s="564"/>
    </row>
    <row r="119" customFormat="false" ht="12.75" hidden="false" customHeight="false" outlineLevel="0" collapsed="false">
      <c r="A119" s="522" t="s">
        <v>546</v>
      </c>
      <c r="B119" s="522" t="n">
        <v>12</v>
      </c>
      <c r="C119" s="564"/>
    </row>
    <row r="120" customFormat="false" ht="12.75" hidden="false" customHeight="false" outlineLevel="0" collapsed="false">
      <c r="A120" s="546" t="s">
        <v>566</v>
      </c>
      <c r="B120" s="606" t="n">
        <f aca="false">+B111</f>
        <v>0</v>
      </c>
      <c r="C120" s="564"/>
    </row>
    <row r="121" customFormat="false" ht="12.75" hidden="false" customHeight="false" outlineLevel="0" collapsed="false">
      <c r="A121" s="546" t="s">
        <v>567</v>
      </c>
      <c r="B121" s="606" t="n">
        <f aca="false">+B112</f>
        <v>0</v>
      </c>
      <c r="C121" s="564"/>
    </row>
    <row r="122" customFormat="false" ht="12.75" hidden="false" customHeight="false" outlineLevel="0" collapsed="false">
      <c r="A122" s="543" t="s">
        <v>570</v>
      </c>
      <c r="B122" s="533" t="n">
        <f aca="false">+'Servente_44_seg_a_sex+insal40'!C45</f>
        <v>0.368</v>
      </c>
      <c r="C122" s="564"/>
    </row>
    <row r="123" customFormat="false" ht="12.75" hidden="false" customHeight="false" outlineLevel="0" collapsed="false">
      <c r="A123" s="575" t="s">
        <v>571</v>
      </c>
      <c r="B123" s="575"/>
      <c r="C123" s="579" t="n">
        <f aca="false">ROUND((((B117*(B118/B119)*B120)*B121)*B122),2)</f>
        <v>0</v>
      </c>
    </row>
    <row r="125" customFormat="false" ht="33.75" hidden="false" customHeight="true" outlineLevel="0" collapsed="false">
      <c r="A125" s="615" t="s">
        <v>575</v>
      </c>
      <c r="B125" s="615"/>
      <c r="C125" s="615"/>
    </row>
  </sheetData>
  <mergeCells count="31">
    <mergeCell ref="A1:C1"/>
    <mergeCell ref="A10:C10"/>
    <mergeCell ref="A17:B17"/>
    <mergeCell ref="A19:C19"/>
    <mergeCell ref="A26:B26"/>
    <mergeCell ref="A28:C28"/>
    <mergeCell ref="A32:B32"/>
    <mergeCell ref="A34:C34"/>
    <mergeCell ref="A43:B43"/>
    <mergeCell ref="A44:B44"/>
    <mergeCell ref="A46:C46"/>
    <mergeCell ref="A52:B52"/>
    <mergeCell ref="A54:C54"/>
    <mergeCell ref="A63:B63"/>
    <mergeCell ref="A64:B64"/>
    <mergeCell ref="A66:C66"/>
    <mergeCell ref="A67:C70"/>
    <mergeCell ref="A72:C72"/>
    <mergeCell ref="A77:B77"/>
    <mergeCell ref="A79:C79"/>
    <mergeCell ref="A86:B86"/>
    <mergeCell ref="A88:C88"/>
    <mergeCell ref="A94:B94"/>
    <mergeCell ref="A96:C96"/>
    <mergeCell ref="A102:B102"/>
    <mergeCell ref="A104:C104"/>
    <mergeCell ref="A105:C105"/>
    <mergeCell ref="A113:B113"/>
    <mergeCell ref="A114:C114"/>
    <mergeCell ref="A123:B123"/>
    <mergeCell ref="A125:C125"/>
  </mergeCells>
  <printOptions headings="false" gridLines="false" gridLinesSet="true" horizontalCentered="false" verticalCentered="false"/>
  <pageMargins left="1.42013888888889" right="0.236111111111111" top="0.315277777777778" bottom="0.296527777777778" header="0.315277777777778" footer="0.157638888888889"/>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G15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08"/>
    <col collapsed="false" customWidth="true" hidden="false" outlineLevel="0" max="2" min="2" style="44" width="54.54"/>
    <col collapsed="false" customWidth="true" hidden="false" outlineLevel="0" max="3" min="3" style="44" width="10.12"/>
    <col collapsed="false" customWidth="true" hidden="false" outlineLevel="0" max="4" min="4" style="44" width="16.87"/>
    <col collapsed="false" customWidth="true" hidden="false" outlineLevel="0" max="5" min="5" style="44" width="12.69"/>
    <col collapsed="false" customWidth="true" hidden="false" outlineLevel="0" max="1025" min="6" style="44" width="8.64"/>
  </cols>
  <sheetData>
    <row r="1" customFormat="false" ht="12.75" hidden="false" customHeight="false" outlineLevel="0" collapsed="false">
      <c r="A1" s="492" t="s">
        <v>374</v>
      </c>
      <c r="B1" s="492"/>
      <c r="C1" s="492"/>
      <c r="D1" s="492"/>
      <c r="E1" s="493"/>
      <c r="F1" s="493"/>
    </row>
    <row r="3" customFormat="false" ht="12.75" hidden="false" customHeight="false" outlineLevel="0" collapsed="false">
      <c r="A3" s="494" t="s">
        <v>375</v>
      </c>
      <c r="B3" s="494"/>
      <c r="C3" s="494"/>
      <c r="D3" s="494"/>
    </row>
    <row r="4" s="498" customFormat="true" ht="30" hidden="false" customHeight="true" outlineLevel="0" collapsed="false">
      <c r="A4" s="638" t="n">
        <v>1</v>
      </c>
      <c r="B4" s="639" t="s">
        <v>376</v>
      </c>
      <c r="C4" s="640" t="s">
        <v>578</v>
      </c>
      <c r="D4" s="640"/>
    </row>
    <row r="5" s="498" customFormat="true" ht="12.75" hidden="false" customHeight="false" outlineLevel="0" collapsed="false">
      <c r="A5" s="638" t="n">
        <v>2</v>
      </c>
      <c r="B5" s="639" t="s">
        <v>378</v>
      </c>
      <c r="C5" s="641" t="s">
        <v>574</v>
      </c>
      <c r="D5" s="641"/>
    </row>
    <row r="6" s="498" customFormat="true" ht="12.75" hidden="false" customHeight="false" outlineLevel="0" collapsed="false">
      <c r="A6" s="638" t="n">
        <v>3</v>
      </c>
      <c r="B6" s="639" t="s">
        <v>380</v>
      </c>
      <c r="C6" s="642" t="n">
        <f aca="false">+APRESENTACAO!G21</f>
        <v>0</v>
      </c>
      <c r="D6" s="642"/>
    </row>
    <row r="7" s="498" customFormat="true" ht="12.75" hidden="false" customHeight="true" outlineLevel="0" collapsed="false">
      <c r="A7" s="638" t="n">
        <v>4</v>
      </c>
      <c r="B7" s="639" t="s">
        <v>381</v>
      </c>
      <c r="C7" s="643" t="s">
        <v>382</v>
      </c>
      <c r="D7" s="643"/>
    </row>
    <row r="8" s="498" customFormat="true" ht="12.75" hidden="false" customHeight="false" outlineLevel="0" collapsed="false">
      <c r="A8" s="638" t="n">
        <v>5</v>
      </c>
      <c r="B8" s="639" t="s">
        <v>383</v>
      </c>
      <c r="C8" s="644" t="n">
        <v>43524</v>
      </c>
      <c r="D8" s="644"/>
    </row>
    <row r="9" customFormat="false" ht="12.75" hidden="false" customHeight="false" outlineLevel="0" collapsed="false">
      <c r="D9" s="623"/>
    </row>
    <row r="10" customFormat="false" ht="12.75" hidden="false" customHeight="false" outlineLevel="0" collapsed="false">
      <c r="A10" s="505" t="s">
        <v>384</v>
      </c>
      <c r="B10" s="505"/>
      <c r="C10" s="505"/>
      <c r="D10" s="505"/>
    </row>
    <row r="11" customFormat="false" ht="12.75" hidden="false" customHeight="false" outlineLevel="0" collapsed="false">
      <c r="A11" s="506" t="n">
        <v>1</v>
      </c>
      <c r="B11" s="507" t="s">
        <v>385</v>
      </c>
      <c r="C11" s="492" t="s">
        <v>386</v>
      </c>
      <c r="D11" s="508" t="s">
        <v>387</v>
      </c>
    </row>
    <row r="12" customFormat="false" ht="12.75" hidden="false" customHeight="false" outlineLevel="0" collapsed="false">
      <c r="A12" s="509" t="s">
        <v>15</v>
      </c>
      <c r="B12" s="509" t="s">
        <v>388</v>
      </c>
      <c r="C12" s="509"/>
      <c r="D12" s="510" t="n">
        <f aca="false">+C6</f>
        <v>0</v>
      </c>
    </row>
    <row r="13" customFormat="false" ht="12.75" hidden="false" customHeight="false" outlineLevel="0" collapsed="false">
      <c r="A13" s="509" t="s">
        <v>17</v>
      </c>
      <c r="B13" s="511" t="s">
        <v>389</v>
      </c>
      <c r="C13" s="512"/>
      <c r="D13" s="510"/>
      <c r="E13" s="513"/>
    </row>
    <row r="14" customFormat="false" ht="12.75" hidden="false" customHeight="false" outlineLevel="0" collapsed="false">
      <c r="A14" s="509" t="s">
        <v>20</v>
      </c>
      <c r="B14" s="511" t="s">
        <v>390</v>
      </c>
      <c r="C14" s="512" t="n">
        <v>0.2</v>
      </c>
      <c r="D14" s="510" t="n">
        <f aca="false">+C14*D12</f>
        <v>0</v>
      </c>
    </row>
    <row r="15" customFormat="false" ht="12.75" hidden="false" customHeight="false" outlineLevel="0" collapsed="false">
      <c r="A15" s="509" t="s">
        <v>22</v>
      </c>
      <c r="B15" s="509" t="s">
        <v>391</v>
      </c>
      <c r="C15" s="509"/>
      <c r="D15" s="510"/>
    </row>
    <row r="16" customFormat="false" ht="12.75" hidden="false" customHeight="false" outlineLevel="0" collapsed="false">
      <c r="A16" s="509" t="s">
        <v>392</v>
      </c>
      <c r="B16" s="509" t="s">
        <v>393</v>
      </c>
      <c r="C16" s="509"/>
      <c r="D16" s="510"/>
    </row>
    <row r="17" customFormat="false" ht="12.75" hidden="false" customHeight="false" outlineLevel="0" collapsed="false">
      <c r="A17" s="509" t="s">
        <v>394</v>
      </c>
      <c r="B17" s="509" t="s">
        <v>395</v>
      </c>
      <c r="C17" s="509"/>
      <c r="D17" s="510"/>
    </row>
    <row r="18" customFormat="false" ht="12.75" hidden="false" customHeight="false" outlineLevel="0" collapsed="false">
      <c r="A18" s="509" t="s">
        <v>396</v>
      </c>
      <c r="B18" s="509" t="s">
        <v>397</v>
      </c>
      <c r="C18" s="509"/>
      <c r="D18" s="510"/>
    </row>
    <row r="19" customFormat="false" ht="12.75" hidden="false" customHeight="false" outlineLevel="0" collapsed="false">
      <c r="A19" s="509" t="s">
        <v>398</v>
      </c>
      <c r="B19" s="509" t="s">
        <v>399</v>
      </c>
      <c r="C19" s="509"/>
      <c r="D19" s="514"/>
    </row>
    <row r="20" customFormat="false" ht="12.75" hidden="false" customHeight="false" outlineLevel="0" collapsed="false">
      <c r="A20" s="509" t="s">
        <v>400</v>
      </c>
      <c r="B20" s="511" t="s">
        <v>401</v>
      </c>
      <c r="C20" s="512"/>
      <c r="D20" s="510"/>
    </row>
    <row r="21" customFormat="false" ht="12.75" hidden="false" customHeight="false" outlineLevel="0" collapsed="false">
      <c r="A21" s="509" t="s">
        <v>402</v>
      </c>
      <c r="B21" s="509" t="s">
        <v>403</v>
      </c>
      <c r="C21" s="509"/>
      <c r="D21" s="515"/>
      <c r="F21" s="516"/>
    </row>
    <row r="22" customFormat="false" ht="12.75" hidden="false" customHeight="false" outlineLevel="0" collapsed="false">
      <c r="A22" s="509" t="s">
        <v>404</v>
      </c>
      <c r="B22" s="509" t="s">
        <v>405</v>
      </c>
      <c r="C22" s="509"/>
      <c r="D22" s="515"/>
    </row>
    <row r="23" customFormat="false" ht="12.75" hidden="false" customHeight="false" outlineLevel="0" collapsed="false">
      <c r="A23" s="494" t="s">
        <v>406</v>
      </c>
      <c r="B23" s="494"/>
      <c r="C23" s="494"/>
      <c r="D23" s="517" t="n">
        <f aca="false">SUM(D12:D22)</f>
        <v>0</v>
      </c>
    </row>
    <row r="25" customFormat="false" ht="12.75" hidden="false" customHeight="false" outlineLevel="0" collapsed="false">
      <c r="A25" s="505" t="s">
        <v>407</v>
      </c>
      <c r="B25" s="505"/>
      <c r="C25" s="505"/>
      <c r="D25" s="505"/>
    </row>
    <row r="27" customFormat="false" ht="12.75" hidden="false" customHeight="false" outlineLevel="0" collapsed="false">
      <c r="A27" s="505" t="s">
        <v>408</v>
      </c>
      <c r="B27" s="505"/>
      <c r="C27" s="505"/>
      <c r="D27" s="505"/>
    </row>
    <row r="28" customFormat="false" ht="12.75" hidden="false" customHeight="false" outlineLevel="0" collapsed="false">
      <c r="A28" s="518" t="s">
        <v>409</v>
      </c>
      <c r="B28" s="519" t="s">
        <v>410</v>
      </c>
      <c r="C28" s="520" t="s">
        <v>386</v>
      </c>
      <c r="D28" s="521" t="s">
        <v>387</v>
      </c>
    </row>
    <row r="29" customFormat="false" ht="12.75" hidden="false" customHeight="false" outlineLevel="0" collapsed="false">
      <c r="A29" s="509" t="s">
        <v>15</v>
      </c>
      <c r="B29" s="522" t="s">
        <v>411</v>
      </c>
      <c r="C29" s="523" t="e">
        <f aca="false">ROUND(+D29/$D$23,4)</f>
        <v>#DIV/0!</v>
      </c>
      <c r="D29" s="515" t="n">
        <f aca="false">ROUND(+D23/12,2)</f>
        <v>0</v>
      </c>
    </row>
    <row r="30" customFormat="false" ht="12.75" hidden="false" customHeight="false" outlineLevel="0" collapsed="false">
      <c r="A30" s="524" t="s">
        <v>17</v>
      </c>
      <c r="B30" s="525" t="s">
        <v>412</v>
      </c>
      <c r="C30" s="526" t="e">
        <f aca="false">ROUND(+D30/$D$23,4)</f>
        <v>#DIV/0!</v>
      </c>
      <c r="D30" s="527" t="n">
        <f aca="false">+D31+D32</f>
        <v>0</v>
      </c>
    </row>
    <row r="31" customFormat="false" ht="12.75" hidden="false" customHeight="false" outlineLevel="0" collapsed="false">
      <c r="A31" s="509" t="s">
        <v>77</v>
      </c>
      <c r="B31" s="528" t="s">
        <v>413</v>
      </c>
      <c r="C31" s="529" t="e">
        <f aca="false">ROUND(+D31/$D$23,4)</f>
        <v>#DIV/0!</v>
      </c>
      <c r="D31" s="530" t="n">
        <f aca="false">ROUND(+D23/12,2)</f>
        <v>0</v>
      </c>
    </row>
    <row r="32" customFormat="false" ht="12.75" hidden="false" customHeight="false" outlineLevel="0" collapsed="false">
      <c r="A32" s="509" t="s">
        <v>91</v>
      </c>
      <c r="B32" s="528" t="s">
        <v>414</v>
      </c>
      <c r="C32" s="529" t="e">
        <f aca="false">ROUND(+D32/$D$23,4)</f>
        <v>#DIV/0!</v>
      </c>
      <c r="D32" s="530" t="n">
        <f aca="false">ROUND(+(D23*1/3)/12,2)</f>
        <v>0</v>
      </c>
    </row>
    <row r="33" customFormat="false" ht="12.75" hidden="false" customHeight="false" outlineLevel="0" collapsed="false">
      <c r="A33" s="494" t="s">
        <v>406</v>
      </c>
      <c r="B33" s="494"/>
      <c r="C33" s="494"/>
      <c r="D33" s="517" t="n">
        <f aca="false">+D30+D29</f>
        <v>0</v>
      </c>
    </row>
    <row r="35" customFormat="false" ht="12.75" hidden="false" customHeight="true" outlineLevel="0" collapsed="false">
      <c r="A35" s="531" t="s">
        <v>415</v>
      </c>
      <c r="B35" s="531"/>
      <c r="C35" s="531"/>
      <c r="D35" s="531"/>
    </row>
    <row r="36" customFormat="false" ht="12.75" hidden="false" customHeight="false" outlineLevel="0" collapsed="false">
      <c r="A36" s="518" t="s">
        <v>416</v>
      </c>
      <c r="B36" s="532" t="s">
        <v>417</v>
      </c>
      <c r="C36" s="520" t="s">
        <v>386</v>
      </c>
      <c r="D36" s="521" t="s">
        <v>387</v>
      </c>
    </row>
    <row r="37" customFormat="false" ht="12.75" hidden="false" customHeight="false" outlineLevel="0" collapsed="false">
      <c r="A37" s="509" t="s">
        <v>15</v>
      </c>
      <c r="B37" s="522" t="s">
        <v>418</v>
      </c>
      <c r="C37" s="533" t="n">
        <v>0.2</v>
      </c>
      <c r="D37" s="534" t="n">
        <f aca="false">ROUND(C37*($D$23+$D$33),2)</f>
        <v>0</v>
      </c>
    </row>
    <row r="38" customFormat="false" ht="12.75" hidden="false" customHeight="false" outlineLevel="0" collapsed="false">
      <c r="A38" s="509" t="s">
        <v>17</v>
      </c>
      <c r="B38" s="522" t="s">
        <v>419</v>
      </c>
      <c r="C38" s="533" t="n">
        <v>0.025</v>
      </c>
      <c r="D38" s="534" t="n">
        <f aca="false">ROUND(C38*($D$23+$D$33),2)</f>
        <v>0</v>
      </c>
    </row>
    <row r="39" customFormat="false" ht="12.75" hidden="false" customHeight="false" outlineLevel="0" collapsed="false">
      <c r="A39" s="509" t="s">
        <v>20</v>
      </c>
      <c r="B39" s="522" t="s">
        <v>420</v>
      </c>
      <c r="C39" s="533" t="n">
        <f aca="false">3%</f>
        <v>0.03</v>
      </c>
      <c r="D39" s="534" t="n">
        <f aca="false">ROUND(C39*($D$23+$D$33),2)</f>
        <v>0</v>
      </c>
    </row>
    <row r="40" customFormat="false" ht="12.75" hidden="false" customHeight="false" outlineLevel="0" collapsed="false">
      <c r="A40" s="509" t="s">
        <v>22</v>
      </c>
      <c r="B40" s="522" t="s">
        <v>421</v>
      </c>
      <c r="C40" s="533" t="n">
        <v>0.015</v>
      </c>
      <c r="D40" s="534" t="n">
        <f aca="false">ROUND(C40*($D$23+$D$33),2)</f>
        <v>0</v>
      </c>
    </row>
    <row r="41" customFormat="false" ht="12.75" hidden="false" customHeight="false" outlineLevel="0" collapsed="false">
      <c r="A41" s="509" t="s">
        <v>392</v>
      </c>
      <c r="B41" s="522" t="s">
        <v>422</v>
      </c>
      <c r="C41" s="533" t="n">
        <v>0.01</v>
      </c>
      <c r="D41" s="534" t="n">
        <f aca="false">ROUND(C41*($D$23+$D$33),2)</f>
        <v>0</v>
      </c>
    </row>
    <row r="42" customFormat="false" ht="12.75" hidden="false" customHeight="false" outlineLevel="0" collapsed="false">
      <c r="A42" s="509" t="s">
        <v>394</v>
      </c>
      <c r="B42" s="522" t="s">
        <v>423</v>
      </c>
      <c r="C42" s="533" t="n">
        <v>0.006</v>
      </c>
      <c r="D42" s="534" t="n">
        <f aca="false">ROUND(C42*($D$23+$D$33),2)</f>
        <v>0</v>
      </c>
    </row>
    <row r="43" customFormat="false" ht="12.75" hidden="false" customHeight="false" outlineLevel="0" collapsed="false">
      <c r="A43" s="509" t="s">
        <v>396</v>
      </c>
      <c r="B43" s="522" t="s">
        <v>424</v>
      </c>
      <c r="C43" s="533" t="n">
        <v>0.002</v>
      </c>
      <c r="D43" s="534" t="n">
        <f aca="false">ROUND(C43*($D$23+$D$33),2)</f>
        <v>0</v>
      </c>
    </row>
    <row r="44" customFormat="false" ht="12.75" hidden="false" customHeight="false" outlineLevel="0" collapsed="false">
      <c r="A44" s="509" t="s">
        <v>398</v>
      </c>
      <c r="B44" s="522" t="s">
        <v>425</v>
      </c>
      <c r="C44" s="533" t="n">
        <v>0.08</v>
      </c>
      <c r="D44" s="534" t="n">
        <f aca="false">ROUND(C44*($D$23+$D$33),2)</f>
        <v>0</v>
      </c>
    </row>
    <row r="45" customFormat="false" ht="12.75" hidden="false" customHeight="false" outlineLevel="0" collapsed="false">
      <c r="A45" s="535" t="s">
        <v>406</v>
      </c>
      <c r="B45" s="536"/>
      <c r="C45" s="537" t="n">
        <f aca="false">SUM(C37:C44)</f>
        <v>0.368</v>
      </c>
      <c r="D45" s="538" t="n">
        <f aca="false">SUM(D37:D44)</f>
        <v>0</v>
      </c>
    </row>
    <row r="46" customFormat="false" ht="12.75" hidden="false" customHeight="false" outlineLevel="0" collapsed="false">
      <c r="A46" s="539"/>
      <c r="B46" s="539"/>
      <c r="C46" s="539"/>
      <c r="D46" s="539"/>
    </row>
    <row r="47" customFormat="false" ht="12.75" hidden="false" customHeight="true" outlineLevel="0" collapsed="false">
      <c r="A47" s="531" t="s">
        <v>426</v>
      </c>
      <c r="B47" s="531"/>
      <c r="C47" s="531"/>
      <c r="D47" s="531"/>
    </row>
    <row r="48" customFormat="false" ht="12.75" hidden="false" customHeight="false" outlineLevel="0" collapsed="false">
      <c r="A48" s="518" t="s">
        <v>427</v>
      </c>
      <c r="B48" s="532" t="s">
        <v>428</v>
      </c>
      <c r="C48" s="520"/>
      <c r="D48" s="521" t="s">
        <v>387</v>
      </c>
    </row>
    <row r="49" customFormat="false" ht="12.75" hidden="false" customHeight="false" outlineLevel="0" collapsed="false">
      <c r="A49" s="540" t="s">
        <v>15</v>
      </c>
      <c r="B49" s="522" t="s">
        <v>429</v>
      </c>
      <c r="C49" s="541"/>
      <c r="D49" s="534" t="n">
        <f aca="false">+Men_Cal_Serv_44_segasexinsal20!C17</f>
        <v>0</v>
      </c>
    </row>
    <row r="50" s="46" customFormat="true" ht="12.75" hidden="false" customHeight="false" outlineLevel="0" collapsed="false">
      <c r="A50" s="542" t="s">
        <v>52</v>
      </c>
      <c r="B50" s="543" t="s">
        <v>336</v>
      </c>
      <c r="C50" s="523" t="n">
        <f aca="false">+$C$131+$C$132</f>
        <v>0.0925</v>
      </c>
      <c r="D50" s="544" t="n">
        <f aca="false">+(C50*D49)*-1</f>
        <v>0</v>
      </c>
    </row>
    <row r="51" customFormat="false" ht="12.75" hidden="false" customHeight="false" outlineLevel="0" collapsed="false">
      <c r="A51" s="540" t="s">
        <v>17</v>
      </c>
      <c r="B51" s="522" t="s">
        <v>430</v>
      </c>
      <c r="C51" s="541"/>
      <c r="D51" s="534" t="n">
        <f aca="false">+Men_Cal_Serv_44_segasexinsal20!C26</f>
        <v>0</v>
      </c>
    </row>
    <row r="52" s="46" customFormat="true" ht="12.75" hidden="false" customHeight="false" outlineLevel="0" collapsed="false">
      <c r="A52" s="542" t="s">
        <v>77</v>
      </c>
      <c r="B52" s="543" t="s">
        <v>336</v>
      </c>
      <c r="C52" s="523" t="n">
        <f aca="false">+$C$131+$C$132</f>
        <v>0.0925</v>
      </c>
      <c r="D52" s="544" t="n">
        <f aca="false">+(C52*D51)*-1</f>
        <v>0</v>
      </c>
      <c r="F52" s="545"/>
    </row>
    <row r="53" customFormat="false" ht="12.75" hidden="false" customHeight="false" outlineLevel="0" collapsed="false">
      <c r="A53" s="546" t="s">
        <v>20</v>
      </c>
      <c r="B53" s="546" t="s">
        <v>431</v>
      </c>
      <c r="C53" s="541"/>
      <c r="D53" s="547"/>
    </row>
    <row r="54" customFormat="false" ht="12.75" hidden="false" customHeight="false" outlineLevel="0" collapsed="false">
      <c r="A54" s="546" t="s">
        <v>22</v>
      </c>
      <c r="B54" s="548" t="s">
        <v>432</v>
      </c>
      <c r="C54" s="541"/>
      <c r="D54" s="547"/>
    </row>
    <row r="55" customFormat="false" ht="25.5" hidden="false" customHeight="false" outlineLevel="0" collapsed="false">
      <c r="A55" s="546" t="s">
        <v>392</v>
      </c>
      <c r="B55" s="549" t="s">
        <v>433</v>
      </c>
      <c r="C55" s="541"/>
      <c r="D55" s="550"/>
      <c r="F55" s="551"/>
    </row>
    <row r="56" customFormat="false" ht="12.75" hidden="false" customHeight="false" outlineLevel="0" collapsed="false">
      <c r="A56" s="546" t="s">
        <v>394</v>
      </c>
      <c r="B56" s="552" t="s">
        <v>434</v>
      </c>
      <c r="C56" s="541"/>
      <c r="D56" s="553"/>
    </row>
    <row r="57" customFormat="false" ht="12.75" hidden="false" customHeight="false" outlineLevel="0" collapsed="false">
      <c r="A57" s="494" t="s">
        <v>406</v>
      </c>
      <c r="B57" s="494"/>
      <c r="C57" s="554"/>
      <c r="D57" s="555" t="n">
        <f aca="false">SUM(D49:D56)</f>
        <v>0</v>
      </c>
    </row>
    <row r="59" customFormat="false" ht="12.75" hidden="false" customHeight="false" outlineLevel="0" collapsed="false">
      <c r="A59" s="505" t="s">
        <v>435</v>
      </c>
      <c r="B59" s="505"/>
      <c r="C59" s="505"/>
      <c r="D59" s="505"/>
    </row>
    <row r="60" customFormat="false" ht="12.75" hidden="false" customHeight="false" outlineLevel="0" collapsed="false">
      <c r="A60" s="556" t="n">
        <v>2</v>
      </c>
      <c r="B60" s="557" t="s">
        <v>436</v>
      </c>
      <c r="C60" s="557"/>
      <c r="D60" s="558" t="s">
        <v>387</v>
      </c>
    </row>
    <row r="61" customFormat="false" ht="12.75" hidden="false" customHeight="false" outlineLevel="0" collapsed="false">
      <c r="A61" s="543" t="s">
        <v>409</v>
      </c>
      <c r="B61" s="559" t="s">
        <v>410</v>
      </c>
      <c r="C61" s="559"/>
      <c r="D61" s="534" t="n">
        <f aca="false">+D33</f>
        <v>0</v>
      </c>
    </row>
    <row r="62" customFormat="false" ht="12.75" hidden="false" customHeight="false" outlineLevel="0" collapsed="false">
      <c r="A62" s="543" t="s">
        <v>416</v>
      </c>
      <c r="B62" s="559" t="s">
        <v>417</v>
      </c>
      <c r="C62" s="559"/>
      <c r="D62" s="534" t="n">
        <f aca="false">+D45</f>
        <v>0</v>
      </c>
    </row>
    <row r="63" customFormat="false" ht="12.75" hidden="false" customHeight="false" outlineLevel="0" collapsed="false">
      <c r="A63" s="543" t="s">
        <v>427</v>
      </c>
      <c r="B63" s="559" t="s">
        <v>428</v>
      </c>
      <c r="C63" s="559"/>
      <c r="D63" s="560" t="n">
        <f aca="false">+D57</f>
        <v>0</v>
      </c>
    </row>
    <row r="64" customFormat="false" ht="12.75" hidden="false" customHeight="false" outlineLevel="0" collapsed="false">
      <c r="A64" s="557" t="s">
        <v>406</v>
      </c>
      <c r="B64" s="557"/>
      <c r="C64" s="557"/>
      <c r="D64" s="561" t="n">
        <f aca="false">SUM(D61:D63)</f>
        <v>0</v>
      </c>
    </row>
    <row r="66" customFormat="false" ht="12.75" hidden="false" customHeight="false" outlineLevel="0" collapsed="false">
      <c r="A66" s="505" t="s">
        <v>437</v>
      </c>
      <c r="B66" s="505"/>
      <c r="C66" s="505"/>
      <c r="D66" s="505"/>
    </row>
    <row r="68" customFormat="false" ht="12.75" hidden="false" customHeight="false" outlineLevel="0" collapsed="false">
      <c r="A68" s="562" t="n">
        <v>3</v>
      </c>
      <c r="B68" s="519" t="s">
        <v>438</v>
      </c>
      <c r="C68" s="492" t="s">
        <v>386</v>
      </c>
      <c r="D68" s="492" t="s">
        <v>387</v>
      </c>
    </row>
    <row r="69" customFormat="false" ht="12.75" hidden="false" customHeight="false" outlineLevel="0" collapsed="false">
      <c r="A69" s="509" t="s">
        <v>15</v>
      </c>
      <c r="B69" s="543" t="s">
        <v>439</v>
      </c>
      <c r="C69" s="523" t="e">
        <f aca="false">+D69/$D$23</f>
        <v>#DIV/0!</v>
      </c>
      <c r="D69" s="563" t="n">
        <f aca="false">+Men_Cal_Serv_44_segasexinsal20!C32</f>
        <v>0</v>
      </c>
    </row>
    <row r="70" customFormat="false" ht="12.75" hidden="false" customHeight="false" outlineLevel="0" collapsed="false">
      <c r="A70" s="509" t="s">
        <v>17</v>
      </c>
      <c r="B70" s="522" t="s">
        <v>440</v>
      </c>
      <c r="C70" s="564"/>
      <c r="D70" s="515" t="n">
        <f aca="false">ROUND(+D69*$C$44,2)</f>
        <v>0</v>
      </c>
    </row>
    <row r="71" customFormat="false" ht="25.5" hidden="false" customHeight="false" outlineLevel="0" collapsed="false">
      <c r="A71" s="509" t="s">
        <v>20</v>
      </c>
      <c r="B71" s="565" t="s">
        <v>441</v>
      </c>
      <c r="C71" s="533" t="e">
        <f aca="false">+D71/$D$23</f>
        <v>#DIV/0!</v>
      </c>
      <c r="D71" s="515" t="n">
        <f aca="false">+Men_Cal_Serv_44_segasexinsal20!C44</f>
        <v>0</v>
      </c>
    </row>
    <row r="72" customFormat="false" ht="12.75" hidden="false" customHeight="false" outlineLevel="0" collapsed="false">
      <c r="A72" s="559" t="s">
        <v>22</v>
      </c>
      <c r="B72" s="522" t="s">
        <v>442</v>
      </c>
      <c r="C72" s="533" t="e">
        <f aca="false">+D72/$D$23</f>
        <v>#DIV/0!</v>
      </c>
      <c r="D72" s="515" t="n">
        <f aca="false">+Men_Cal_Serv_44_segasexinsal20!C52</f>
        <v>0</v>
      </c>
    </row>
    <row r="73" customFormat="false" ht="25.5" hidden="false" customHeight="false" outlineLevel="0" collapsed="false">
      <c r="A73" s="559" t="s">
        <v>392</v>
      </c>
      <c r="B73" s="565" t="s">
        <v>443</v>
      </c>
      <c r="C73" s="564"/>
      <c r="D73" s="566"/>
    </row>
    <row r="74" customFormat="false" ht="25.5" hidden="false" customHeight="false" outlineLevel="0" collapsed="false">
      <c r="A74" s="559" t="s">
        <v>394</v>
      </c>
      <c r="B74" s="565" t="s">
        <v>444</v>
      </c>
      <c r="C74" s="533" t="e">
        <f aca="false">+D74/$D$23</f>
        <v>#DIV/0!</v>
      </c>
      <c r="D74" s="534" t="n">
        <f aca="false">+Men_Cal_Serv_44_segasexinsal20!C64</f>
        <v>0</v>
      </c>
    </row>
    <row r="75" customFormat="false" ht="12.75" hidden="false" customHeight="false" outlineLevel="0" collapsed="false">
      <c r="A75" s="494" t="s">
        <v>406</v>
      </c>
      <c r="B75" s="494"/>
      <c r="C75" s="494"/>
      <c r="D75" s="567" t="n">
        <f aca="false">SUM(D69:D74)</f>
        <v>0</v>
      </c>
    </row>
    <row r="77" customFormat="false" ht="12.75" hidden="false" customHeight="false" outlineLevel="0" collapsed="false">
      <c r="A77" s="505" t="s">
        <v>445</v>
      </c>
      <c r="B77" s="505"/>
      <c r="C77" s="505"/>
      <c r="D77" s="505"/>
    </row>
    <row r="79" customFormat="false" ht="12.75" hidden="false" customHeight="true" outlineLevel="0" collapsed="false">
      <c r="A79" s="568" t="s">
        <v>446</v>
      </c>
      <c r="B79" s="568"/>
      <c r="C79" s="568"/>
      <c r="D79" s="568"/>
    </row>
    <row r="80" customFormat="false" ht="12.75" hidden="false" customHeight="false" outlineLevel="0" collapsed="false">
      <c r="A80" s="562" t="s">
        <v>447</v>
      </c>
      <c r="B80" s="494" t="s">
        <v>448</v>
      </c>
      <c r="C80" s="494"/>
      <c r="D80" s="492" t="s">
        <v>387</v>
      </c>
    </row>
    <row r="81" customFormat="false" ht="12.75" hidden="false" customHeight="false" outlineLevel="0" collapsed="false">
      <c r="A81" s="522" t="s">
        <v>15</v>
      </c>
      <c r="B81" s="305" t="s">
        <v>449</v>
      </c>
      <c r="C81" s="305"/>
      <c r="D81" s="515"/>
    </row>
    <row r="82" customFormat="false" ht="12.75" hidden="false" customHeight="false" outlineLevel="0" collapsed="false">
      <c r="A82" s="543" t="s">
        <v>17</v>
      </c>
      <c r="B82" s="569" t="s">
        <v>448</v>
      </c>
      <c r="C82" s="569"/>
      <c r="D82" s="570" t="n">
        <f aca="false">+Men_Cal_Serv_44_segasexinsal20!C77</f>
        <v>0</v>
      </c>
    </row>
    <row r="83" s="46" customFormat="true" ht="12.75" hidden="false" customHeight="false" outlineLevel="0" collapsed="false">
      <c r="A83" s="543" t="s">
        <v>20</v>
      </c>
      <c r="B83" s="569" t="s">
        <v>450</v>
      </c>
      <c r="C83" s="569"/>
      <c r="D83" s="570" t="n">
        <f aca="false">+Men_Cal_Serv_44_segasexinsal20!C86</f>
        <v>0</v>
      </c>
    </row>
    <row r="84" s="46" customFormat="true" ht="12.75" hidden="false" customHeight="false" outlineLevel="0" collapsed="false">
      <c r="A84" s="543" t="s">
        <v>22</v>
      </c>
      <c r="B84" s="569" t="s">
        <v>451</v>
      </c>
      <c r="C84" s="569"/>
      <c r="D84" s="570" t="n">
        <f aca="false">+Men_Cal_Serv_44_segasexinsal20!C94</f>
        <v>0</v>
      </c>
    </row>
    <row r="85" s="46" customFormat="true" ht="14.25" hidden="false" customHeight="false" outlineLevel="0" collapsed="false">
      <c r="A85" s="543" t="s">
        <v>392</v>
      </c>
      <c r="B85" s="569" t="s">
        <v>452</v>
      </c>
      <c r="C85" s="569"/>
      <c r="D85" s="570"/>
    </row>
    <row r="86" s="46" customFormat="true" ht="12.75" hidden="false" customHeight="false" outlineLevel="0" collapsed="false">
      <c r="A86" s="543" t="s">
        <v>394</v>
      </c>
      <c r="B86" s="569" t="s">
        <v>453</v>
      </c>
      <c r="C86" s="569"/>
      <c r="D86" s="570" t="n">
        <f aca="false">+Men_Cal_Serv_44_segasexinsal20!C102</f>
        <v>0</v>
      </c>
    </row>
    <row r="87" customFormat="false" ht="12.75" hidden="false" customHeight="false" outlineLevel="0" collapsed="false">
      <c r="A87" s="522" t="s">
        <v>396</v>
      </c>
      <c r="B87" s="305" t="s">
        <v>405</v>
      </c>
      <c r="C87" s="305"/>
      <c r="D87" s="515"/>
    </row>
    <row r="88" customFormat="false" ht="12.75" hidden="false" customHeight="false" outlineLevel="0" collapsed="false">
      <c r="A88" s="522" t="s">
        <v>398</v>
      </c>
      <c r="B88" s="305" t="s">
        <v>454</v>
      </c>
      <c r="C88" s="305"/>
      <c r="D88" s="566"/>
    </row>
    <row r="89" customFormat="false" ht="12.75" hidden="false" customHeight="false" outlineLevel="0" collapsed="false">
      <c r="A89" s="494" t="s">
        <v>406</v>
      </c>
      <c r="B89" s="494"/>
      <c r="C89" s="494"/>
      <c r="D89" s="517" t="n">
        <f aca="false">SUM(D81:D88)</f>
        <v>0</v>
      </c>
    </row>
    <row r="90" customFormat="false" ht="12.75" hidden="false" customHeight="false" outlineLevel="0" collapsed="false">
      <c r="D90" s="571"/>
    </row>
    <row r="91" customFormat="false" ht="12.75" hidden="false" customHeight="false" outlineLevel="0" collapsed="false">
      <c r="A91" s="562" t="s">
        <v>455</v>
      </c>
      <c r="B91" s="494" t="s">
        <v>456</v>
      </c>
      <c r="C91" s="494"/>
      <c r="D91" s="492" t="s">
        <v>387</v>
      </c>
    </row>
    <row r="92" s="46" customFormat="true" ht="12.75" hidden="false" customHeight="false" outlineLevel="0" collapsed="false">
      <c r="A92" s="543" t="s">
        <v>15</v>
      </c>
      <c r="B92" s="559" t="s">
        <v>457</v>
      </c>
      <c r="C92" s="559"/>
      <c r="D92" s="570" t="n">
        <f aca="false">+Men_Cal_Serv_44_segasexinsal20!C113</f>
        <v>0</v>
      </c>
    </row>
    <row r="93" s="46" customFormat="true" ht="12.75" hidden="false" customHeight="true" outlineLevel="0" collapsed="false">
      <c r="A93" s="543" t="s">
        <v>17</v>
      </c>
      <c r="B93" s="572" t="s">
        <v>458</v>
      </c>
      <c r="C93" s="572"/>
      <c r="D93" s="566"/>
    </row>
    <row r="94" s="46" customFormat="true" ht="12.75" hidden="false" customHeight="true" outlineLevel="0" collapsed="false">
      <c r="A94" s="543" t="s">
        <v>20</v>
      </c>
      <c r="B94" s="572" t="s">
        <v>459</v>
      </c>
      <c r="C94" s="572"/>
      <c r="D94" s="566"/>
    </row>
    <row r="95" customFormat="false" ht="12.75" hidden="false" customHeight="false" outlineLevel="0" collapsed="false">
      <c r="A95" s="522" t="s">
        <v>22</v>
      </c>
      <c r="B95" s="305" t="s">
        <v>405</v>
      </c>
      <c r="C95" s="305"/>
      <c r="D95" s="515"/>
    </row>
    <row r="96" customFormat="false" ht="12.75" hidden="false" customHeight="false" outlineLevel="0" collapsed="false">
      <c r="A96" s="494" t="s">
        <v>406</v>
      </c>
      <c r="B96" s="494"/>
      <c r="C96" s="494"/>
      <c r="D96" s="517" t="n">
        <f aca="false">SUM(D92:D95)</f>
        <v>0</v>
      </c>
    </row>
    <row r="97" customFormat="false" ht="12.75" hidden="false" customHeight="false" outlineLevel="0" collapsed="false">
      <c r="D97" s="571"/>
    </row>
    <row r="98" customFormat="false" ht="12.75" hidden="false" customHeight="false" outlineLevel="0" collapsed="false">
      <c r="A98" s="562" t="s">
        <v>460</v>
      </c>
      <c r="B98" s="494" t="s">
        <v>461</v>
      </c>
      <c r="C98" s="494"/>
      <c r="D98" s="492" t="s">
        <v>387</v>
      </c>
    </row>
    <row r="99" s="574" customFormat="true" ht="29.25" hidden="false" customHeight="true" outlineLevel="0" collapsed="false">
      <c r="A99" s="559" t="s">
        <v>15</v>
      </c>
      <c r="B99" s="572" t="s">
        <v>462</v>
      </c>
      <c r="C99" s="572"/>
      <c r="D99" s="573"/>
    </row>
    <row r="100" customFormat="false" ht="12.75" hidden="false" customHeight="false" outlineLevel="0" collapsed="false">
      <c r="A100" s="494" t="s">
        <v>406</v>
      </c>
      <c r="B100" s="494"/>
      <c r="C100" s="494"/>
      <c r="D100" s="517" t="n">
        <f aca="false">SUM(D99:D99)</f>
        <v>0</v>
      </c>
    </row>
    <row r="102" customFormat="false" ht="12.75" hidden="false" customHeight="false" outlineLevel="0" collapsed="false">
      <c r="A102" s="575" t="s">
        <v>463</v>
      </c>
      <c r="B102" s="575"/>
      <c r="C102" s="575"/>
      <c r="D102" s="575"/>
    </row>
    <row r="103" customFormat="false" ht="12.75" hidden="false" customHeight="false" outlineLevel="0" collapsed="false">
      <c r="A103" s="522" t="s">
        <v>447</v>
      </c>
      <c r="B103" s="305" t="s">
        <v>448</v>
      </c>
      <c r="C103" s="305"/>
      <c r="D103" s="534" t="n">
        <f aca="false">+D89</f>
        <v>0</v>
      </c>
    </row>
    <row r="104" customFormat="false" ht="12.75" hidden="false" customHeight="false" outlineLevel="0" collapsed="false">
      <c r="A104" s="522" t="s">
        <v>455</v>
      </c>
      <c r="B104" s="305" t="s">
        <v>456</v>
      </c>
      <c r="C104" s="305"/>
      <c r="D104" s="534" t="n">
        <f aca="false">+D96</f>
        <v>0</v>
      </c>
    </row>
    <row r="105" customFormat="false" ht="12.75" hidden="false" customHeight="false" outlineLevel="0" collapsed="false">
      <c r="A105" s="576"/>
      <c r="B105" s="577" t="s">
        <v>464</v>
      </c>
      <c r="C105" s="577"/>
      <c r="D105" s="578" t="n">
        <f aca="false">+D104+D103</f>
        <v>0</v>
      </c>
    </row>
    <row r="106" customFormat="false" ht="12.75" hidden="false" customHeight="false" outlineLevel="0" collapsed="false">
      <c r="A106" s="522" t="s">
        <v>460</v>
      </c>
      <c r="B106" s="305" t="s">
        <v>461</v>
      </c>
      <c r="C106" s="305"/>
      <c r="D106" s="534" t="n">
        <f aca="false">+D100</f>
        <v>0</v>
      </c>
    </row>
    <row r="107" customFormat="false" ht="12.75" hidden="false" customHeight="false" outlineLevel="0" collapsed="false">
      <c r="A107" s="575" t="s">
        <v>406</v>
      </c>
      <c r="B107" s="575"/>
      <c r="C107" s="575"/>
      <c r="D107" s="579" t="n">
        <f aca="false">+D106+D105</f>
        <v>0</v>
      </c>
    </row>
    <row r="109" customFormat="false" ht="12.75" hidden="false" customHeight="false" outlineLevel="0" collapsed="false">
      <c r="A109" s="505" t="s">
        <v>465</v>
      </c>
      <c r="B109" s="505"/>
      <c r="C109" s="505"/>
      <c r="D109" s="505"/>
    </row>
    <row r="111" customFormat="false" ht="12.75" hidden="false" customHeight="false" outlineLevel="0" collapsed="false">
      <c r="A111" s="562" t="n">
        <v>5</v>
      </c>
      <c r="B111" s="494" t="s">
        <v>466</v>
      </c>
      <c r="C111" s="494"/>
      <c r="D111" s="492" t="s">
        <v>387</v>
      </c>
    </row>
    <row r="112" customFormat="false" ht="12.75" hidden="false" customHeight="false" outlineLevel="0" collapsed="false">
      <c r="A112" s="522" t="s">
        <v>15</v>
      </c>
      <c r="B112" s="509" t="s">
        <v>467</v>
      </c>
      <c r="C112" s="509"/>
      <c r="D112" s="515" t="n">
        <f aca="false">+Uniformes!F8</f>
        <v>0</v>
      </c>
    </row>
    <row r="113" customFormat="false" ht="12.75" hidden="false" customHeight="false" outlineLevel="0" collapsed="false">
      <c r="A113" s="522" t="s">
        <v>52</v>
      </c>
      <c r="B113" s="543" t="s">
        <v>336</v>
      </c>
      <c r="C113" s="523" t="n">
        <f aca="false">+$C$131+$C$132</f>
        <v>0.0925</v>
      </c>
      <c r="D113" s="544" t="n">
        <f aca="false">+(C113*D112)*-1</f>
        <v>0</v>
      </c>
    </row>
    <row r="114" customFormat="false" ht="12.75" hidden="false" customHeight="false" outlineLevel="0" collapsed="false">
      <c r="A114" s="522" t="s">
        <v>17</v>
      </c>
      <c r="B114" s="509" t="s">
        <v>468</v>
      </c>
      <c r="C114" s="509"/>
      <c r="D114" s="515"/>
    </row>
    <row r="115" customFormat="false" ht="12.75" hidden="false" customHeight="false" outlineLevel="0" collapsed="false">
      <c r="A115" s="522" t="s">
        <v>77</v>
      </c>
      <c r="B115" s="543" t="s">
        <v>336</v>
      </c>
      <c r="C115" s="523" t="n">
        <f aca="false">+$C$131+$C$132</f>
        <v>0.0925</v>
      </c>
      <c r="D115" s="544" t="n">
        <f aca="false">+(C115*D114)*-1</f>
        <v>0</v>
      </c>
    </row>
    <row r="116" customFormat="false" ht="12.75" hidden="false" customHeight="false" outlineLevel="0" collapsed="false">
      <c r="A116" s="522" t="s">
        <v>20</v>
      </c>
      <c r="B116" s="509" t="s">
        <v>469</v>
      </c>
      <c r="C116" s="509"/>
      <c r="D116" s="515"/>
    </row>
    <row r="117" customFormat="false" ht="12.75" hidden="false" customHeight="false" outlineLevel="0" collapsed="false">
      <c r="A117" s="522" t="s">
        <v>96</v>
      </c>
      <c r="B117" s="543" t="s">
        <v>336</v>
      </c>
      <c r="C117" s="523" t="n">
        <f aca="false">+$C$131+$C$132</f>
        <v>0.0925</v>
      </c>
      <c r="D117" s="544" t="n">
        <f aca="false">+(C117*D116)*-1</f>
        <v>0</v>
      </c>
    </row>
    <row r="118" customFormat="false" ht="12.75" hidden="false" customHeight="false" outlineLevel="0" collapsed="false">
      <c r="A118" s="522" t="s">
        <v>22</v>
      </c>
      <c r="B118" s="509" t="s">
        <v>405</v>
      </c>
      <c r="C118" s="509"/>
      <c r="D118" s="515"/>
    </row>
    <row r="119" customFormat="false" ht="12.75" hidden="false" customHeight="false" outlineLevel="0" collapsed="false">
      <c r="A119" s="522" t="s">
        <v>470</v>
      </c>
      <c r="B119" s="543" t="s">
        <v>336</v>
      </c>
      <c r="C119" s="523" t="n">
        <f aca="false">+$C$131+$C$132</f>
        <v>0.0925</v>
      </c>
      <c r="D119" s="544" t="n">
        <f aca="false">+(C119*D118)*-1</f>
        <v>0</v>
      </c>
    </row>
    <row r="120" customFormat="false" ht="12.75" hidden="false" customHeight="false" outlineLevel="0" collapsed="false">
      <c r="A120" s="494" t="s">
        <v>406</v>
      </c>
      <c r="B120" s="494"/>
      <c r="C120" s="494"/>
      <c r="D120" s="517" t="n">
        <f aca="false">SUM(D112:D118)</f>
        <v>0</v>
      </c>
    </row>
    <row r="122" customFormat="false" ht="12.75" hidden="false" customHeight="false" outlineLevel="0" collapsed="false">
      <c r="A122" s="505" t="s">
        <v>471</v>
      </c>
      <c r="B122" s="505"/>
      <c r="C122" s="505"/>
      <c r="D122" s="505"/>
    </row>
    <row r="124" customFormat="false" ht="12.75" hidden="false" customHeight="false" outlineLevel="0" collapsed="false">
      <c r="A124" s="562" t="n">
        <v>6</v>
      </c>
      <c r="B124" s="519" t="s">
        <v>472</v>
      </c>
      <c r="C124" s="580" t="s">
        <v>386</v>
      </c>
      <c r="D124" s="492" t="s">
        <v>387</v>
      </c>
    </row>
    <row r="125" customFormat="false" ht="12.75" hidden="false" customHeight="false" outlineLevel="0" collapsed="false">
      <c r="A125" s="522" t="s">
        <v>15</v>
      </c>
      <c r="B125" s="522" t="s">
        <v>328</v>
      </c>
      <c r="C125" s="533" t="n">
        <v>0.03</v>
      </c>
      <c r="D125" s="624" t="n">
        <f aca="false">($D$120+$D$107+$D$75+$D$64+$D$23)*C125</f>
        <v>0</v>
      </c>
    </row>
    <row r="126" customFormat="false" ht="12.75" hidden="false" customHeight="false" outlineLevel="0" collapsed="false">
      <c r="A126" s="522" t="s">
        <v>17</v>
      </c>
      <c r="B126" s="522" t="s">
        <v>329</v>
      </c>
      <c r="C126" s="533" t="n">
        <v>0.03</v>
      </c>
      <c r="D126" s="624" t="n">
        <f aca="false">($D$120+$D$107+$D$75+$D$64+$D$23+D125)*C126</f>
        <v>0</v>
      </c>
    </row>
    <row r="127" s="584" customFormat="true" ht="12.75" hidden="false" customHeight="false" outlineLevel="0" collapsed="false">
      <c r="A127" s="582" t="s">
        <v>473</v>
      </c>
      <c r="B127" s="582"/>
      <c r="C127" s="582"/>
      <c r="D127" s="583" t="n">
        <f aca="false">++D126+D125+D120+D107+D75+D64+D23</f>
        <v>0</v>
      </c>
    </row>
    <row r="128" s="584" customFormat="true" ht="12.75" hidden="false" customHeight="true" outlineLevel="0" collapsed="false">
      <c r="A128" s="585" t="s">
        <v>474</v>
      </c>
      <c r="B128" s="585"/>
      <c r="C128" s="585"/>
      <c r="D128" s="583" t="n">
        <f aca="false">ROUND(D127/(1-(C131+C132+C134+C136+C137)),2)</f>
        <v>0</v>
      </c>
    </row>
    <row r="129" customFormat="false" ht="12.75" hidden="false" customHeight="false" outlineLevel="0" collapsed="false">
      <c r="A129" s="522" t="s">
        <v>20</v>
      </c>
      <c r="B129" s="522" t="s">
        <v>475</v>
      </c>
      <c r="C129" s="533"/>
      <c r="D129" s="624"/>
    </row>
    <row r="130" customFormat="false" ht="12.75" hidden="false" customHeight="false" outlineLevel="0" collapsed="false">
      <c r="A130" s="522" t="s">
        <v>96</v>
      </c>
      <c r="B130" s="522" t="s">
        <v>476</v>
      </c>
      <c r="C130" s="533"/>
      <c r="D130" s="624"/>
    </row>
    <row r="131" customFormat="false" ht="12.75" hidden="false" customHeight="false" outlineLevel="0" collapsed="false">
      <c r="A131" s="522" t="s">
        <v>477</v>
      </c>
      <c r="B131" s="522" t="s">
        <v>330</v>
      </c>
      <c r="C131" s="533" t="n">
        <v>0.0165</v>
      </c>
      <c r="D131" s="624" t="n">
        <f aca="false">ROUND(C131*$D$128,2)</f>
        <v>0</v>
      </c>
      <c r="G131" s="586"/>
    </row>
    <row r="132" customFormat="false" ht="12.75" hidden="false" customHeight="false" outlineLevel="0" collapsed="false">
      <c r="A132" s="522" t="s">
        <v>478</v>
      </c>
      <c r="B132" s="522" t="s">
        <v>331</v>
      </c>
      <c r="C132" s="533" t="n">
        <v>0.076</v>
      </c>
      <c r="D132" s="624" t="n">
        <f aca="false">ROUND(C132*$D$128,2)</f>
        <v>0</v>
      </c>
      <c r="G132" s="586"/>
    </row>
    <row r="133" customFormat="false" ht="12.75" hidden="false" customHeight="false" outlineLevel="0" collapsed="false">
      <c r="A133" s="522" t="s">
        <v>479</v>
      </c>
      <c r="B133" s="522" t="s">
        <v>480</v>
      </c>
      <c r="C133" s="533"/>
      <c r="D133" s="624"/>
      <c r="G133" s="586"/>
    </row>
    <row r="134" customFormat="false" ht="12.75" hidden="false" customHeight="false" outlineLevel="0" collapsed="false">
      <c r="A134" s="522" t="s">
        <v>481</v>
      </c>
      <c r="B134" s="522" t="s">
        <v>482</v>
      </c>
      <c r="C134" s="533"/>
      <c r="D134" s="624"/>
      <c r="G134" s="586"/>
    </row>
    <row r="135" customFormat="false" ht="12.75" hidden="false" customHeight="false" outlineLevel="0" collapsed="false">
      <c r="A135" s="522" t="s">
        <v>483</v>
      </c>
      <c r="B135" s="522" t="s">
        <v>484</v>
      </c>
      <c r="C135" s="533"/>
      <c r="D135" s="624"/>
    </row>
    <row r="136" customFormat="false" ht="12.75" hidden="false" customHeight="false" outlineLevel="0" collapsed="false">
      <c r="A136" s="522" t="s">
        <v>485</v>
      </c>
      <c r="B136" s="522" t="s">
        <v>332</v>
      </c>
      <c r="C136" s="533" t="n">
        <v>0.05</v>
      </c>
      <c r="D136" s="624" t="n">
        <f aca="false">ROUND(C136*$D$128,2)</f>
        <v>0</v>
      </c>
    </row>
    <row r="137" customFormat="false" ht="12.75" hidden="false" customHeight="false" outlineLevel="0" collapsed="false">
      <c r="A137" s="522" t="s">
        <v>486</v>
      </c>
      <c r="B137" s="522" t="s">
        <v>487</v>
      </c>
      <c r="C137" s="533"/>
      <c r="D137" s="624"/>
    </row>
    <row r="138" customFormat="false" ht="12.75" hidden="false" customHeight="false" outlineLevel="0" collapsed="false">
      <c r="A138" s="522" t="s">
        <v>22</v>
      </c>
      <c r="B138" s="522" t="s">
        <v>488</v>
      </c>
      <c r="C138" s="533"/>
      <c r="D138" s="624"/>
    </row>
    <row r="139" customFormat="false" ht="14.25" hidden="false" customHeight="false" outlineLevel="0" collapsed="false">
      <c r="A139" s="522" t="s">
        <v>489</v>
      </c>
      <c r="B139" s="522" t="s">
        <v>490</v>
      </c>
      <c r="C139" s="533"/>
      <c r="D139" s="624" t="n">
        <f aca="false">+'LOTE_I_-_Custo_M2'!$T$192</f>
        <v>0.33</v>
      </c>
    </row>
    <row r="140" customFormat="false" ht="12.75" hidden="false" customHeight="false" outlineLevel="0" collapsed="false">
      <c r="A140" s="522" t="s">
        <v>491</v>
      </c>
      <c r="B140" s="522" t="s">
        <v>492</v>
      </c>
      <c r="C140" s="533"/>
      <c r="D140" s="624" t="n">
        <f aca="false">+'LOTE_I_-_Custo_M2'!$T$193</f>
        <v>0.88</v>
      </c>
    </row>
    <row r="141" customFormat="false" ht="12.75" hidden="false" customHeight="false" outlineLevel="0" collapsed="false">
      <c r="A141" s="535" t="s">
        <v>406</v>
      </c>
      <c r="B141" s="535"/>
      <c r="C141" s="587" t="n">
        <f aca="false">+C137+C136+C134+C132+C131+C126+C125</f>
        <v>0.2025</v>
      </c>
      <c r="D141" s="625" t="n">
        <f aca="false">+D136+D134+D132+D131+D126+D125+D140+D139</f>
        <v>1.21</v>
      </c>
    </row>
    <row r="143" customFormat="false" ht="12.75" hidden="false" customHeight="false" outlineLevel="0" collapsed="false">
      <c r="A143" s="589" t="s">
        <v>493</v>
      </c>
      <c r="B143" s="589"/>
      <c r="C143" s="589"/>
      <c r="D143" s="589"/>
    </row>
    <row r="144" customFormat="false" ht="12.75" hidden="false" customHeight="false" outlineLevel="0" collapsed="false">
      <c r="A144" s="522" t="s">
        <v>15</v>
      </c>
      <c r="B144" s="305" t="s">
        <v>494</v>
      </c>
      <c r="C144" s="305"/>
      <c r="D144" s="626" t="n">
        <f aca="false">+D23</f>
        <v>0</v>
      </c>
    </row>
    <row r="145" customFormat="false" ht="12.75" hidden="false" customHeight="false" outlineLevel="0" collapsed="false">
      <c r="A145" s="522" t="s">
        <v>495</v>
      </c>
      <c r="B145" s="305" t="s">
        <v>496</v>
      </c>
      <c r="C145" s="305"/>
      <c r="D145" s="626" t="n">
        <f aca="false">+D64</f>
        <v>0</v>
      </c>
    </row>
    <row r="146" customFormat="false" ht="12.75" hidden="false" customHeight="false" outlineLevel="0" collapsed="false">
      <c r="A146" s="522" t="s">
        <v>20</v>
      </c>
      <c r="B146" s="305" t="s">
        <v>497</v>
      </c>
      <c r="C146" s="305"/>
      <c r="D146" s="626" t="n">
        <f aca="false">+D75</f>
        <v>0</v>
      </c>
    </row>
    <row r="147" customFormat="false" ht="12.75" hidden="false" customHeight="false" outlineLevel="0" collapsed="false">
      <c r="A147" s="522" t="s">
        <v>22</v>
      </c>
      <c r="B147" s="305" t="s">
        <v>498</v>
      </c>
      <c r="C147" s="305"/>
      <c r="D147" s="626" t="n">
        <f aca="false">+D107</f>
        <v>0</v>
      </c>
    </row>
    <row r="148" customFormat="false" ht="12.75" hidden="false" customHeight="false" outlineLevel="0" collapsed="false">
      <c r="A148" s="522" t="s">
        <v>392</v>
      </c>
      <c r="B148" s="305" t="s">
        <v>499</v>
      </c>
      <c r="C148" s="305"/>
      <c r="D148" s="626" t="n">
        <f aca="false">+D120</f>
        <v>0</v>
      </c>
    </row>
    <row r="149" customFormat="false" ht="12.75" hidden="false" customHeight="false" outlineLevel="0" collapsed="false">
      <c r="B149" s="591" t="s">
        <v>500</v>
      </c>
      <c r="C149" s="591"/>
      <c r="D149" s="627" t="n">
        <f aca="false">SUM(D144:D148)</f>
        <v>0</v>
      </c>
    </row>
    <row r="150" customFormat="false" ht="12.75" hidden="false" customHeight="false" outlineLevel="0" collapsed="false">
      <c r="A150" s="522" t="s">
        <v>394</v>
      </c>
      <c r="B150" s="305" t="s">
        <v>501</v>
      </c>
      <c r="C150" s="305"/>
      <c r="D150" s="626" t="n">
        <f aca="false">+D141</f>
        <v>1.21</v>
      </c>
    </row>
    <row r="151" customFormat="false" ht="12.75" hidden="false" customHeight="false" outlineLevel="0" collapsed="false">
      <c r="D151" s="628"/>
    </row>
    <row r="152" customFormat="false" ht="12.75" hidden="false" customHeight="false" outlineLevel="0" collapsed="false">
      <c r="A152" s="594" t="s">
        <v>502</v>
      </c>
      <c r="B152" s="594"/>
      <c r="C152" s="594"/>
      <c r="D152" s="629" t="n">
        <f aca="false">ROUND(+D150+D149,2)</f>
        <v>1.21</v>
      </c>
    </row>
    <row r="154" customFormat="false" ht="39" hidden="false" customHeight="true" outlineLevel="0" collapsed="false">
      <c r="A154" s="597" t="s">
        <v>503</v>
      </c>
      <c r="B154" s="597"/>
      <c r="C154" s="597"/>
      <c r="D154" s="597"/>
    </row>
    <row r="155" customFormat="false" ht="14.25" hidden="false" customHeight="false" outlineLevel="0" collapsed="false">
      <c r="A155" s="599" t="s">
        <v>504</v>
      </c>
      <c r="B155" s="599"/>
      <c r="C155" s="599"/>
      <c r="D155" s="599"/>
      <c r="E155" s="598"/>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4:D154"/>
    <mergeCell ref="A155:D155"/>
  </mergeCells>
  <printOptions headings="false" gridLines="false" gridLinesSet="true" horizontalCentered="false" verticalCentered="false"/>
  <pageMargins left="1.06319444444444" right="0.511805555555555"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C12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9.66"/>
    <col collapsed="false" customWidth="true" hidden="false" outlineLevel="0" max="2" min="2" style="44" width="15.53"/>
    <col collapsed="false" customWidth="true" hidden="false" outlineLevel="0" max="3" min="3" style="44" width="13.09"/>
    <col collapsed="false" customWidth="true" hidden="false" outlineLevel="0" max="4" min="4" style="44" width="10.12"/>
    <col collapsed="false" customWidth="true" hidden="false" outlineLevel="0" max="5" min="5" style="44" width="74.65"/>
    <col collapsed="false" customWidth="true" hidden="false" outlineLevel="0" max="1025" min="6" style="44" width="8.64"/>
  </cols>
  <sheetData>
    <row r="1" customFormat="false" ht="36.75" hidden="false" customHeight="true" outlineLevel="0" collapsed="false">
      <c r="A1" s="645" t="s">
        <v>579</v>
      </c>
      <c r="B1" s="645"/>
      <c r="C1" s="645"/>
    </row>
    <row r="3" customFormat="false" ht="12.75" hidden="false" customHeight="false" outlineLevel="0" collapsed="false">
      <c r="A3" s="522" t="s">
        <v>506</v>
      </c>
      <c r="B3" s="522" t="n">
        <v>220</v>
      </c>
    </row>
    <row r="4" customFormat="false" ht="12.75" hidden="false" customHeight="false" outlineLevel="0" collapsed="false">
      <c r="A4" s="522" t="s">
        <v>507</v>
      </c>
      <c r="B4" s="522" t="n">
        <v>365.25</v>
      </c>
    </row>
    <row r="5" customFormat="false" ht="12.75" hidden="false" customHeight="false" outlineLevel="0" collapsed="false">
      <c r="A5" s="522" t="s">
        <v>508</v>
      </c>
      <c r="B5" s="601" t="n">
        <f aca="false">(365.25/12)/(7/5)</f>
        <v>21.7410714285714</v>
      </c>
    </row>
    <row r="6" customFormat="false" ht="12.75" hidden="false" customHeight="false" outlineLevel="0" collapsed="false">
      <c r="A6" s="543" t="s">
        <v>388</v>
      </c>
      <c r="B6" s="534" t="n">
        <f aca="false">+'Servente_44_seg_a_sex+insal20'!D12</f>
        <v>0</v>
      </c>
    </row>
    <row r="7" customFormat="false" ht="12.75" hidden="false" customHeight="false" outlineLevel="0" collapsed="false">
      <c r="A7" s="543" t="s">
        <v>509</v>
      </c>
      <c r="B7" s="534" t="n">
        <f aca="false">+'Servente_44_seg_a_sex+insal20'!D23</f>
        <v>0</v>
      </c>
    </row>
    <row r="10" customFormat="false" ht="12.75" hidden="false" customHeight="false" outlineLevel="0" collapsed="false">
      <c r="A10" s="602" t="s">
        <v>510</v>
      </c>
      <c r="B10" s="602"/>
      <c r="C10" s="602"/>
    </row>
    <row r="11" customFormat="false" ht="12.75" hidden="false" customHeight="false" outlineLevel="0" collapsed="false">
      <c r="A11" s="522" t="s">
        <v>511</v>
      </c>
      <c r="B11" s="522" t="n">
        <f aca="false">+$B$4</f>
        <v>365.25</v>
      </c>
      <c r="C11" s="564"/>
    </row>
    <row r="12" customFormat="false" ht="12.75" hidden="false" customHeight="false" outlineLevel="0" collapsed="false">
      <c r="A12" s="522" t="s">
        <v>512</v>
      </c>
      <c r="B12" s="543" t="n">
        <v>12</v>
      </c>
      <c r="C12" s="564"/>
    </row>
    <row r="13" customFormat="false" ht="12.75" hidden="false" customHeight="false" outlineLevel="0" collapsed="false">
      <c r="A13" s="522" t="s">
        <v>513</v>
      </c>
      <c r="B13" s="533" t="n">
        <v>1</v>
      </c>
      <c r="C13" s="564"/>
    </row>
    <row r="14" customFormat="false" ht="12.75" hidden="false" customHeight="false" outlineLevel="0" collapsed="false">
      <c r="A14" s="543" t="s">
        <v>514</v>
      </c>
      <c r="B14" s="603" t="n">
        <f aca="false">+B5</f>
        <v>21.7410714285714</v>
      </c>
      <c r="C14" s="564"/>
    </row>
    <row r="15" customFormat="false" ht="12.75" hidden="false" customHeight="false" outlineLevel="0" collapsed="false">
      <c r="A15" s="548" t="s">
        <v>515</v>
      </c>
      <c r="B15" s="604"/>
      <c r="C15" s="564"/>
    </row>
    <row r="16" customFormat="false" ht="12.75" hidden="false" customHeight="false" outlineLevel="0" collapsed="false">
      <c r="A16" s="522" t="s">
        <v>516</v>
      </c>
      <c r="B16" s="533" t="n">
        <v>0.06</v>
      </c>
      <c r="C16" s="564"/>
    </row>
    <row r="17" customFormat="false" ht="12.75" hidden="false" customHeight="false" outlineLevel="0" collapsed="false">
      <c r="A17" s="575" t="s">
        <v>517</v>
      </c>
      <c r="B17" s="575"/>
      <c r="C17" s="605" t="n">
        <f aca="false">ROUND((B14*(B15*2)-($B$6*B16)),2)</f>
        <v>0</v>
      </c>
    </row>
    <row r="19" customFormat="false" ht="12.75" hidden="false" customHeight="false" outlineLevel="0" collapsed="false">
      <c r="A19" s="602" t="s">
        <v>518</v>
      </c>
      <c r="B19" s="602"/>
      <c r="C19" s="602"/>
    </row>
    <row r="20" customFormat="false" ht="12.75" hidden="false" customHeight="false" outlineLevel="0" collapsed="false">
      <c r="A20" s="522" t="s">
        <v>511</v>
      </c>
      <c r="B20" s="522" t="n">
        <f aca="false">+$B$4</f>
        <v>365.25</v>
      </c>
      <c r="C20" s="564"/>
    </row>
    <row r="21" customFormat="false" ht="12.75" hidden="false" customHeight="false" outlineLevel="0" collapsed="false">
      <c r="A21" s="522" t="s">
        <v>512</v>
      </c>
      <c r="B21" s="543" t="n">
        <v>12</v>
      </c>
      <c r="C21" s="564"/>
    </row>
    <row r="22" customFormat="false" ht="12.75" hidden="false" customHeight="false" outlineLevel="0" collapsed="false">
      <c r="A22" s="522" t="s">
        <v>513</v>
      </c>
      <c r="B22" s="533" t="n">
        <v>1</v>
      </c>
      <c r="C22" s="564"/>
    </row>
    <row r="23" customFormat="false" ht="12.75" hidden="false" customHeight="false" outlineLevel="0" collapsed="false">
      <c r="A23" s="543" t="s">
        <v>514</v>
      </c>
      <c r="B23" s="603" t="n">
        <f aca="false">+B5</f>
        <v>21.7410714285714</v>
      </c>
      <c r="C23" s="564"/>
    </row>
    <row r="24" customFormat="false" ht="12.75" hidden="false" customHeight="false" outlineLevel="0" collapsed="false">
      <c r="A24" s="548" t="s">
        <v>519</v>
      </c>
      <c r="B24" s="604"/>
      <c r="C24" s="564"/>
    </row>
    <row r="25" customFormat="false" ht="12.75" hidden="false" customHeight="false" outlineLevel="0" collapsed="false">
      <c r="A25" s="522" t="s">
        <v>520</v>
      </c>
      <c r="B25" s="533" t="n">
        <v>0.1</v>
      </c>
      <c r="C25" s="564"/>
    </row>
    <row r="26" customFormat="false" ht="12.75" hidden="false" customHeight="false" outlineLevel="0" collapsed="false">
      <c r="A26" s="575" t="s">
        <v>519</v>
      </c>
      <c r="B26" s="575"/>
      <c r="C26" s="605" t="n">
        <f aca="false">ROUND((B23*(B24)-((B23*B24)*B25)),2)</f>
        <v>0</v>
      </c>
    </row>
    <row r="28" customFormat="false" ht="12.75" hidden="false" customHeight="false" outlineLevel="0" collapsed="false">
      <c r="A28" s="602" t="s">
        <v>521</v>
      </c>
      <c r="B28" s="602"/>
      <c r="C28" s="602"/>
    </row>
    <row r="29" customFormat="false" ht="12.75" hidden="false" customHeight="false" outlineLevel="0" collapsed="false">
      <c r="A29" s="522" t="s">
        <v>522</v>
      </c>
      <c r="B29" s="534" t="n">
        <f aca="false">+B7</f>
        <v>0</v>
      </c>
      <c r="C29" s="564"/>
    </row>
    <row r="30" customFormat="false" ht="12.75" hidden="false" customHeight="false" outlineLevel="0" collapsed="false">
      <c r="A30" s="522" t="s">
        <v>523</v>
      </c>
      <c r="B30" s="522" t="n">
        <v>12</v>
      </c>
      <c r="C30" s="564"/>
    </row>
    <row r="31" customFormat="false" ht="12.75" hidden="false" customHeight="false" outlineLevel="0" collapsed="false">
      <c r="A31" s="546" t="s">
        <v>524</v>
      </c>
      <c r="B31" s="606"/>
      <c r="C31" s="564"/>
    </row>
    <row r="32" customFormat="false" ht="12.75" hidden="false" customHeight="false" outlineLevel="0" collapsed="false">
      <c r="A32" s="575" t="s">
        <v>525</v>
      </c>
      <c r="B32" s="575"/>
      <c r="C32" s="605" t="n">
        <f aca="false">ROUND(+(B29/B30)*B31,2)</f>
        <v>0</v>
      </c>
    </row>
    <row r="34" customFormat="false" ht="12.75" hidden="false" customHeight="true" outlineLevel="0" collapsed="false">
      <c r="A34" s="607" t="s">
        <v>526</v>
      </c>
      <c r="B34" s="607"/>
      <c r="C34" s="607"/>
    </row>
    <row r="35" s="46" customFormat="true" ht="12.75" hidden="false" customHeight="false" outlineLevel="0" collapsed="false">
      <c r="A35" s="608" t="s">
        <v>527</v>
      </c>
      <c r="B35" s="606" t="n">
        <f aca="false">+B31</f>
        <v>0</v>
      </c>
      <c r="C35" s="564"/>
    </row>
    <row r="36" customFormat="false" ht="12.75" hidden="false" customHeight="false" outlineLevel="0" collapsed="false">
      <c r="A36" s="522" t="s">
        <v>528</v>
      </c>
      <c r="B36" s="534" t="n">
        <f aca="false">+'Servente_44_seg_a_sex+insal20'!$D$23</f>
        <v>0</v>
      </c>
      <c r="C36" s="564"/>
    </row>
    <row r="37" customFormat="false" ht="12.75" hidden="false" customHeight="false" outlineLevel="0" collapsed="false">
      <c r="A37" s="522" t="s">
        <v>411</v>
      </c>
      <c r="B37" s="534" t="n">
        <f aca="false">+'Servente_44_seg_a_sex+insal20'!$D$29</f>
        <v>0</v>
      </c>
      <c r="C37" s="564"/>
    </row>
    <row r="38" customFormat="false" ht="12.75" hidden="false" customHeight="false" outlineLevel="0" collapsed="false">
      <c r="A38" s="522" t="s">
        <v>413</v>
      </c>
      <c r="B38" s="534" t="n">
        <f aca="false">+'Servente_44_seg_a_sex+insal20'!$D$31</f>
        <v>0</v>
      </c>
      <c r="C38" s="564"/>
    </row>
    <row r="39" customFormat="false" ht="12.75" hidden="false" customHeight="false" outlineLevel="0" collapsed="false">
      <c r="A39" s="522" t="s">
        <v>414</v>
      </c>
      <c r="B39" s="534" t="n">
        <f aca="false">+'Servente_44_seg_a_sex+insal20'!$D$32</f>
        <v>0</v>
      </c>
      <c r="C39" s="564"/>
    </row>
    <row r="40" customFormat="false" ht="12.75" hidden="false" customHeight="false" outlineLevel="0" collapsed="false">
      <c r="A40" s="609" t="s">
        <v>529</v>
      </c>
      <c r="B40" s="610" t="n">
        <f aca="false">SUM(B36:B39)</f>
        <v>0</v>
      </c>
      <c r="C40" s="564"/>
    </row>
    <row r="41" customFormat="false" ht="12.75" hidden="false" customHeight="false" outlineLevel="0" collapsed="false">
      <c r="A41" s="543" t="s">
        <v>530</v>
      </c>
      <c r="B41" s="533" t="n">
        <v>0.4</v>
      </c>
      <c r="C41" s="564"/>
    </row>
    <row r="42" customFormat="false" ht="12.75" hidden="false" customHeight="false" outlineLevel="0" collapsed="false">
      <c r="A42" s="543" t="s">
        <v>531</v>
      </c>
      <c r="B42" s="533" t="n">
        <f aca="false">+'Servente_44_seg_a_sex+insal20'!$C$44</f>
        <v>0.08</v>
      </c>
      <c r="C42" s="564"/>
    </row>
    <row r="43" customFormat="false" ht="12.75" hidden="false" customHeight="false" outlineLevel="0" collapsed="false">
      <c r="A43" s="577" t="s">
        <v>532</v>
      </c>
      <c r="B43" s="577"/>
      <c r="C43" s="578" t="n">
        <f aca="false">ROUND(+B40*B41*B42*B35,2)</f>
        <v>0</v>
      </c>
    </row>
    <row r="44" customFormat="false" ht="12.75" hidden="false" customHeight="false" outlineLevel="0" collapsed="false">
      <c r="A44" s="575" t="s">
        <v>533</v>
      </c>
      <c r="B44" s="575"/>
      <c r="C44" s="579" t="n">
        <f aca="false">+C43</f>
        <v>0</v>
      </c>
    </row>
    <row r="46" customFormat="false" ht="12.75" hidden="false" customHeight="false" outlineLevel="0" collapsed="false">
      <c r="A46" s="602" t="s">
        <v>534</v>
      </c>
      <c r="B46" s="602"/>
      <c r="C46" s="602"/>
    </row>
    <row r="47" customFormat="false" ht="12.75" hidden="false" customHeight="false" outlineLevel="0" collapsed="false">
      <c r="A47" s="522" t="s">
        <v>522</v>
      </c>
      <c r="B47" s="534" t="n">
        <f aca="false">+B7</f>
        <v>0</v>
      </c>
      <c r="C47" s="564"/>
    </row>
    <row r="48" customFormat="false" ht="12.75" hidden="false" customHeight="false" outlineLevel="0" collapsed="false">
      <c r="A48" s="522" t="s">
        <v>535</v>
      </c>
      <c r="B48" s="611" t="n">
        <v>30</v>
      </c>
      <c r="C48" s="564"/>
    </row>
    <row r="49" customFormat="false" ht="12.75" hidden="false" customHeight="false" outlineLevel="0" collapsed="false">
      <c r="A49" s="522" t="s">
        <v>523</v>
      </c>
      <c r="B49" s="522" t="n">
        <v>12</v>
      </c>
      <c r="C49" s="564"/>
    </row>
    <row r="50" customFormat="false" ht="12.75" hidden="false" customHeight="false" outlineLevel="0" collapsed="false">
      <c r="A50" s="522" t="s">
        <v>536</v>
      </c>
      <c r="B50" s="522" t="n">
        <v>7</v>
      </c>
      <c r="C50" s="564"/>
    </row>
    <row r="51" customFormat="false" ht="12.75" hidden="false" customHeight="false" outlineLevel="0" collapsed="false">
      <c r="A51" s="546" t="s">
        <v>537</v>
      </c>
      <c r="B51" s="606"/>
      <c r="C51" s="564"/>
    </row>
    <row r="52" customFormat="false" ht="12.75" hidden="false" customHeight="false" outlineLevel="0" collapsed="false">
      <c r="A52" s="575" t="s">
        <v>538</v>
      </c>
      <c r="B52" s="575"/>
      <c r="C52" s="605" t="n">
        <f aca="false">+ROUND(((B47/B48/B49)*B50)*B51,2)</f>
        <v>0</v>
      </c>
    </row>
    <row r="54" customFormat="false" ht="12.75" hidden="false" customHeight="true" outlineLevel="0" collapsed="false">
      <c r="A54" s="607" t="s">
        <v>539</v>
      </c>
      <c r="B54" s="607"/>
      <c r="C54" s="607"/>
    </row>
    <row r="55" customFormat="false" ht="12.75" hidden="false" customHeight="false" outlineLevel="0" collapsed="false">
      <c r="A55" s="608" t="s">
        <v>540</v>
      </c>
      <c r="B55" s="606" t="n">
        <f aca="false">+B51</f>
        <v>0</v>
      </c>
      <c r="C55" s="564"/>
    </row>
    <row r="56" customFormat="false" ht="12.75" hidden="false" customHeight="false" outlineLevel="0" collapsed="false">
      <c r="A56" s="522" t="s">
        <v>528</v>
      </c>
      <c r="B56" s="534" t="n">
        <f aca="false">+'Servente_44_seg_a_sex+insal20'!$D$23</f>
        <v>0</v>
      </c>
      <c r="C56" s="564"/>
    </row>
    <row r="57" customFormat="false" ht="12.75" hidden="false" customHeight="false" outlineLevel="0" collapsed="false">
      <c r="A57" s="522" t="s">
        <v>411</v>
      </c>
      <c r="B57" s="534" t="n">
        <f aca="false">+'Servente_44_seg_a_sex+insal20'!$D$29</f>
        <v>0</v>
      </c>
      <c r="C57" s="564"/>
    </row>
    <row r="58" customFormat="false" ht="12.75" hidden="false" customHeight="false" outlineLevel="0" collapsed="false">
      <c r="A58" s="522" t="s">
        <v>413</v>
      </c>
      <c r="B58" s="534" t="n">
        <f aca="false">+'Servente_44_seg_a_sex+insal20'!$D$31</f>
        <v>0</v>
      </c>
      <c r="C58" s="564"/>
    </row>
    <row r="59" customFormat="false" ht="12.75" hidden="false" customHeight="false" outlineLevel="0" collapsed="false">
      <c r="A59" s="522" t="s">
        <v>414</v>
      </c>
      <c r="B59" s="534" t="n">
        <f aca="false">+'Servente_44_seg_a_sex+insal20'!$D$32</f>
        <v>0</v>
      </c>
      <c r="C59" s="564"/>
    </row>
    <row r="60" customFormat="false" ht="12.75" hidden="false" customHeight="false" outlineLevel="0" collapsed="false">
      <c r="A60" s="609" t="s">
        <v>529</v>
      </c>
      <c r="B60" s="610" t="n">
        <f aca="false">SUM(B56:B59)</f>
        <v>0</v>
      </c>
      <c r="C60" s="564"/>
    </row>
    <row r="61" customFormat="false" ht="12.75" hidden="false" customHeight="false" outlineLevel="0" collapsed="false">
      <c r="A61" s="543" t="s">
        <v>530</v>
      </c>
      <c r="B61" s="533" t="n">
        <v>0.4</v>
      </c>
      <c r="C61" s="564"/>
    </row>
    <row r="62" customFormat="false" ht="12.75" hidden="false" customHeight="false" outlineLevel="0" collapsed="false">
      <c r="A62" s="543" t="s">
        <v>531</v>
      </c>
      <c r="B62" s="533" t="n">
        <f aca="false">+'Servente_44_seg_a_sex+insal20'!$C$44</f>
        <v>0.08</v>
      </c>
      <c r="C62" s="564"/>
    </row>
    <row r="63" customFormat="false" ht="12.75" hidden="false" customHeight="false" outlineLevel="0" collapsed="false">
      <c r="A63" s="577" t="s">
        <v>532</v>
      </c>
      <c r="B63" s="577"/>
      <c r="C63" s="578" t="n">
        <f aca="false">ROUND(+B60*B61*B62*B55,2)</f>
        <v>0</v>
      </c>
    </row>
    <row r="64" customFormat="false" ht="12.75" hidden="false" customHeight="false" outlineLevel="0" collapsed="false">
      <c r="A64" s="575" t="s">
        <v>541</v>
      </c>
      <c r="B64" s="575"/>
      <c r="C64" s="579" t="n">
        <f aca="false">+C63</f>
        <v>0</v>
      </c>
    </row>
    <row r="66" customFormat="false" ht="12.75" hidden="false" customHeight="true" outlineLevel="0" collapsed="false">
      <c r="A66" s="607" t="s">
        <v>542</v>
      </c>
      <c r="B66" s="607"/>
      <c r="C66" s="607"/>
    </row>
    <row r="67" customFormat="false" ht="12.75" hidden="false" customHeight="true" outlineLevel="0" collapsed="false">
      <c r="A67" s="612" t="s">
        <v>543</v>
      </c>
      <c r="B67" s="612"/>
      <c r="C67" s="612"/>
    </row>
    <row r="68" customFormat="false" ht="12.75" hidden="false" customHeight="false" outlineLevel="0" collapsed="false">
      <c r="A68" s="612"/>
      <c r="B68" s="612"/>
      <c r="C68" s="612"/>
    </row>
    <row r="69" customFormat="false" ht="12.75" hidden="false" customHeight="false" outlineLevel="0" collapsed="false">
      <c r="A69" s="612"/>
      <c r="B69" s="612"/>
      <c r="C69" s="612"/>
    </row>
    <row r="70" customFormat="false" ht="12.75" hidden="false" customHeight="false" outlineLevel="0" collapsed="false">
      <c r="A70" s="612"/>
      <c r="B70" s="612"/>
      <c r="C70" s="612"/>
    </row>
    <row r="71" customFormat="false" ht="12.75" hidden="false" customHeight="false" outlineLevel="0" collapsed="false">
      <c r="A71" s="613"/>
      <c r="B71" s="613"/>
      <c r="C71" s="613"/>
    </row>
    <row r="72" customFormat="false" ht="12.75" hidden="false" customHeight="true" outlineLevel="0" collapsed="false">
      <c r="A72" s="607" t="s">
        <v>544</v>
      </c>
      <c r="B72" s="607"/>
      <c r="C72" s="607"/>
    </row>
    <row r="73" customFormat="false" ht="12.75" hidden="false" customHeight="false" outlineLevel="0" collapsed="false">
      <c r="A73" s="522" t="s">
        <v>545</v>
      </c>
      <c r="B73" s="534" t="n">
        <f aca="false">+$B$7</f>
        <v>0</v>
      </c>
      <c r="C73" s="564"/>
    </row>
    <row r="74" customFormat="false" ht="12.75" hidden="false" customHeight="false" outlineLevel="0" collapsed="false">
      <c r="A74" s="522" t="s">
        <v>512</v>
      </c>
      <c r="B74" s="522" t="n">
        <v>30</v>
      </c>
      <c r="C74" s="564"/>
    </row>
    <row r="75" customFormat="false" ht="12.75" hidden="false" customHeight="false" outlineLevel="0" collapsed="false">
      <c r="A75" s="522" t="s">
        <v>546</v>
      </c>
      <c r="B75" s="522" t="n">
        <v>12</v>
      </c>
      <c r="C75" s="564"/>
    </row>
    <row r="76" customFormat="false" ht="12.75" hidden="false" customHeight="false" outlineLevel="0" collapsed="false">
      <c r="A76" s="546" t="s">
        <v>547</v>
      </c>
      <c r="B76" s="546"/>
      <c r="C76" s="564"/>
    </row>
    <row r="77" customFormat="false" ht="12.75" hidden="false" customHeight="false" outlineLevel="0" collapsed="false">
      <c r="A77" s="575" t="s">
        <v>548</v>
      </c>
      <c r="B77" s="575"/>
      <c r="C77" s="556" t="n">
        <f aca="false">+ROUND((B73/B74/B75)*B76,2)</f>
        <v>0</v>
      </c>
    </row>
    <row r="79" customFormat="false" ht="12.75" hidden="false" customHeight="true" outlineLevel="0" collapsed="false">
      <c r="A79" s="607" t="s">
        <v>549</v>
      </c>
      <c r="B79" s="607"/>
      <c r="C79" s="607"/>
    </row>
    <row r="80" customFormat="false" ht="12.75" hidden="false" customHeight="false" outlineLevel="0" collapsed="false">
      <c r="A80" s="522" t="s">
        <v>545</v>
      </c>
      <c r="B80" s="534" t="n">
        <f aca="false">+$B$7</f>
        <v>0</v>
      </c>
      <c r="C80" s="564"/>
    </row>
    <row r="81" customFormat="false" ht="12.75" hidden="false" customHeight="false" outlineLevel="0" collapsed="false">
      <c r="A81" s="522" t="s">
        <v>512</v>
      </c>
      <c r="B81" s="522" t="n">
        <v>30</v>
      </c>
      <c r="C81" s="564"/>
    </row>
    <row r="82" customFormat="false" ht="12.75" hidden="false" customHeight="false" outlineLevel="0" collapsed="false">
      <c r="A82" s="522" t="s">
        <v>546</v>
      </c>
      <c r="B82" s="522" t="n">
        <v>12</v>
      </c>
      <c r="C82" s="564"/>
    </row>
    <row r="83" customFormat="false" ht="12.75" hidden="false" customHeight="false" outlineLevel="0" collapsed="false">
      <c r="A83" s="543" t="s">
        <v>550</v>
      </c>
      <c r="B83" s="522" t="n">
        <v>5</v>
      </c>
      <c r="C83" s="564"/>
    </row>
    <row r="84" customFormat="false" ht="12.75" hidden="false" customHeight="false" outlineLevel="0" collapsed="false">
      <c r="A84" s="546" t="s">
        <v>551</v>
      </c>
      <c r="B84" s="606"/>
      <c r="C84" s="564"/>
    </row>
    <row r="85" customFormat="false" ht="12.75" hidden="false" customHeight="false" outlineLevel="0" collapsed="false">
      <c r="A85" s="546" t="s">
        <v>552</v>
      </c>
      <c r="B85" s="606"/>
      <c r="C85" s="564"/>
    </row>
    <row r="86" customFormat="false" ht="12.75" hidden="false" customHeight="false" outlineLevel="0" collapsed="false">
      <c r="A86" s="575" t="s">
        <v>553</v>
      </c>
      <c r="B86" s="575"/>
      <c r="C86" s="605" t="n">
        <f aca="false">ROUND(+B80/B81/B82*B83*B84*B85,2)</f>
        <v>0</v>
      </c>
    </row>
    <row r="88" customFormat="false" ht="12.75" hidden="false" customHeight="true" outlineLevel="0" collapsed="false">
      <c r="A88" s="607" t="s">
        <v>554</v>
      </c>
      <c r="B88" s="607"/>
      <c r="C88" s="607"/>
    </row>
    <row r="89" customFormat="false" ht="12.75" hidden="false" customHeight="false" outlineLevel="0" collapsed="false">
      <c r="A89" s="522" t="s">
        <v>545</v>
      </c>
      <c r="B89" s="534" t="n">
        <f aca="false">+$B$7</f>
        <v>0</v>
      </c>
      <c r="C89" s="564"/>
    </row>
    <row r="90" customFormat="false" ht="12.75" hidden="false" customHeight="false" outlineLevel="0" collapsed="false">
      <c r="A90" s="522" t="s">
        <v>512</v>
      </c>
      <c r="B90" s="522" t="n">
        <v>30</v>
      </c>
      <c r="C90" s="564"/>
    </row>
    <row r="91" customFormat="false" ht="12.75" hidden="false" customHeight="false" outlineLevel="0" collapsed="false">
      <c r="A91" s="522" t="s">
        <v>546</v>
      </c>
      <c r="B91" s="522" t="n">
        <v>12</v>
      </c>
      <c r="C91" s="564"/>
    </row>
    <row r="92" customFormat="false" ht="12.75" hidden="false" customHeight="false" outlineLevel="0" collapsed="false">
      <c r="A92" s="543" t="s">
        <v>555</v>
      </c>
      <c r="B92" s="522" t="n">
        <v>15</v>
      </c>
      <c r="C92" s="564"/>
    </row>
    <row r="93" customFormat="false" ht="12.75" hidden="false" customHeight="false" outlineLevel="0" collapsed="false">
      <c r="A93" s="546" t="s">
        <v>556</v>
      </c>
      <c r="B93" s="606"/>
      <c r="C93" s="564"/>
    </row>
    <row r="94" customFormat="false" ht="12.75" hidden="false" customHeight="false" outlineLevel="0" collapsed="false">
      <c r="A94" s="575" t="s">
        <v>557</v>
      </c>
      <c r="B94" s="575"/>
      <c r="C94" s="605" t="n">
        <f aca="false">ROUND(+B89/B90/B91*B92*B93,2)</f>
        <v>0</v>
      </c>
    </row>
    <row r="96" customFormat="false" ht="12.75" hidden="false" customHeight="true" outlineLevel="0" collapsed="false">
      <c r="A96" s="607" t="s">
        <v>558</v>
      </c>
      <c r="B96" s="607"/>
      <c r="C96" s="607"/>
    </row>
    <row r="97" customFormat="false" ht="12.75" hidden="false" customHeight="false" outlineLevel="0" collapsed="false">
      <c r="A97" s="522" t="s">
        <v>545</v>
      </c>
      <c r="B97" s="534" t="n">
        <f aca="false">+$B$7</f>
        <v>0</v>
      </c>
      <c r="C97" s="564"/>
    </row>
    <row r="98" customFormat="false" ht="12.75" hidden="false" customHeight="false" outlineLevel="0" collapsed="false">
      <c r="A98" s="522" t="s">
        <v>512</v>
      </c>
      <c r="B98" s="522" t="n">
        <v>30</v>
      </c>
      <c r="C98" s="564"/>
    </row>
    <row r="99" customFormat="false" ht="12.75" hidden="false" customHeight="false" outlineLevel="0" collapsed="false">
      <c r="A99" s="522" t="s">
        <v>546</v>
      </c>
      <c r="B99" s="522" t="n">
        <v>12</v>
      </c>
      <c r="C99" s="564"/>
    </row>
    <row r="100" customFormat="false" ht="12.75" hidden="false" customHeight="false" outlineLevel="0" collapsed="false">
      <c r="A100" s="543" t="s">
        <v>555</v>
      </c>
      <c r="B100" s="522" t="n">
        <v>5</v>
      </c>
      <c r="C100" s="564"/>
    </row>
    <row r="101" customFormat="false" ht="12.75" hidden="false" customHeight="false" outlineLevel="0" collapsed="false">
      <c r="A101" s="546" t="s">
        <v>559</v>
      </c>
      <c r="B101" s="606"/>
      <c r="C101" s="564"/>
    </row>
    <row r="102" customFormat="false" ht="12.75" hidden="false" customHeight="false" outlineLevel="0" collapsed="false">
      <c r="A102" s="575" t="s">
        <v>560</v>
      </c>
      <c r="B102" s="575"/>
      <c r="C102" s="605" t="n">
        <f aca="false">ROUND(+B97/B98/B99*B100*B101,2)</f>
        <v>0</v>
      </c>
    </row>
    <row r="104" customFormat="false" ht="12.75" hidden="false" customHeight="true" outlineLevel="0" collapsed="false">
      <c r="A104" s="607" t="s">
        <v>562</v>
      </c>
      <c r="B104" s="607"/>
      <c r="C104" s="607"/>
    </row>
    <row r="105" customFormat="false" ht="12.75" hidden="false" customHeight="true" outlineLevel="0" collapsed="false">
      <c r="A105" s="614" t="s">
        <v>563</v>
      </c>
      <c r="B105" s="614"/>
      <c r="C105" s="614"/>
    </row>
    <row r="106" customFormat="false" ht="12.75" hidden="false" customHeight="false" outlineLevel="0" collapsed="false">
      <c r="A106" s="522" t="s">
        <v>545</v>
      </c>
      <c r="B106" s="534" t="n">
        <f aca="false">+$B$7</f>
        <v>0</v>
      </c>
      <c r="C106" s="564"/>
    </row>
    <row r="107" customFormat="false" ht="12.75" hidden="false" customHeight="false" outlineLevel="0" collapsed="false">
      <c r="A107" s="522" t="s">
        <v>564</v>
      </c>
      <c r="B107" s="534" t="n">
        <f aca="false">+B106*(1/3)</f>
        <v>0</v>
      </c>
      <c r="C107" s="564"/>
    </row>
    <row r="108" customFormat="false" ht="12.75" hidden="false" customHeight="false" outlineLevel="0" collapsed="false">
      <c r="A108" s="609" t="s">
        <v>529</v>
      </c>
      <c r="B108" s="610" t="n">
        <f aca="false">SUM(B106:B107)</f>
        <v>0</v>
      </c>
      <c r="C108" s="564"/>
    </row>
    <row r="109" customFormat="false" ht="12.75" hidden="false" customHeight="false" outlineLevel="0" collapsed="false">
      <c r="A109" s="522" t="s">
        <v>565</v>
      </c>
      <c r="B109" s="522" t="n">
        <v>4</v>
      </c>
      <c r="C109" s="564"/>
    </row>
    <row r="110" customFormat="false" ht="12.75" hidden="false" customHeight="false" outlineLevel="0" collapsed="false">
      <c r="A110" s="522" t="s">
        <v>546</v>
      </c>
      <c r="B110" s="522" t="n">
        <v>12</v>
      </c>
      <c r="C110" s="564"/>
    </row>
    <row r="111" customFormat="false" ht="12.75" hidden="false" customHeight="false" outlineLevel="0" collapsed="false">
      <c r="A111" s="546" t="s">
        <v>566</v>
      </c>
      <c r="B111" s="606"/>
      <c r="C111" s="564"/>
    </row>
    <row r="112" customFormat="false" ht="12.75" hidden="false" customHeight="false" outlineLevel="0" collapsed="false">
      <c r="A112" s="546" t="s">
        <v>567</v>
      </c>
      <c r="B112" s="606"/>
      <c r="C112" s="564"/>
    </row>
    <row r="113" customFormat="false" ht="12.75" hidden="false" customHeight="false" outlineLevel="0" collapsed="false">
      <c r="A113" s="575" t="s">
        <v>568</v>
      </c>
      <c r="B113" s="575"/>
      <c r="C113" s="605" t="n">
        <f aca="false">ROUND((((+B108*(B109/B110)/B110)*B111)*B112),2)</f>
        <v>0</v>
      </c>
    </row>
    <row r="114" customFormat="false" ht="12.75" hidden="false" customHeight="false" outlineLevel="0" collapsed="false">
      <c r="A114" s="575" t="s">
        <v>569</v>
      </c>
      <c r="B114" s="575"/>
      <c r="C114" s="575"/>
    </row>
    <row r="115" customFormat="false" ht="12.75" hidden="false" customHeight="false" outlineLevel="0" collapsed="false">
      <c r="A115" s="522" t="s">
        <v>545</v>
      </c>
      <c r="B115" s="534" t="n">
        <f aca="false">+'Servente_44_seg_a_sex+insal20'!D23</f>
        <v>0</v>
      </c>
      <c r="C115" s="564"/>
    </row>
    <row r="116" customFormat="false" ht="12.75" hidden="false" customHeight="false" outlineLevel="0" collapsed="false">
      <c r="A116" s="522" t="s">
        <v>411</v>
      </c>
      <c r="B116" s="534" t="n">
        <f aca="false">+'Servente_44_seg_a_sex+insal20'!D29</f>
        <v>0</v>
      </c>
      <c r="C116" s="564"/>
    </row>
    <row r="117" customFormat="false" ht="12.75" hidden="false" customHeight="false" outlineLevel="0" collapsed="false">
      <c r="A117" s="609" t="s">
        <v>529</v>
      </c>
      <c r="B117" s="610" t="n">
        <f aca="false">SUM(B115:B116)</f>
        <v>0</v>
      </c>
      <c r="C117" s="564"/>
    </row>
    <row r="118" customFormat="false" ht="12.75" hidden="false" customHeight="false" outlineLevel="0" collapsed="false">
      <c r="A118" s="522" t="s">
        <v>565</v>
      </c>
      <c r="B118" s="522" t="n">
        <v>4</v>
      </c>
      <c r="C118" s="564"/>
    </row>
    <row r="119" customFormat="false" ht="12.75" hidden="false" customHeight="false" outlineLevel="0" collapsed="false">
      <c r="A119" s="522" t="s">
        <v>546</v>
      </c>
      <c r="B119" s="522" t="n">
        <v>12</v>
      </c>
      <c r="C119" s="564"/>
    </row>
    <row r="120" customFormat="false" ht="12.75" hidden="false" customHeight="false" outlineLevel="0" collapsed="false">
      <c r="A120" s="546" t="s">
        <v>566</v>
      </c>
      <c r="B120" s="606" t="n">
        <f aca="false">+B111</f>
        <v>0</v>
      </c>
      <c r="C120" s="564"/>
    </row>
    <row r="121" customFormat="false" ht="12.75" hidden="false" customHeight="false" outlineLevel="0" collapsed="false">
      <c r="A121" s="546" t="s">
        <v>567</v>
      </c>
      <c r="B121" s="606" t="n">
        <f aca="false">+B112</f>
        <v>0</v>
      </c>
      <c r="C121" s="564"/>
    </row>
    <row r="122" customFormat="false" ht="12.75" hidden="false" customHeight="false" outlineLevel="0" collapsed="false">
      <c r="A122" s="543" t="s">
        <v>570</v>
      </c>
      <c r="B122" s="533" t="n">
        <f aca="false">+'Servente_44_seg_a_sex+insal20'!C45</f>
        <v>0.368</v>
      </c>
      <c r="C122" s="564"/>
    </row>
    <row r="123" customFormat="false" ht="12.75" hidden="false" customHeight="false" outlineLevel="0" collapsed="false">
      <c r="A123" s="575" t="s">
        <v>571</v>
      </c>
      <c r="B123" s="575"/>
      <c r="C123" s="579" t="n">
        <f aca="false">ROUND((((B117*(B118/B119)*B120)*B121)*B122),2)</f>
        <v>0</v>
      </c>
    </row>
    <row r="125" customFormat="false" ht="27" hidden="false" customHeight="true" outlineLevel="0" collapsed="false">
      <c r="A125" s="615" t="s">
        <v>575</v>
      </c>
      <c r="B125" s="615"/>
      <c r="C125" s="615"/>
    </row>
  </sheetData>
  <mergeCells count="31">
    <mergeCell ref="A1:C1"/>
    <mergeCell ref="A10:C10"/>
    <mergeCell ref="A17:B17"/>
    <mergeCell ref="A19:C19"/>
    <mergeCell ref="A26:B26"/>
    <mergeCell ref="A28:C28"/>
    <mergeCell ref="A32:B32"/>
    <mergeCell ref="A34:C34"/>
    <mergeCell ref="A43:B43"/>
    <mergeCell ref="A44:B44"/>
    <mergeCell ref="A46:C46"/>
    <mergeCell ref="A52:B52"/>
    <mergeCell ref="A54:C54"/>
    <mergeCell ref="A63:B63"/>
    <mergeCell ref="A64:B64"/>
    <mergeCell ref="A66:C66"/>
    <mergeCell ref="A67:C70"/>
    <mergeCell ref="A72:C72"/>
    <mergeCell ref="A77:B77"/>
    <mergeCell ref="A79:C79"/>
    <mergeCell ref="A86:B86"/>
    <mergeCell ref="A88:C88"/>
    <mergeCell ref="A94:B94"/>
    <mergeCell ref="A96:C96"/>
    <mergeCell ref="A102:B102"/>
    <mergeCell ref="A104:C104"/>
    <mergeCell ref="A105:C105"/>
    <mergeCell ref="A113:B113"/>
    <mergeCell ref="A114:C114"/>
    <mergeCell ref="A123:B123"/>
    <mergeCell ref="A125:C125"/>
  </mergeCells>
  <printOptions headings="false" gridLines="false" gridLinesSet="true" horizontalCentered="false" verticalCentered="false"/>
  <pageMargins left="1.52013888888889" right="0.157638888888889"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G15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08"/>
    <col collapsed="false" customWidth="true" hidden="false" outlineLevel="0" max="2" min="2" style="44" width="54.54"/>
    <col collapsed="false" customWidth="true" hidden="false" outlineLevel="0" max="3" min="3" style="44" width="10.12"/>
    <col collapsed="false" customWidth="true" hidden="false" outlineLevel="0" max="4" min="4" style="44" width="16.87"/>
    <col collapsed="false" customWidth="true" hidden="false" outlineLevel="0" max="5" min="5" style="44" width="12.69"/>
    <col collapsed="false" customWidth="true" hidden="false" outlineLevel="0" max="1025" min="6" style="44" width="8.64"/>
  </cols>
  <sheetData>
    <row r="1" customFormat="false" ht="12.75" hidden="false" customHeight="false" outlineLevel="0" collapsed="false">
      <c r="A1" s="492" t="s">
        <v>374</v>
      </c>
      <c r="B1" s="492"/>
      <c r="C1" s="492"/>
      <c r="D1" s="492"/>
      <c r="E1" s="493"/>
      <c r="F1" s="493"/>
    </row>
    <row r="3" customFormat="false" ht="12.75" hidden="false" customHeight="false" outlineLevel="0" collapsed="false">
      <c r="A3" s="494" t="s">
        <v>375</v>
      </c>
      <c r="B3" s="494"/>
      <c r="C3" s="494"/>
      <c r="D3" s="494"/>
    </row>
    <row r="4" s="498" customFormat="true" ht="27.75" hidden="false" customHeight="true" outlineLevel="0" collapsed="false">
      <c r="A4" s="646" t="n">
        <v>1</v>
      </c>
      <c r="B4" s="647" t="s">
        <v>376</v>
      </c>
      <c r="C4" s="648" t="s">
        <v>580</v>
      </c>
      <c r="D4" s="648"/>
    </row>
    <row r="5" s="498" customFormat="true" ht="12.75" hidden="false" customHeight="false" outlineLevel="0" collapsed="false">
      <c r="A5" s="646" t="n">
        <v>2</v>
      </c>
      <c r="B5" s="647" t="s">
        <v>378</v>
      </c>
      <c r="C5" s="649" t="s">
        <v>574</v>
      </c>
      <c r="D5" s="649"/>
    </row>
    <row r="6" s="498" customFormat="true" ht="12.75" hidden="false" customHeight="false" outlineLevel="0" collapsed="false">
      <c r="A6" s="646" t="n">
        <v>3</v>
      </c>
      <c r="B6" s="647" t="s">
        <v>380</v>
      </c>
      <c r="C6" s="650" t="n">
        <f aca="false">+APRESENTACAO!G21</f>
        <v>0</v>
      </c>
      <c r="D6" s="650"/>
    </row>
    <row r="7" s="498" customFormat="true" ht="12.75" hidden="false" customHeight="true" outlineLevel="0" collapsed="false">
      <c r="A7" s="646" t="n">
        <v>4</v>
      </c>
      <c r="B7" s="647" t="s">
        <v>381</v>
      </c>
      <c r="C7" s="651" t="s">
        <v>382</v>
      </c>
      <c r="D7" s="651"/>
    </row>
    <row r="8" s="498" customFormat="true" ht="12.75" hidden="false" customHeight="false" outlineLevel="0" collapsed="false">
      <c r="A8" s="646" t="n">
        <v>5</v>
      </c>
      <c r="B8" s="647" t="s">
        <v>383</v>
      </c>
      <c r="C8" s="652" t="n">
        <v>43524</v>
      </c>
      <c r="D8" s="652"/>
    </row>
    <row r="9" customFormat="false" ht="12.75" hidden="false" customHeight="false" outlineLevel="0" collapsed="false">
      <c r="D9" s="623"/>
    </row>
    <row r="10" customFormat="false" ht="12.75" hidden="false" customHeight="false" outlineLevel="0" collapsed="false">
      <c r="A10" s="505" t="s">
        <v>384</v>
      </c>
      <c r="B10" s="505"/>
      <c r="C10" s="505"/>
      <c r="D10" s="505"/>
    </row>
    <row r="11" customFormat="false" ht="12.75" hidden="false" customHeight="false" outlineLevel="0" collapsed="false">
      <c r="A11" s="506" t="n">
        <v>1</v>
      </c>
      <c r="B11" s="507" t="s">
        <v>385</v>
      </c>
      <c r="C11" s="492" t="s">
        <v>386</v>
      </c>
      <c r="D11" s="508" t="s">
        <v>387</v>
      </c>
    </row>
    <row r="12" customFormat="false" ht="12.75" hidden="false" customHeight="false" outlineLevel="0" collapsed="false">
      <c r="A12" s="509" t="s">
        <v>15</v>
      </c>
      <c r="B12" s="509" t="s">
        <v>388</v>
      </c>
      <c r="C12" s="509"/>
      <c r="D12" s="510" t="n">
        <f aca="false">+C6</f>
        <v>0</v>
      </c>
    </row>
    <row r="13" customFormat="false" ht="12.75" hidden="false" customHeight="false" outlineLevel="0" collapsed="false">
      <c r="A13" s="509" t="s">
        <v>17</v>
      </c>
      <c r="B13" s="511" t="s">
        <v>389</v>
      </c>
      <c r="C13" s="512"/>
      <c r="D13" s="510"/>
      <c r="E13" s="513"/>
    </row>
    <row r="14" customFormat="false" ht="12.75" hidden="false" customHeight="false" outlineLevel="0" collapsed="false">
      <c r="A14" s="509" t="s">
        <v>20</v>
      </c>
      <c r="B14" s="511" t="s">
        <v>390</v>
      </c>
      <c r="C14" s="512"/>
      <c r="D14" s="510" t="n">
        <f aca="false">+C14*D12</f>
        <v>0</v>
      </c>
    </row>
    <row r="15" customFormat="false" ht="12.75" hidden="false" customHeight="false" outlineLevel="0" collapsed="false">
      <c r="A15" s="509" t="s">
        <v>22</v>
      </c>
      <c r="B15" s="509" t="s">
        <v>391</v>
      </c>
      <c r="C15" s="509"/>
      <c r="D15" s="510"/>
    </row>
    <row r="16" customFormat="false" ht="12.75" hidden="false" customHeight="false" outlineLevel="0" collapsed="false">
      <c r="A16" s="509" t="s">
        <v>392</v>
      </c>
      <c r="B16" s="509" t="s">
        <v>393</v>
      </c>
      <c r="C16" s="509"/>
      <c r="D16" s="510"/>
    </row>
    <row r="17" customFormat="false" ht="12.75" hidden="false" customHeight="false" outlineLevel="0" collapsed="false">
      <c r="A17" s="509" t="s">
        <v>394</v>
      </c>
      <c r="B17" s="509" t="s">
        <v>395</v>
      </c>
      <c r="C17" s="509"/>
      <c r="D17" s="510"/>
    </row>
    <row r="18" customFormat="false" ht="12.75" hidden="false" customHeight="false" outlineLevel="0" collapsed="false">
      <c r="A18" s="509" t="s">
        <v>396</v>
      </c>
      <c r="B18" s="509" t="s">
        <v>397</v>
      </c>
      <c r="C18" s="509"/>
      <c r="D18" s="510"/>
    </row>
    <row r="19" customFormat="false" ht="12.75" hidden="false" customHeight="false" outlineLevel="0" collapsed="false">
      <c r="A19" s="509" t="s">
        <v>398</v>
      </c>
      <c r="B19" s="509" t="s">
        <v>399</v>
      </c>
      <c r="C19" s="509"/>
      <c r="D19" s="514"/>
    </row>
    <row r="20" customFormat="false" ht="12.75" hidden="false" customHeight="false" outlineLevel="0" collapsed="false">
      <c r="A20" s="509" t="s">
        <v>400</v>
      </c>
      <c r="B20" s="511" t="s">
        <v>401</v>
      </c>
      <c r="C20" s="512" t="n">
        <v>0.15</v>
      </c>
      <c r="D20" s="510" t="n">
        <f aca="false">+C20*D12</f>
        <v>0</v>
      </c>
    </row>
    <row r="21" customFormat="false" ht="12.75" hidden="false" customHeight="false" outlineLevel="0" collapsed="false">
      <c r="A21" s="509" t="s">
        <v>402</v>
      </c>
      <c r="B21" s="509" t="s">
        <v>403</v>
      </c>
      <c r="C21" s="509"/>
      <c r="D21" s="515"/>
      <c r="F21" s="516"/>
    </row>
    <row r="22" customFormat="false" ht="12.75" hidden="false" customHeight="false" outlineLevel="0" collapsed="false">
      <c r="A22" s="509" t="s">
        <v>404</v>
      </c>
      <c r="B22" s="509" t="s">
        <v>405</v>
      </c>
      <c r="C22" s="509"/>
      <c r="D22" s="515"/>
    </row>
    <row r="23" customFormat="false" ht="12.75" hidden="false" customHeight="false" outlineLevel="0" collapsed="false">
      <c r="A23" s="494" t="s">
        <v>406</v>
      </c>
      <c r="B23" s="494"/>
      <c r="C23" s="494"/>
      <c r="D23" s="517" t="n">
        <f aca="false">SUM(D12:D22)</f>
        <v>0</v>
      </c>
    </row>
    <row r="25" customFormat="false" ht="12.75" hidden="false" customHeight="false" outlineLevel="0" collapsed="false">
      <c r="A25" s="505" t="s">
        <v>407</v>
      </c>
      <c r="B25" s="505"/>
      <c r="C25" s="505"/>
      <c r="D25" s="505"/>
    </row>
    <row r="27" customFormat="false" ht="12.75" hidden="false" customHeight="false" outlineLevel="0" collapsed="false">
      <c r="A27" s="505" t="s">
        <v>408</v>
      </c>
      <c r="B27" s="505"/>
      <c r="C27" s="505"/>
      <c r="D27" s="505"/>
    </row>
    <row r="28" customFormat="false" ht="12.75" hidden="false" customHeight="false" outlineLevel="0" collapsed="false">
      <c r="A28" s="518" t="s">
        <v>409</v>
      </c>
      <c r="B28" s="519" t="s">
        <v>410</v>
      </c>
      <c r="C28" s="520" t="s">
        <v>386</v>
      </c>
      <c r="D28" s="521" t="s">
        <v>387</v>
      </c>
    </row>
    <row r="29" customFormat="false" ht="12.75" hidden="false" customHeight="false" outlineLevel="0" collapsed="false">
      <c r="A29" s="509" t="s">
        <v>15</v>
      </c>
      <c r="B29" s="522" t="s">
        <v>411</v>
      </c>
      <c r="C29" s="523" t="e">
        <f aca="false">ROUND(+D29/$D$23,4)</f>
        <v>#DIV/0!</v>
      </c>
      <c r="D29" s="515" t="n">
        <f aca="false">ROUND(+D23/12,2)</f>
        <v>0</v>
      </c>
    </row>
    <row r="30" customFormat="false" ht="12.75" hidden="false" customHeight="false" outlineLevel="0" collapsed="false">
      <c r="A30" s="524" t="s">
        <v>17</v>
      </c>
      <c r="B30" s="525" t="s">
        <v>412</v>
      </c>
      <c r="C30" s="526" t="e">
        <f aca="false">ROUND(+D30/$D$23,4)</f>
        <v>#DIV/0!</v>
      </c>
      <c r="D30" s="527" t="n">
        <f aca="false">+D31+D32</f>
        <v>0</v>
      </c>
    </row>
    <row r="31" customFormat="false" ht="12.75" hidden="false" customHeight="false" outlineLevel="0" collapsed="false">
      <c r="A31" s="509" t="s">
        <v>77</v>
      </c>
      <c r="B31" s="528" t="s">
        <v>413</v>
      </c>
      <c r="C31" s="529" t="e">
        <f aca="false">ROUND(+D31/$D$23,4)</f>
        <v>#DIV/0!</v>
      </c>
      <c r="D31" s="530" t="n">
        <f aca="false">ROUND(+D23/12,2)</f>
        <v>0</v>
      </c>
    </row>
    <row r="32" customFormat="false" ht="12.75" hidden="false" customHeight="false" outlineLevel="0" collapsed="false">
      <c r="A32" s="509" t="s">
        <v>91</v>
      </c>
      <c r="B32" s="528" t="s">
        <v>414</v>
      </c>
      <c r="C32" s="529" t="e">
        <f aca="false">ROUND(+D32/$D$23,4)</f>
        <v>#DIV/0!</v>
      </c>
      <c r="D32" s="530" t="n">
        <f aca="false">ROUND(+(D23*1/3)/12,2)</f>
        <v>0</v>
      </c>
    </row>
    <row r="33" customFormat="false" ht="12.75" hidden="false" customHeight="false" outlineLevel="0" collapsed="false">
      <c r="A33" s="494" t="s">
        <v>406</v>
      </c>
      <c r="B33" s="494"/>
      <c r="C33" s="494"/>
      <c r="D33" s="517" t="n">
        <f aca="false">+D30+D29</f>
        <v>0</v>
      </c>
    </row>
    <row r="35" customFormat="false" ht="12.75" hidden="false" customHeight="true" outlineLevel="0" collapsed="false">
      <c r="A35" s="531" t="s">
        <v>415</v>
      </c>
      <c r="B35" s="531"/>
      <c r="C35" s="531"/>
      <c r="D35" s="531"/>
    </row>
    <row r="36" customFormat="false" ht="12.75" hidden="false" customHeight="false" outlineLevel="0" collapsed="false">
      <c r="A36" s="518" t="s">
        <v>416</v>
      </c>
      <c r="B36" s="532" t="s">
        <v>417</v>
      </c>
      <c r="C36" s="520" t="s">
        <v>386</v>
      </c>
      <c r="D36" s="521" t="s">
        <v>387</v>
      </c>
    </row>
    <row r="37" customFormat="false" ht="12.75" hidden="false" customHeight="false" outlineLevel="0" collapsed="false">
      <c r="A37" s="509" t="s">
        <v>15</v>
      </c>
      <c r="B37" s="522" t="s">
        <v>418</v>
      </c>
      <c r="C37" s="533" t="n">
        <v>0.2</v>
      </c>
      <c r="D37" s="534" t="n">
        <f aca="false">ROUND(C37*($D$23+$D$33),2)</f>
        <v>0</v>
      </c>
    </row>
    <row r="38" customFormat="false" ht="12.75" hidden="false" customHeight="false" outlineLevel="0" collapsed="false">
      <c r="A38" s="509" t="s">
        <v>17</v>
      </c>
      <c r="B38" s="522" t="s">
        <v>419</v>
      </c>
      <c r="C38" s="533" t="n">
        <v>0.025</v>
      </c>
      <c r="D38" s="534" t="n">
        <f aca="false">ROUND(C38*($D$23+$D$33),2)</f>
        <v>0</v>
      </c>
    </row>
    <row r="39" customFormat="false" ht="12.75" hidden="false" customHeight="false" outlineLevel="0" collapsed="false">
      <c r="A39" s="509" t="s">
        <v>20</v>
      </c>
      <c r="B39" s="522" t="s">
        <v>420</v>
      </c>
      <c r="C39" s="533" t="n">
        <f aca="false">3%</f>
        <v>0.03</v>
      </c>
      <c r="D39" s="534" t="n">
        <f aca="false">ROUND(C39*($D$23+$D$33),2)</f>
        <v>0</v>
      </c>
    </row>
    <row r="40" customFormat="false" ht="12.75" hidden="false" customHeight="false" outlineLevel="0" collapsed="false">
      <c r="A40" s="509" t="s">
        <v>22</v>
      </c>
      <c r="B40" s="522" t="s">
        <v>421</v>
      </c>
      <c r="C40" s="533" t="n">
        <v>0.015</v>
      </c>
      <c r="D40" s="534" t="n">
        <f aca="false">ROUND(C40*($D$23+$D$33),2)</f>
        <v>0</v>
      </c>
    </row>
    <row r="41" customFormat="false" ht="12.75" hidden="false" customHeight="false" outlineLevel="0" collapsed="false">
      <c r="A41" s="509" t="s">
        <v>392</v>
      </c>
      <c r="B41" s="522" t="s">
        <v>422</v>
      </c>
      <c r="C41" s="533" t="n">
        <v>0.01</v>
      </c>
      <c r="D41" s="534" t="n">
        <f aca="false">ROUND(C41*($D$23+$D$33),2)</f>
        <v>0</v>
      </c>
    </row>
    <row r="42" customFormat="false" ht="12.75" hidden="false" customHeight="false" outlineLevel="0" collapsed="false">
      <c r="A42" s="509" t="s">
        <v>394</v>
      </c>
      <c r="B42" s="522" t="s">
        <v>423</v>
      </c>
      <c r="C42" s="533" t="n">
        <v>0.006</v>
      </c>
      <c r="D42" s="534" t="n">
        <f aca="false">ROUND(C42*($D$23+$D$33),2)</f>
        <v>0</v>
      </c>
    </row>
    <row r="43" customFormat="false" ht="12.75" hidden="false" customHeight="false" outlineLevel="0" collapsed="false">
      <c r="A43" s="509" t="s">
        <v>396</v>
      </c>
      <c r="B43" s="522" t="s">
        <v>424</v>
      </c>
      <c r="C43" s="533" t="n">
        <v>0.002</v>
      </c>
      <c r="D43" s="534" t="n">
        <f aca="false">ROUND(C43*($D$23+$D$33),2)</f>
        <v>0</v>
      </c>
    </row>
    <row r="44" customFormat="false" ht="12.75" hidden="false" customHeight="false" outlineLevel="0" collapsed="false">
      <c r="A44" s="509" t="s">
        <v>398</v>
      </c>
      <c r="B44" s="522" t="s">
        <v>425</v>
      </c>
      <c r="C44" s="533" t="n">
        <v>0.08</v>
      </c>
      <c r="D44" s="534" t="n">
        <f aca="false">ROUND(C44*($D$23+$D$33),2)</f>
        <v>0</v>
      </c>
    </row>
    <row r="45" customFormat="false" ht="12.75" hidden="false" customHeight="false" outlineLevel="0" collapsed="false">
      <c r="A45" s="535" t="s">
        <v>406</v>
      </c>
      <c r="B45" s="536"/>
      <c r="C45" s="537" t="n">
        <f aca="false">SUM(C37:C44)</f>
        <v>0.368</v>
      </c>
      <c r="D45" s="538" t="n">
        <f aca="false">SUM(D37:D44)</f>
        <v>0</v>
      </c>
    </row>
    <row r="46" customFormat="false" ht="12.75" hidden="false" customHeight="false" outlineLevel="0" collapsed="false">
      <c r="A46" s="539"/>
      <c r="B46" s="539"/>
      <c r="C46" s="539"/>
      <c r="D46" s="539"/>
    </row>
    <row r="47" customFormat="false" ht="12.75" hidden="false" customHeight="true" outlineLevel="0" collapsed="false">
      <c r="A47" s="531" t="s">
        <v>426</v>
      </c>
      <c r="B47" s="531"/>
      <c r="C47" s="531"/>
      <c r="D47" s="531"/>
    </row>
    <row r="48" customFormat="false" ht="12.75" hidden="false" customHeight="false" outlineLevel="0" collapsed="false">
      <c r="A48" s="518" t="s">
        <v>427</v>
      </c>
      <c r="B48" s="532" t="s">
        <v>428</v>
      </c>
      <c r="C48" s="520"/>
      <c r="D48" s="521" t="s">
        <v>387</v>
      </c>
    </row>
    <row r="49" customFormat="false" ht="12.75" hidden="false" customHeight="false" outlineLevel="0" collapsed="false">
      <c r="A49" s="540" t="s">
        <v>15</v>
      </c>
      <c r="B49" s="522" t="s">
        <v>429</v>
      </c>
      <c r="C49" s="541"/>
      <c r="D49" s="534" t="n">
        <f aca="false">+Men_Cal_Serv_Lider_44_seg_a_sex!C16</f>
        <v>0</v>
      </c>
    </row>
    <row r="50" s="46" customFormat="true" ht="12.75" hidden="false" customHeight="false" outlineLevel="0" collapsed="false">
      <c r="A50" s="542" t="s">
        <v>52</v>
      </c>
      <c r="B50" s="543" t="s">
        <v>336</v>
      </c>
      <c r="C50" s="523" t="n">
        <f aca="false">+$C$131+$C$132</f>
        <v>0.0925</v>
      </c>
      <c r="D50" s="544" t="n">
        <f aca="false">+(C50*D49)*-1</f>
        <v>0</v>
      </c>
    </row>
    <row r="51" customFormat="false" ht="12.75" hidden="false" customHeight="false" outlineLevel="0" collapsed="false">
      <c r="A51" s="540" t="s">
        <v>17</v>
      </c>
      <c r="B51" s="522" t="s">
        <v>430</v>
      </c>
      <c r="C51" s="541"/>
      <c r="D51" s="534" t="n">
        <f aca="false">+Men_Cal_Serv_Lider_44_seg_a_sex!C25</f>
        <v>0</v>
      </c>
    </row>
    <row r="52" s="46" customFormat="true" ht="12.75" hidden="false" customHeight="false" outlineLevel="0" collapsed="false">
      <c r="A52" s="542" t="s">
        <v>77</v>
      </c>
      <c r="B52" s="543" t="s">
        <v>336</v>
      </c>
      <c r="C52" s="523" t="n">
        <f aca="false">+$C$131+$C$132</f>
        <v>0.0925</v>
      </c>
      <c r="D52" s="544" t="n">
        <f aca="false">+(C52*D51)*-1</f>
        <v>0</v>
      </c>
      <c r="F52" s="545"/>
    </row>
    <row r="53" customFormat="false" ht="12.75" hidden="false" customHeight="false" outlineLevel="0" collapsed="false">
      <c r="A53" s="546" t="s">
        <v>20</v>
      </c>
      <c r="B53" s="546" t="s">
        <v>431</v>
      </c>
      <c r="C53" s="541"/>
      <c r="D53" s="547"/>
    </row>
    <row r="54" customFormat="false" ht="12.75" hidden="false" customHeight="false" outlineLevel="0" collapsed="false">
      <c r="A54" s="546" t="s">
        <v>22</v>
      </c>
      <c r="B54" s="548" t="s">
        <v>432</v>
      </c>
      <c r="C54" s="541"/>
      <c r="D54" s="547"/>
    </row>
    <row r="55" customFormat="false" ht="25.5" hidden="false" customHeight="false" outlineLevel="0" collapsed="false">
      <c r="A55" s="546" t="s">
        <v>392</v>
      </c>
      <c r="B55" s="549" t="s">
        <v>433</v>
      </c>
      <c r="C55" s="541"/>
      <c r="D55" s="550"/>
      <c r="F55" s="551"/>
    </row>
    <row r="56" customFormat="false" ht="12.75" hidden="false" customHeight="false" outlineLevel="0" collapsed="false">
      <c r="A56" s="546" t="s">
        <v>394</v>
      </c>
      <c r="B56" s="552" t="s">
        <v>434</v>
      </c>
      <c r="C56" s="541"/>
      <c r="D56" s="553"/>
    </row>
    <row r="57" customFormat="false" ht="12.75" hidden="false" customHeight="false" outlineLevel="0" collapsed="false">
      <c r="A57" s="494" t="s">
        <v>406</v>
      </c>
      <c r="B57" s="494"/>
      <c r="C57" s="554"/>
      <c r="D57" s="555" t="n">
        <f aca="false">SUM(D49:D56)</f>
        <v>0</v>
      </c>
    </row>
    <row r="59" customFormat="false" ht="12.75" hidden="false" customHeight="false" outlineLevel="0" collapsed="false">
      <c r="A59" s="505" t="s">
        <v>435</v>
      </c>
      <c r="B59" s="505"/>
      <c r="C59" s="505"/>
      <c r="D59" s="505"/>
    </row>
    <row r="60" customFormat="false" ht="12.75" hidden="false" customHeight="false" outlineLevel="0" collapsed="false">
      <c r="A60" s="556" t="n">
        <v>2</v>
      </c>
      <c r="B60" s="557" t="s">
        <v>436</v>
      </c>
      <c r="C60" s="557"/>
      <c r="D60" s="558" t="s">
        <v>387</v>
      </c>
    </row>
    <row r="61" customFormat="false" ht="12.75" hidden="false" customHeight="false" outlineLevel="0" collapsed="false">
      <c r="A61" s="543" t="s">
        <v>409</v>
      </c>
      <c r="B61" s="559" t="s">
        <v>410</v>
      </c>
      <c r="C61" s="559"/>
      <c r="D61" s="534" t="n">
        <f aca="false">+D33</f>
        <v>0</v>
      </c>
    </row>
    <row r="62" customFormat="false" ht="12.75" hidden="false" customHeight="false" outlineLevel="0" collapsed="false">
      <c r="A62" s="543" t="s">
        <v>416</v>
      </c>
      <c r="B62" s="559" t="s">
        <v>417</v>
      </c>
      <c r="C62" s="559"/>
      <c r="D62" s="534" t="n">
        <f aca="false">+D45</f>
        <v>0</v>
      </c>
    </row>
    <row r="63" customFormat="false" ht="12.75" hidden="false" customHeight="false" outlineLevel="0" collapsed="false">
      <c r="A63" s="543" t="s">
        <v>427</v>
      </c>
      <c r="B63" s="559" t="s">
        <v>428</v>
      </c>
      <c r="C63" s="559"/>
      <c r="D63" s="560" t="n">
        <f aca="false">+D57</f>
        <v>0</v>
      </c>
    </row>
    <row r="64" customFormat="false" ht="12.75" hidden="false" customHeight="false" outlineLevel="0" collapsed="false">
      <c r="A64" s="557" t="s">
        <v>406</v>
      </c>
      <c r="B64" s="557"/>
      <c r="C64" s="557"/>
      <c r="D64" s="561" t="n">
        <f aca="false">SUM(D61:D63)</f>
        <v>0</v>
      </c>
    </row>
    <row r="66" customFormat="false" ht="12.75" hidden="false" customHeight="false" outlineLevel="0" collapsed="false">
      <c r="A66" s="505" t="s">
        <v>437</v>
      </c>
      <c r="B66" s="505"/>
      <c r="C66" s="505"/>
      <c r="D66" s="505"/>
    </row>
    <row r="68" customFormat="false" ht="12.75" hidden="false" customHeight="false" outlineLevel="0" collapsed="false">
      <c r="A68" s="562" t="n">
        <v>3</v>
      </c>
      <c r="B68" s="519" t="s">
        <v>438</v>
      </c>
      <c r="C68" s="492" t="s">
        <v>386</v>
      </c>
      <c r="D68" s="492" t="s">
        <v>387</v>
      </c>
    </row>
    <row r="69" customFormat="false" ht="12.75" hidden="false" customHeight="false" outlineLevel="0" collapsed="false">
      <c r="A69" s="509" t="s">
        <v>15</v>
      </c>
      <c r="B69" s="543" t="s">
        <v>439</v>
      </c>
      <c r="C69" s="523" t="e">
        <f aca="false">+D69/$D$23</f>
        <v>#DIV/0!</v>
      </c>
      <c r="D69" s="563" t="n">
        <f aca="false">+Men_Cal_Serv_Lider_44_seg_a_sex!C31</f>
        <v>0</v>
      </c>
    </row>
    <row r="70" customFormat="false" ht="12.75" hidden="false" customHeight="false" outlineLevel="0" collapsed="false">
      <c r="A70" s="509" t="s">
        <v>17</v>
      </c>
      <c r="B70" s="522" t="s">
        <v>440</v>
      </c>
      <c r="C70" s="564"/>
      <c r="D70" s="515" t="n">
        <f aca="false">ROUND(+D69*$C$44,2)</f>
        <v>0</v>
      </c>
    </row>
    <row r="71" customFormat="false" ht="25.5" hidden="false" customHeight="false" outlineLevel="0" collapsed="false">
      <c r="A71" s="509" t="s">
        <v>20</v>
      </c>
      <c r="B71" s="565" t="s">
        <v>441</v>
      </c>
      <c r="C71" s="533" t="e">
        <f aca="false">+D71/$D$23</f>
        <v>#DIV/0!</v>
      </c>
      <c r="D71" s="515" t="n">
        <f aca="false">+Men_Cal_Serv_Lider_44_seg_a_sex!C43</f>
        <v>0</v>
      </c>
    </row>
    <row r="72" customFormat="false" ht="12.75" hidden="false" customHeight="false" outlineLevel="0" collapsed="false">
      <c r="A72" s="559" t="s">
        <v>22</v>
      </c>
      <c r="B72" s="522" t="s">
        <v>442</v>
      </c>
      <c r="C72" s="533" t="e">
        <f aca="false">+D72/$D$23</f>
        <v>#DIV/0!</v>
      </c>
      <c r="D72" s="515" t="n">
        <f aca="false">+Men_Cal_Serv_Lider_44_seg_a_sex!C51</f>
        <v>0</v>
      </c>
    </row>
    <row r="73" customFormat="false" ht="25.5" hidden="false" customHeight="false" outlineLevel="0" collapsed="false">
      <c r="A73" s="559" t="s">
        <v>392</v>
      </c>
      <c r="B73" s="565" t="s">
        <v>443</v>
      </c>
      <c r="C73" s="564"/>
      <c r="D73" s="566"/>
    </row>
    <row r="74" customFormat="false" ht="25.5" hidden="false" customHeight="false" outlineLevel="0" collapsed="false">
      <c r="A74" s="559" t="s">
        <v>394</v>
      </c>
      <c r="B74" s="565" t="s">
        <v>444</v>
      </c>
      <c r="C74" s="533" t="e">
        <f aca="false">+D74/$D$23</f>
        <v>#DIV/0!</v>
      </c>
      <c r="D74" s="534" t="n">
        <f aca="false">+Men_Cal_Serv_Lider_44_seg_a_sex!C63</f>
        <v>0</v>
      </c>
    </row>
    <row r="75" customFormat="false" ht="12.75" hidden="false" customHeight="false" outlineLevel="0" collapsed="false">
      <c r="A75" s="494" t="s">
        <v>406</v>
      </c>
      <c r="B75" s="494"/>
      <c r="C75" s="494"/>
      <c r="D75" s="567" t="n">
        <f aca="false">SUM(D69:D74)</f>
        <v>0</v>
      </c>
    </row>
    <row r="77" customFormat="false" ht="12.75" hidden="false" customHeight="false" outlineLevel="0" collapsed="false">
      <c r="A77" s="505" t="s">
        <v>445</v>
      </c>
      <c r="B77" s="505"/>
      <c r="C77" s="505"/>
      <c r="D77" s="505"/>
    </row>
    <row r="79" customFormat="false" ht="12.75" hidden="false" customHeight="true" outlineLevel="0" collapsed="false">
      <c r="A79" s="568" t="s">
        <v>446</v>
      </c>
      <c r="B79" s="568"/>
      <c r="C79" s="568"/>
      <c r="D79" s="568"/>
    </row>
    <row r="80" customFormat="false" ht="12.75" hidden="false" customHeight="false" outlineLevel="0" collapsed="false">
      <c r="A80" s="562" t="s">
        <v>447</v>
      </c>
      <c r="B80" s="494" t="s">
        <v>448</v>
      </c>
      <c r="C80" s="494"/>
      <c r="D80" s="492" t="s">
        <v>387</v>
      </c>
    </row>
    <row r="81" customFormat="false" ht="12.75" hidden="false" customHeight="false" outlineLevel="0" collapsed="false">
      <c r="A81" s="522" t="s">
        <v>15</v>
      </c>
      <c r="B81" s="305" t="s">
        <v>449</v>
      </c>
      <c r="C81" s="305"/>
      <c r="D81" s="515"/>
    </row>
    <row r="82" customFormat="false" ht="12.75" hidden="false" customHeight="false" outlineLevel="0" collapsed="false">
      <c r="A82" s="543" t="s">
        <v>17</v>
      </c>
      <c r="B82" s="569" t="s">
        <v>448</v>
      </c>
      <c r="C82" s="569"/>
      <c r="D82" s="570" t="n">
        <f aca="false">+Men_Cal_Serv_Lider_44_seg_a_sex!C76</f>
        <v>0</v>
      </c>
    </row>
    <row r="83" s="46" customFormat="true" ht="12.75" hidden="false" customHeight="false" outlineLevel="0" collapsed="false">
      <c r="A83" s="543" t="s">
        <v>20</v>
      </c>
      <c r="B83" s="569" t="s">
        <v>450</v>
      </c>
      <c r="C83" s="569"/>
      <c r="D83" s="570" t="n">
        <f aca="false">+Men_Cal_Serv_Lider_44_seg_a_sex!C85</f>
        <v>0</v>
      </c>
    </row>
    <row r="84" s="46" customFormat="true" ht="12.75" hidden="false" customHeight="false" outlineLevel="0" collapsed="false">
      <c r="A84" s="543" t="s">
        <v>22</v>
      </c>
      <c r="B84" s="569" t="s">
        <v>451</v>
      </c>
      <c r="C84" s="569"/>
      <c r="D84" s="570" t="n">
        <f aca="false">+Men_Cal_Serv_Lider_44_seg_a_sex!C93</f>
        <v>0</v>
      </c>
    </row>
    <row r="85" s="46" customFormat="true" ht="14.25" hidden="false" customHeight="false" outlineLevel="0" collapsed="false">
      <c r="A85" s="543" t="s">
        <v>392</v>
      </c>
      <c r="B85" s="569" t="s">
        <v>452</v>
      </c>
      <c r="C85" s="569"/>
      <c r="D85" s="570"/>
    </row>
    <row r="86" s="46" customFormat="true" ht="12.75" hidden="false" customHeight="false" outlineLevel="0" collapsed="false">
      <c r="A86" s="543" t="s">
        <v>394</v>
      </c>
      <c r="B86" s="569" t="s">
        <v>453</v>
      </c>
      <c r="C86" s="569"/>
      <c r="D86" s="570" t="n">
        <f aca="false">+Men_Cal_Serv_Lider_44_seg_a_sex!C101</f>
        <v>0</v>
      </c>
    </row>
    <row r="87" customFormat="false" ht="12.75" hidden="false" customHeight="false" outlineLevel="0" collapsed="false">
      <c r="A87" s="522" t="s">
        <v>396</v>
      </c>
      <c r="B87" s="305" t="s">
        <v>405</v>
      </c>
      <c r="C87" s="305"/>
      <c r="D87" s="515"/>
    </row>
    <row r="88" customFormat="false" ht="12.75" hidden="false" customHeight="false" outlineLevel="0" collapsed="false">
      <c r="A88" s="522" t="s">
        <v>398</v>
      </c>
      <c r="B88" s="305" t="s">
        <v>454</v>
      </c>
      <c r="C88" s="305"/>
      <c r="D88" s="566"/>
    </row>
    <row r="89" customFormat="false" ht="12.75" hidden="false" customHeight="false" outlineLevel="0" collapsed="false">
      <c r="A89" s="494" t="s">
        <v>406</v>
      </c>
      <c r="B89" s="494"/>
      <c r="C89" s="494"/>
      <c r="D89" s="517" t="n">
        <f aca="false">SUM(D81:D88)</f>
        <v>0</v>
      </c>
    </row>
    <row r="90" customFormat="false" ht="12.75" hidden="false" customHeight="false" outlineLevel="0" collapsed="false">
      <c r="D90" s="571"/>
    </row>
    <row r="91" customFormat="false" ht="12.75" hidden="false" customHeight="false" outlineLevel="0" collapsed="false">
      <c r="A91" s="562" t="s">
        <v>455</v>
      </c>
      <c r="B91" s="494" t="s">
        <v>456</v>
      </c>
      <c r="C91" s="494"/>
      <c r="D91" s="492" t="s">
        <v>387</v>
      </c>
    </row>
    <row r="92" s="46" customFormat="true" ht="12.75" hidden="false" customHeight="false" outlineLevel="0" collapsed="false">
      <c r="A92" s="543" t="s">
        <v>15</v>
      </c>
      <c r="B92" s="559" t="s">
        <v>457</v>
      </c>
      <c r="C92" s="559"/>
      <c r="D92" s="570" t="n">
        <f aca="false">+Men_Cal_Serv_Lider_44_seg_a_sex!C112</f>
        <v>0</v>
      </c>
    </row>
    <row r="93" s="46" customFormat="true" ht="29.25" hidden="false" customHeight="true" outlineLevel="0" collapsed="false">
      <c r="A93" s="543" t="s">
        <v>17</v>
      </c>
      <c r="B93" s="572" t="s">
        <v>458</v>
      </c>
      <c r="C93" s="572"/>
      <c r="D93" s="566"/>
    </row>
    <row r="94" s="46" customFormat="true" ht="31.5" hidden="false" customHeight="true" outlineLevel="0" collapsed="false">
      <c r="A94" s="543" t="s">
        <v>20</v>
      </c>
      <c r="B94" s="572" t="s">
        <v>459</v>
      </c>
      <c r="C94" s="572"/>
      <c r="D94" s="566"/>
    </row>
    <row r="95" customFormat="false" ht="12.75" hidden="false" customHeight="false" outlineLevel="0" collapsed="false">
      <c r="A95" s="522" t="s">
        <v>22</v>
      </c>
      <c r="B95" s="305" t="s">
        <v>405</v>
      </c>
      <c r="C95" s="305"/>
      <c r="D95" s="515"/>
    </row>
    <row r="96" customFormat="false" ht="12.75" hidden="false" customHeight="false" outlineLevel="0" collapsed="false">
      <c r="A96" s="494" t="s">
        <v>406</v>
      </c>
      <c r="B96" s="494"/>
      <c r="C96" s="494"/>
      <c r="D96" s="517" t="n">
        <f aca="false">SUM(D92:D95)</f>
        <v>0</v>
      </c>
    </row>
    <row r="97" customFormat="false" ht="12.75" hidden="false" customHeight="false" outlineLevel="0" collapsed="false">
      <c r="D97" s="571"/>
    </row>
    <row r="98" customFormat="false" ht="12.75" hidden="false" customHeight="false" outlineLevel="0" collapsed="false">
      <c r="A98" s="562" t="s">
        <v>460</v>
      </c>
      <c r="B98" s="494" t="s">
        <v>461</v>
      </c>
      <c r="C98" s="494"/>
      <c r="D98" s="492" t="s">
        <v>387</v>
      </c>
    </row>
    <row r="99" s="574" customFormat="true" ht="41.25" hidden="false" customHeight="true" outlineLevel="0" collapsed="false">
      <c r="A99" s="559" t="s">
        <v>15</v>
      </c>
      <c r="B99" s="572" t="s">
        <v>462</v>
      </c>
      <c r="C99" s="572"/>
      <c r="D99" s="573"/>
    </row>
    <row r="100" customFormat="false" ht="12.75" hidden="false" customHeight="false" outlineLevel="0" collapsed="false">
      <c r="A100" s="494" t="s">
        <v>406</v>
      </c>
      <c r="B100" s="494"/>
      <c r="C100" s="494"/>
      <c r="D100" s="517" t="n">
        <f aca="false">SUM(D99:D99)</f>
        <v>0</v>
      </c>
    </row>
    <row r="102" customFormat="false" ht="12.75" hidden="false" customHeight="false" outlineLevel="0" collapsed="false">
      <c r="A102" s="575" t="s">
        <v>463</v>
      </c>
      <c r="B102" s="575"/>
      <c r="C102" s="575"/>
      <c r="D102" s="575"/>
    </row>
    <row r="103" customFormat="false" ht="12.75" hidden="false" customHeight="false" outlineLevel="0" collapsed="false">
      <c r="A103" s="522" t="s">
        <v>447</v>
      </c>
      <c r="B103" s="305" t="s">
        <v>448</v>
      </c>
      <c r="C103" s="305"/>
      <c r="D103" s="534" t="n">
        <f aca="false">+D89</f>
        <v>0</v>
      </c>
    </row>
    <row r="104" customFormat="false" ht="12.75" hidden="false" customHeight="false" outlineLevel="0" collapsed="false">
      <c r="A104" s="522" t="s">
        <v>455</v>
      </c>
      <c r="B104" s="305" t="s">
        <v>456</v>
      </c>
      <c r="C104" s="305"/>
      <c r="D104" s="534" t="n">
        <f aca="false">+D96</f>
        <v>0</v>
      </c>
    </row>
    <row r="105" customFormat="false" ht="12.75" hidden="false" customHeight="false" outlineLevel="0" collapsed="false">
      <c r="A105" s="576"/>
      <c r="B105" s="577" t="s">
        <v>464</v>
      </c>
      <c r="C105" s="577"/>
      <c r="D105" s="578" t="n">
        <f aca="false">+D104+D103</f>
        <v>0</v>
      </c>
    </row>
    <row r="106" customFormat="false" ht="12.75" hidden="false" customHeight="false" outlineLevel="0" collapsed="false">
      <c r="A106" s="522" t="s">
        <v>460</v>
      </c>
      <c r="B106" s="305" t="s">
        <v>461</v>
      </c>
      <c r="C106" s="305"/>
      <c r="D106" s="534"/>
    </row>
    <row r="107" customFormat="false" ht="12.75" hidden="false" customHeight="false" outlineLevel="0" collapsed="false">
      <c r="A107" s="575" t="s">
        <v>406</v>
      </c>
      <c r="B107" s="575"/>
      <c r="C107" s="575"/>
      <c r="D107" s="579" t="n">
        <f aca="false">+D106+D105</f>
        <v>0</v>
      </c>
    </row>
    <row r="109" customFormat="false" ht="12.75" hidden="false" customHeight="false" outlineLevel="0" collapsed="false">
      <c r="A109" s="505" t="s">
        <v>465</v>
      </c>
      <c r="B109" s="505"/>
      <c r="C109" s="505"/>
      <c r="D109" s="505"/>
    </row>
    <row r="111" customFormat="false" ht="12.75" hidden="false" customHeight="false" outlineLevel="0" collapsed="false">
      <c r="A111" s="562" t="n">
        <v>5</v>
      </c>
      <c r="B111" s="494" t="s">
        <v>466</v>
      </c>
      <c r="C111" s="494"/>
      <c r="D111" s="492" t="s">
        <v>387</v>
      </c>
    </row>
    <row r="112" customFormat="false" ht="12.75" hidden="false" customHeight="false" outlineLevel="0" collapsed="false">
      <c r="A112" s="522" t="s">
        <v>15</v>
      </c>
      <c r="B112" s="509" t="s">
        <v>467</v>
      </c>
      <c r="C112" s="509"/>
      <c r="D112" s="515" t="n">
        <f aca="false">+Uniformes!F8</f>
        <v>0</v>
      </c>
    </row>
    <row r="113" customFormat="false" ht="12.75" hidden="false" customHeight="false" outlineLevel="0" collapsed="false">
      <c r="A113" s="522" t="s">
        <v>52</v>
      </c>
      <c r="B113" s="543" t="s">
        <v>336</v>
      </c>
      <c r="C113" s="523" t="n">
        <f aca="false">+$C$131+$C$132</f>
        <v>0.0925</v>
      </c>
      <c r="D113" s="544" t="n">
        <f aca="false">+(C113*D112)*-1</f>
        <v>0</v>
      </c>
    </row>
    <row r="114" customFormat="false" ht="12.75" hidden="false" customHeight="false" outlineLevel="0" collapsed="false">
      <c r="A114" s="522" t="s">
        <v>17</v>
      </c>
      <c r="B114" s="509" t="s">
        <v>468</v>
      </c>
      <c r="C114" s="509"/>
      <c r="D114" s="515"/>
    </row>
    <row r="115" customFormat="false" ht="12.75" hidden="false" customHeight="false" outlineLevel="0" collapsed="false">
      <c r="A115" s="522" t="s">
        <v>77</v>
      </c>
      <c r="B115" s="543" t="s">
        <v>336</v>
      </c>
      <c r="C115" s="523" t="n">
        <f aca="false">+$C$131+$C$132</f>
        <v>0.0925</v>
      </c>
      <c r="D115" s="544" t="n">
        <f aca="false">+(C115*D114)*-1</f>
        <v>0</v>
      </c>
    </row>
    <row r="116" customFormat="false" ht="12.75" hidden="false" customHeight="false" outlineLevel="0" collapsed="false">
      <c r="A116" s="522" t="s">
        <v>20</v>
      </c>
      <c r="B116" s="509" t="s">
        <v>469</v>
      </c>
      <c r="C116" s="509"/>
      <c r="D116" s="515"/>
    </row>
    <row r="117" customFormat="false" ht="12.75" hidden="false" customHeight="false" outlineLevel="0" collapsed="false">
      <c r="A117" s="522" t="s">
        <v>96</v>
      </c>
      <c r="B117" s="543" t="s">
        <v>336</v>
      </c>
      <c r="C117" s="523" t="n">
        <f aca="false">+$C$131+$C$132</f>
        <v>0.0925</v>
      </c>
      <c r="D117" s="544" t="n">
        <f aca="false">+(C117*D116)*-1</f>
        <v>0</v>
      </c>
    </row>
    <row r="118" customFormat="false" ht="12.75" hidden="false" customHeight="false" outlineLevel="0" collapsed="false">
      <c r="A118" s="522" t="s">
        <v>22</v>
      </c>
      <c r="B118" s="509" t="s">
        <v>405</v>
      </c>
      <c r="C118" s="509"/>
      <c r="D118" s="515"/>
    </row>
    <row r="119" customFormat="false" ht="12.75" hidden="false" customHeight="false" outlineLevel="0" collapsed="false">
      <c r="A119" s="522" t="s">
        <v>470</v>
      </c>
      <c r="B119" s="543" t="s">
        <v>336</v>
      </c>
      <c r="C119" s="523" t="n">
        <f aca="false">+$C$131+$C$132</f>
        <v>0.0925</v>
      </c>
      <c r="D119" s="544" t="n">
        <f aca="false">+(C119*D118)*-1</f>
        <v>0</v>
      </c>
    </row>
    <row r="120" customFormat="false" ht="12.75" hidden="false" customHeight="false" outlineLevel="0" collapsed="false">
      <c r="A120" s="494" t="s">
        <v>406</v>
      </c>
      <c r="B120" s="494"/>
      <c r="C120" s="494"/>
      <c r="D120" s="517" t="n">
        <f aca="false">SUM(D112:D118)</f>
        <v>0</v>
      </c>
    </row>
    <row r="122" customFormat="false" ht="12.75" hidden="false" customHeight="false" outlineLevel="0" collapsed="false">
      <c r="A122" s="505" t="s">
        <v>471</v>
      </c>
      <c r="B122" s="505"/>
      <c r="C122" s="505"/>
      <c r="D122" s="505"/>
    </row>
    <row r="124" customFormat="false" ht="12.75" hidden="false" customHeight="false" outlineLevel="0" collapsed="false">
      <c r="A124" s="562" t="n">
        <v>6</v>
      </c>
      <c r="B124" s="519" t="s">
        <v>472</v>
      </c>
      <c r="C124" s="580" t="s">
        <v>386</v>
      </c>
      <c r="D124" s="492" t="s">
        <v>387</v>
      </c>
    </row>
    <row r="125" customFormat="false" ht="12.75" hidden="false" customHeight="false" outlineLevel="0" collapsed="false">
      <c r="A125" s="522" t="s">
        <v>15</v>
      </c>
      <c r="B125" s="522" t="s">
        <v>328</v>
      </c>
      <c r="C125" s="533" t="n">
        <v>0.03</v>
      </c>
      <c r="D125" s="624" t="n">
        <f aca="false">($D$120+$D$107+$D$75+$D$64+$D$23)*C125</f>
        <v>0</v>
      </c>
    </row>
    <row r="126" customFormat="false" ht="12.75" hidden="false" customHeight="false" outlineLevel="0" collapsed="false">
      <c r="A126" s="522" t="s">
        <v>17</v>
      </c>
      <c r="B126" s="522" t="s">
        <v>329</v>
      </c>
      <c r="C126" s="533" t="n">
        <v>0.03</v>
      </c>
      <c r="D126" s="624" t="n">
        <f aca="false">($D$120+$D$107+$D$75+$D$64+$D$23+D125)*C126</f>
        <v>0</v>
      </c>
    </row>
    <row r="127" s="584" customFormat="true" ht="12.75" hidden="false" customHeight="false" outlineLevel="0" collapsed="false">
      <c r="A127" s="582" t="s">
        <v>473</v>
      </c>
      <c r="B127" s="582"/>
      <c r="C127" s="582"/>
      <c r="D127" s="583" t="n">
        <f aca="false">++D126+D125+D120+D107+D75+D64+D23</f>
        <v>0</v>
      </c>
    </row>
    <row r="128" s="584" customFormat="true" ht="12.75" hidden="false" customHeight="true" outlineLevel="0" collapsed="false">
      <c r="A128" s="585" t="s">
        <v>474</v>
      </c>
      <c r="B128" s="585"/>
      <c r="C128" s="585"/>
      <c r="D128" s="583" t="n">
        <f aca="false">ROUND(D127/(1-(C131+C132+C134+C136+C137)),2)</f>
        <v>0</v>
      </c>
    </row>
    <row r="129" customFormat="false" ht="12.75" hidden="false" customHeight="false" outlineLevel="0" collapsed="false">
      <c r="A129" s="522" t="s">
        <v>20</v>
      </c>
      <c r="B129" s="522" t="s">
        <v>475</v>
      </c>
      <c r="C129" s="533"/>
      <c r="D129" s="624"/>
    </row>
    <row r="130" customFormat="false" ht="12.75" hidden="false" customHeight="false" outlineLevel="0" collapsed="false">
      <c r="A130" s="522" t="s">
        <v>96</v>
      </c>
      <c r="B130" s="522" t="s">
        <v>476</v>
      </c>
      <c r="C130" s="533"/>
      <c r="D130" s="624"/>
    </row>
    <row r="131" customFormat="false" ht="12.75" hidden="false" customHeight="false" outlineLevel="0" collapsed="false">
      <c r="A131" s="522" t="s">
        <v>477</v>
      </c>
      <c r="B131" s="522" t="s">
        <v>330</v>
      </c>
      <c r="C131" s="533" t="n">
        <v>0.0165</v>
      </c>
      <c r="D131" s="624" t="n">
        <f aca="false">ROUND(C131*$D$128,2)</f>
        <v>0</v>
      </c>
      <c r="G131" s="586"/>
    </row>
    <row r="132" customFormat="false" ht="12.75" hidden="false" customHeight="false" outlineLevel="0" collapsed="false">
      <c r="A132" s="522" t="s">
        <v>478</v>
      </c>
      <c r="B132" s="522" t="s">
        <v>331</v>
      </c>
      <c r="C132" s="533" t="n">
        <v>0.076</v>
      </c>
      <c r="D132" s="624" t="n">
        <f aca="false">ROUND(C132*$D$128,2)</f>
        <v>0</v>
      </c>
      <c r="G132" s="586"/>
    </row>
    <row r="133" customFormat="false" ht="12.75" hidden="false" customHeight="false" outlineLevel="0" collapsed="false">
      <c r="A133" s="522" t="s">
        <v>479</v>
      </c>
      <c r="B133" s="522" t="s">
        <v>480</v>
      </c>
      <c r="C133" s="533"/>
      <c r="D133" s="624"/>
      <c r="G133" s="586"/>
    </row>
    <row r="134" customFormat="false" ht="12.75" hidden="false" customHeight="false" outlineLevel="0" collapsed="false">
      <c r="A134" s="522" t="s">
        <v>481</v>
      </c>
      <c r="B134" s="522" t="s">
        <v>482</v>
      </c>
      <c r="C134" s="533"/>
      <c r="D134" s="624"/>
      <c r="G134" s="586"/>
    </row>
    <row r="135" customFormat="false" ht="12.75" hidden="false" customHeight="false" outlineLevel="0" collapsed="false">
      <c r="A135" s="522" t="s">
        <v>483</v>
      </c>
      <c r="B135" s="522" t="s">
        <v>484</v>
      </c>
      <c r="C135" s="533"/>
      <c r="D135" s="624"/>
    </row>
    <row r="136" customFormat="false" ht="12.75" hidden="false" customHeight="false" outlineLevel="0" collapsed="false">
      <c r="A136" s="522" t="s">
        <v>485</v>
      </c>
      <c r="B136" s="522" t="s">
        <v>332</v>
      </c>
      <c r="C136" s="533" t="n">
        <v>0.05</v>
      </c>
      <c r="D136" s="624" t="n">
        <f aca="false">ROUND(C136*$D$128,2)</f>
        <v>0</v>
      </c>
    </row>
    <row r="137" customFormat="false" ht="12.75" hidden="false" customHeight="false" outlineLevel="0" collapsed="false">
      <c r="A137" s="522" t="s">
        <v>486</v>
      </c>
      <c r="B137" s="522" t="s">
        <v>487</v>
      </c>
      <c r="C137" s="533"/>
      <c r="D137" s="624"/>
    </row>
    <row r="138" customFormat="false" ht="12.75" hidden="false" customHeight="false" outlineLevel="0" collapsed="false">
      <c r="A138" s="522" t="s">
        <v>22</v>
      </c>
      <c r="B138" s="522" t="s">
        <v>488</v>
      </c>
      <c r="C138" s="533"/>
      <c r="D138" s="624"/>
    </row>
    <row r="139" customFormat="false" ht="14.25" hidden="false" customHeight="false" outlineLevel="0" collapsed="false">
      <c r="A139" s="522" t="s">
        <v>489</v>
      </c>
      <c r="B139" s="522" t="s">
        <v>490</v>
      </c>
      <c r="C139" s="533"/>
      <c r="D139" s="624" t="n">
        <f aca="false">+'LOTE_I_-_Custo_M2'!$T$192</f>
        <v>0.33</v>
      </c>
    </row>
    <row r="140" customFormat="false" ht="12.75" hidden="false" customHeight="false" outlineLevel="0" collapsed="false">
      <c r="A140" s="522" t="s">
        <v>491</v>
      </c>
      <c r="B140" s="522" t="s">
        <v>492</v>
      </c>
      <c r="C140" s="533"/>
      <c r="D140" s="624" t="n">
        <f aca="false">+'LOTE_I_-_Custo_M2'!$T$193</f>
        <v>0.88</v>
      </c>
    </row>
    <row r="141" customFormat="false" ht="12.75" hidden="false" customHeight="false" outlineLevel="0" collapsed="false">
      <c r="A141" s="535" t="s">
        <v>406</v>
      </c>
      <c r="B141" s="535"/>
      <c r="C141" s="587" t="n">
        <f aca="false">+C137+C136+C134+C132+C131+C126+C125</f>
        <v>0.2025</v>
      </c>
      <c r="D141" s="625" t="n">
        <f aca="false">+D136+D134+D132+D131+D126+D125+D140+D139</f>
        <v>1.21</v>
      </c>
    </row>
    <row r="143" customFormat="false" ht="12.75" hidden="false" customHeight="false" outlineLevel="0" collapsed="false">
      <c r="A143" s="589" t="s">
        <v>493</v>
      </c>
      <c r="B143" s="589"/>
      <c r="C143" s="589"/>
      <c r="D143" s="589"/>
    </row>
    <row r="144" customFormat="false" ht="12.75" hidden="false" customHeight="false" outlineLevel="0" collapsed="false">
      <c r="A144" s="522" t="s">
        <v>15</v>
      </c>
      <c r="B144" s="305" t="s">
        <v>494</v>
      </c>
      <c r="C144" s="305"/>
      <c r="D144" s="590" t="n">
        <f aca="false">+D23</f>
        <v>0</v>
      </c>
    </row>
    <row r="145" customFormat="false" ht="12.75" hidden="false" customHeight="false" outlineLevel="0" collapsed="false">
      <c r="A145" s="522" t="s">
        <v>495</v>
      </c>
      <c r="B145" s="305" t="s">
        <v>496</v>
      </c>
      <c r="C145" s="305"/>
      <c r="D145" s="590" t="n">
        <f aca="false">+D64</f>
        <v>0</v>
      </c>
    </row>
    <row r="146" customFormat="false" ht="12.75" hidden="false" customHeight="false" outlineLevel="0" collapsed="false">
      <c r="A146" s="522" t="s">
        <v>20</v>
      </c>
      <c r="B146" s="305" t="s">
        <v>497</v>
      </c>
      <c r="C146" s="305"/>
      <c r="D146" s="590" t="n">
        <f aca="false">+D75</f>
        <v>0</v>
      </c>
    </row>
    <row r="147" customFormat="false" ht="12.75" hidden="false" customHeight="false" outlineLevel="0" collapsed="false">
      <c r="A147" s="522" t="s">
        <v>22</v>
      </c>
      <c r="B147" s="305" t="s">
        <v>498</v>
      </c>
      <c r="C147" s="305"/>
      <c r="D147" s="590" t="n">
        <f aca="false">+D107</f>
        <v>0</v>
      </c>
    </row>
    <row r="148" customFormat="false" ht="12.75" hidden="false" customHeight="false" outlineLevel="0" collapsed="false">
      <c r="A148" s="522" t="s">
        <v>392</v>
      </c>
      <c r="B148" s="305" t="s">
        <v>499</v>
      </c>
      <c r="C148" s="305"/>
      <c r="D148" s="590" t="n">
        <f aca="false">+D120</f>
        <v>0</v>
      </c>
    </row>
    <row r="149" customFormat="false" ht="12.75" hidden="false" customHeight="false" outlineLevel="0" collapsed="false">
      <c r="B149" s="591" t="s">
        <v>500</v>
      </c>
      <c r="C149" s="591"/>
      <c r="D149" s="592" t="n">
        <f aca="false">SUM(D144:D148)</f>
        <v>0</v>
      </c>
    </row>
    <row r="150" customFormat="false" ht="12.75" hidden="false" customHeight="false" outlineLevel="0" collapsed="false">
      <c r="A150" s="522" t="s">
        <v>394</v>
      </c>
      <c r="B150" s="305" t="s">
        <v>501</v>
      </c>
      <c r="C150" s="305"/>
      <c r="D150" s="590" t="n">
        <f aca="false">+D141</f>
        <v>1.21</v>
      </c>
    </row>
    <row r="151" customFormat="false" ht="12.75" hidden="false" customHeight="false" outlineLevel="0" collapsed="false">
      <c r="D151" s="593"/>
    </row>
    <row r="152" customFormat="false" ht="12.75" hidden="false" customHeight="false" outlineLevel="0" collapsed="false">
      <c r="A152" s="594" t="s">
        <v>502</v>
      </c>
      <c r="B152" s="594"/>
      <c r="C152" s="594"/>
      <c r="D152" s="595" t="n">
        <f aca="false">ROUND(+D150+D149,2)</f>
        <v>1.21</v>
      </c>
    </row>
    <row r="153" customFormat="false" ht="12.75" hidden="false" customHeight="false" outlineLevel="0" collapsed="false">
      <c r="D153" s="593"/>
    </row>
    <row r="154" customFormat="false" ht="39" hidden="false" customHeight="true" outlineLevel="0" collapsed="false">
      <c r="A154" s="597" t="s">
        <v>503</v>
      </c>
      <c r="B154" s="597"/>
      <c r="C154" s="597"/>
      <c r="D154" s="597"/>
    </row>
    <row r="155" customFormat="false" ht="14.25" hidden="false" customHeight="false" outlineLevel="0" collapsed="false">
      <c r="A155" s="599" t="s">
        <v>504</v>
      </c>
      <c r="B155" s="599"/>
      <c r="C155" s="599"/>
      <c r="D155" s="599"/>
      <c r="E155" s="598"/>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4:D154"/>
    <mergeCell ref="A155:D155"/>
  </mergeCells>
  <printOptions headings="false" gridLines="false" gridLinesSet="true" horizontalCentered="false" verticalCentered="false"/>
  <pageMargins left="1.35972222222222" right="0.157638888888889" top="0.315277777777778" bottom="0.296527777777778" header="0.315277777777778" footer="0.157638888888889"/>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C124"/>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9.66"/>
    <col collapsed="false" customWidth="true" hidden="false" outlineLevel="0" max="2" min="2" style="44" width="15.53"/>
    <col collapsed="false" customWidth="true" hidden="false" outlineLevel="0" max="3" min="3" style="44" width="13.09"/>
    <col collapsed="false" customWidth="true" hidden="false" outlineLevel="0" max="4" min="4" style="44" width="10.12"/>
    <col collapsed="false" customWidth="true" hidden="false" outlineLevel="0" max="5" min="5" style="44" width="74.65"/>
    <col collapsed="false" customWidth="true" hidden="false" outlineLevel="0" max="1025" min="6" style="44" width="8.64"/>
  </cols>
  <sheetData>
    <row r="1" customFormat="false" ht="12.75" hidden="false" customHeight="false" outlineLevel="0" collapsed="false">
      <c r="A1" s="653" t="s">
        <v>581</v>
      </c>
      <c r="B1" s="653"/>
      <c r="C1" s="653"/>
    </row>
    <row r="3" customFormat="false" ht="12.75" hidden="false" customHeight="false" outlineLevel="0" collapsed="false">
      <c r="A3" s="522" t="s">
        <v>506</v>
      </c>
      <c r="B3" s="522" t="n">
        <v>220</v>
      </c>
    </row>
    <row r="4" customFormat="false" ht="12.75" hidden="false" customHeight="false" outlineLevel="0" collapsed="false">
      <c r="A4" s="522" t="s">
        <v>507</v>
      </c>
      <c r="B4" s="522" t="n">
        <v>365.25</v>
      </c>
    </row>
    <row r="5" customFormat="false" ht="12.75" hidden="false" customHeight="false" outlineLevel="0" collapsed="false">
      <c r="A5" s="522" t="s">
        <v>508</v>
      </c>
      <c r="B5" s="601" t="n">
        <f aca="false">(365.25/12)/(7/5)</f>
        <v>21.7410714285714</v>
      </c>
    </row>
    <row r="6" customFormat="false" ht="12.75" hidden="false" customHeight="false" outlineLevel="0" collapsed="false">
      <c r="A6" s="543" t="s">
        <v>388</v>
      </c>
      <c r="B6" s="534" t="n">
        <f aca="false">+Servente_Lider_44_seg_a_sex!D12</f>
        <v>0</v>
      </c>
    </row>
    <row r="7" customFormat="false" ht="12.75" hidden="false" customHeight="false" outlineLevel="0" collapsed="false">
      <c r="A7" s="543" t="s">
        <v>509</v>
      </c>
      <c r="B7" s="534" t="n">
        <f aca="false">+Servente_Lider_44_seg_a_sex!D23</f>
        <v>0</v>
      </c>
    </row>
    <row r="9" customFormat="false" ht="12.75" hidden="false" customHeight="false" outlineLevel="0" collapsed="false">
      <c r="A9" s="602" t="s">
        <v>510</v>
      </c>
      <c r="B9" s="602"/>
      <c r="C9" s="602"/>
    </row>
    <row r="10" customFormat="false" ht="12.75" hidden="false" customHeight="false" outlineLevel="0" collapsed="false">
      <c r="A10" s="522" t="s">
        <v>511</v>
      </c>
      <c r="B10" s="522" t="n">
        <f aca="false">+$B$4</f>
        <v>365.25</v>
      </c>
      <c r="C10" s="564"/>
    </row>
    <row r="11" customFormat="false" ht="12.75" hidden="false" customHeight="false" outlineLevel="0" collapsed="false">
      <c r="A11" s="522" t="s">
        <v>512</v>
      </c>
      <c r="B11" s="543" t="n">
        <v>12</v>
      </c>
      <c r="C11" s="564"/>
    </row>
    <row r="12" customFormat="false" ht="12.75" hidden="false" customHeight="false" outlineLevel="0" collapsed="false">
      <c r="A12" s="522" t="s">
        <v>513</v>
      </c>
      <c r="B12" s="533" t="n">
        <v>1</v>
      </c>
      <c r="C12" s="564"/>
    </row>
    <row r="13" customFormat="false" ht="12.75" hidden="false" customHeight="false" outlineLevel="0" collapsed="false">
      <c r="A13" s="543" t="s">
        <v>514</v>
      </c>
      <c r="B13" s="603" t="n">
        <f aca="false">+B5</f>
        <v>21.7410714285714</v>
      </c>
      <c r="C13" s="564"/>
    </row>
    <row r="14" customFormat="false" ht="12.75" hidden="false" customHeight="false" outlineLevel="0" collapsed="false">
      <c r="A14" s="548" t="s">
        <v>515</v>
      </c>
      <c r="B14" s="604"/>
      <c r="C14" s="564"/>
    </row>
    <row r="15" customFormat="false" ht="12.75" hidden="false" customHeight="false" outlineLevel="0" collapsed="false">
      <c r="A15" s="522" t="s">
        <v>516</v>
      </c>
      <c r="B15" s="533" t="n">
        <v>0.06</v>
      </c>
      <c r="C15" s="564"/>
    </row>
    <row r="16" customFormat="false" ht="12.75" hidden="false" customHeight="false" outlineLevel="0" collapsed="false">
      <c r="A16" s="575" t="s">
        <v>517</v>
      </c>
      <c r="B16" s="575"/>
      <c r="C16" s="605" t="n">
        <f aca="false">ROUND((B13*(B14*2)-($B$6*B15)),2)</f>
        <v>0</v>
      </c>
    </row>
    <row r="18" customFormat="false" ht="12.75" hidden="false" customHeight="false" outlineLevel="0" collapsed="false">
      <c r="A18" s="602" t="s">
        <v>518</v>
      </c>
      <c r="B18" s="602"/>
      <c r="C18" s="602"/>
    </row>
    <row r="19" customFormat="false" ht="12.75" hidden="false" customHeight="false" outlineLevel="0" collapsed="false">
      <c r="A19" s="522" t="s">
        <v>511</v>
      </c>
      <c r="B19" s="522" t="n">
        <f aca="false">+$B$4</f>
        <v>365.25</v>
      </c>
      <c r="C19" s="564"/>
    </row>
    <row r="20" customFormat="false" ht="12.75" hidden="false" customHeight="false" outlineLevel="0" collapsed="false">
      <c r="A20" s="522" t="s">
        <v>512</v>
      </c>
      <c r="B20" s="543" t="n">
        <v>12</v>
      </c>
      <c r="C20" s="564"/>
    </row>
    <row r="21" customFormat="false" ht="12.75" hidden="false" customHeight="false" outlineLevel="0" collapsed="false">
      <c r="A21" s="522" t="s">
        <v>513</v>
      </c>
      <c r="B21" s="533" t="n">
        <v>1</v>
      </c>
      <c r="C21" s="564"/>
    </row>
    <row r="22" customFormat="false" ht="12.75" hidden="false" customHeight="false" outlineLevel="0" collapsed="false">
      <c r="A22" s="543" t="s">
        <v>514</v>
      </c>
      <c r="B22" s="603" t="n">
        <f aca="false">+B5</f>
        <v>21.7410714285714</v>
      </c>
      <c r="C22" s="564"/>
    </row>
    <row r="23" customFormat="false" ht="12.75" hidden="false" customHeight="false" outlineLevel="0" collapsed="false">
      <c r="A23" s="548" t="s">
        <v>519</v>
      </c>
      <c r="B23" s="604"/>
      <c r="C23" s="564"/>
    </row>
    <row r="24" customFormat="false" ht="12.75" hidden="false" customHeight="false" outlineLevel="0" collapsed="false">
      <c r="A24" s="522" t="s">
        <v>520</v>
      </c>
      <c r="B24" s="533" t="n">
        <v>0.1</v>
      </c>
      <c r="C24" s="564"/>
    </row>
    <row r="25" customFormat="false" ht="12.75" hidden="false" customHeight="false" outlineLevel="0" collapsed="false">
      <c r="A25" s="575" t="s">
        <v>519</v>
      </c>
      <c r="B25" s="575"/>
      <c r="C25" s="605" t="n">
        <f aca="false">ROUND((B22*(B23)-((B22*B23)*B24)),2)</f>
        <v>0</v>
      </c>
    </row>
    <row r="27" customFormat="false" ht="12.75" hidden="false" customHeight="false" outlineLevel="0" collapsed="false">
      <c r="A27" s="602" t="s">
        <v>521</v>
      </c>
      <c r="B27" s="602"/>
      <c r="C27" s="602"/>
    </row>
    <row r="28" customFormat="false" ht="12.75" hidden="false" customHeight="false" outlineLevel="0" collapsed="false">
      <c r="A28" s="522" t="s">
        <v>522</v>
      </c>
      <c r="B28" s="534" t="n">
        <f aca="false">+B7</f>
        <v>0</v>
      </c>
      <c r="C28" s="564"/>
    </row>
    <row r="29" customFormat="false" ht="12.75" hidden="false" customHeight="false" outlineLevel="0" collapsed="false">
      <c r="A29" s="522" t="s">
        <v>523</v>
      </c>
      <c r="B29" s="522" t="n">
        <v>12</v>
      </c>
      <c r="C29" s="564"/>
    </row>
    <row r="30" customFormat="false" ht="12.75" hidden="false" customHeight="false" outlineLevel="0" collapsed="false">
      <c r="A30" s="546" t="s">
        <v>524</v>
      </c>
      <c r="B30" s="606"/>
      <c r="C30" s="564"/>
    </row>
    <row r="31" customFormat="false" ht="12.75" hidden="false" customHeight="false" outlineLevel="0" collapsed="false">
      <c r="A31" s="575" t="s">
        <v>525</v>
      </c>
      <c r="B31" s="575"/>
      <c r="C31" s="605" t="n">
        <f aca="false">ROUND(+(B28/B29)*B30,2)</f>
        <v>0</v>
      </c>
    </row>
    <row r="33" customFormat="false" ht="12.75" hidden="false" customHeight="true" outlineLevel="0" collapsed="false">
      <c r="A33" s="607" t="s">
        <v>526</v>
      </c>
      <c r="B33" s="607"/>
      <c r="C33" s="607"/>
    </row>
    <row r="34" s="46" customFormat="true" ht="12.75" hidden="false" customHeight="false" outlineLevel="0" collapsed="false">
      <c r="A34" s="608" t="s">
        <v>527</v>
      </c>
      <c r="B34" s="606" t="n">
        <f aca="false">+B30</f>
        <v>0</v>
      </c>
      <c r="C34" s="564"/>
    </row>
    <row r="35" customFormat="false" ht="12.75" hidden="false" customHeight="false" outlineLevel="0" collapsed="false">
      <c r="A35" s="522" t="s">
        <v>528</v>
      </c>
      <c r="B35" s="534" t="n">
        <f aca="false">+Servente_Lider_44_seg_a_sex!$D$23</f>
        <v>0</v>
      </c>
      <c r="C35" s="564"/>
    </row>
    <row r="36" customFormat="false" ht="12.75" hidden="false" customHeight="false" outlineLevel="0" collapsed="false">
      <c r="A36" s="522" t="s">
        <v>411</v>
      </c>
      <c r="B36" s="534" t="n">
        <f aca="false">+Servente_Lider_44_seg_a_sex!$D$29</f>
        <v>0</v>
      </c>
      <c r="C36" s="564"/>
    </row>
    <row r="37" customFormat="false" ht="12.75" hidden="false" customHeight="false" outlineLevel="0" collapsed="false">
      <c r="A37" s="522" t="s">
        <v>413</v>
      </c>
      <c r="B37" s="534" t="n">
        <f aca="false">+Servente_Lider_44_seg_a_sex!$D$31</f>
        <v>0</v>
      </c>
      <c r="C37" s="564"/>
    </row>
    <row r="38" customFormat="false" ht="12.75" hidden="false" customHeight="false" outlineLevel="0" collapsed="false">
      <c r="A38" s="522" t="s">
        <v>414</v>
      </c>
      <c r="B38" s="534" t="n">
        <f aca="false">+Servente_Lider_44_seg_a_sex!$D$32</f>
        <v>0</v>
      </c>
      <c r="C38" s="564"/>
    </row>
    <row r="39" customFormat="false" ht="12.75" hidden="false" customHeight="false" outlineLevel="0" collapsed="false">
      <c r="A39" s="609" t="s">
        <v>529</v>
      </c>
      <c r="B39" s="610" t="n">
        <f aca="false">SUM(B35:B38)</f>
        <v>0</v>
      </c>
      <c r="C39" s="564"/>
    </row>
    <row r="40" customFormat="false" ht="12.75" hidden="false" customHeight="false" outlineLevel="0" collapsed="false">
      <c r="A40" s="543" t="s">
        <v>530</v>
      </c>
      <c r="B40" s="533" t="n">
        <v>0.4</v>
      </c>
      <c r="C40" s="564"/>
    </row>
    <row r="41" customFormat="false" ht="12.75" hidden="false" customHeight="false" outlineLevel="0" collapsed="false">
      <c r="A41" s="543" t="s">
        <v>531</v>
      </c>
      <c r="B41" s="533" t="n">
        <f aca="false">+Servente_Lider_44_seg_a_sex!$C$44</f>
        <v>0.08</v>
      </c>
      <c r="C41" s="564"/>
    </row>
    <row r="42" customFormat="false" ht="12.75" hidden="false" customHeight="false" outlineLevel="0" collapsed="false">
      <c r="A42" s="577" t="s">
        <v>532</v>
      </c>
      <c r="B42" s="577"/>
      <c r="C42" s="578" t="n">
        <f aca="false">ROUND(+B39*B40*B41*B34,2)</f>
        <v>0</v>
      </c>
    </row>
    <row r="43" customFormat="false" ht="12.75" hidden="false" customHeight="false" outlineLevel="0" collapsed="false">
      <c r="A43" s="575" t="s">
        <v>533</v>
      </c>
      <c r="B43" s="575"/>
      <c r="C43" s="579" t="n">
        <f aca="false">+C42</f>
        <v>0</v>
      </c>
    </row>
    <row r="45" customFormat="false" ht="12.75" hidden="false" customHeight="false" outlineLevel="0" collapsed="false">
      <c r="A45" s="602" t="s">
        <v>534</v>
      </c>
      <c r="B45" s="602"/>
      <c r="C45" s="602"/>
    </row>
    <row r="46" customFormat="false" ht="12.75" hidden="false" customHeight="false" outlineLevel="0" collapsed="false">
      <c r="A46" s="522" t="s">
        <v>522</v>
      </c>
      <c r="B46" s="534" t="n">
        <f aca="false">+B7</f>
        <v>0</v>
      </c>
      <c r="C46" s="564"/>
    </row>
    <row r="47" customFormat="false" ht="12.75" hidden="false" customHeight="false" outlineLevel="0" collapsed="false">
      <c r="A47" s="522" t="s">
        <v>535</v>
      </c>
      <c r="B47" s="611" t="n">
        <v>30</v>
      </c>
      <c r="C47" s="564"/>
    </row>
    <row r="48" customFormat="false" ht="12.75" hidden="false" customHeight="false" outlineLevel="0" collapsed="false">
      <c r="A48" s="522" t="s">
        <v>523</v>
      </c>
      <c r="B48" s="522" t="n">
        <v>12</v>
      </c>
      <c r="C48" s="564"/>
    </row>
    <row r="49" customFormat="false" ht="12.75" hidden="false" customHeight="false" outlineLevel="0" collapsed="false">
      <c r="A49" s="522" t="s">
        <v>536</v>
      </c>
      <c r="B49" s="522" t="n">
        <v>7</v>
      </c>
      <c r="C49" s="564"/>
    </row>
    <row r="50" customFormat="false" ht="12.75" hidden="false" customHeight="false" outlineLevel="0" collapsed="false">
      <c r="A50" s="546" t="s">
        <v>537</v>
      </c>
      <c r="B50" s="606"/>
      <c r="C50" s="564"/>
    </row>
    <row r="51" customFormat="false" ht="12.75" hidden="false" customHeight="false" outlineLevel="0" collapsed="false">
      <c r="A51" s="575" t="s">
        <v>538</v>
      </c>
      <c r="B51" s="575"/>
      <c r="C51" s="605" t="n">
        <f aca="false">+ROUND(((B46/B47/B48)*B49)*B50,2)</f>
        <v>0</v>
      </c>
    </row>
    <row r="53" customFormat="false" ht="12.75" hidden="false" customHeight="true" outlineLevel="0" collapsed="false">
      <c r="A53" s="607" t="s">
        <v>539</v>
      </c>
      <c r="B53" s="607"/>
      <c r="C53" s="607"/>
    </row>
    <row r="54" customFormat="false" ht="12.75" hidden="false" customHeight="false" outlineLevel="0" collapsed="false">
      <c r="A54" s="608" t="s">
        <v>540</v>
      </c>
      <c r="B54" s="606" t="n">
        <f aca="false">+B50</f>
        <v>0</v>
      </c>
      <c r="C54" s="564"/>
    </row>
    <row r="55" customFormat="false" ht="12.75" hidden="false" customHeight="false" outlineLevel="0" collapsed="false">
      <c r="A55" s="522" t="s">
        <v>528</v>
      </c>
      <c r="B55" s="534" t="n">
        <f aca="false">+Servente_Lider_44_seg_a_sex!$D$23</f>
        <v>0</v>
      </c>
      <c r="C55" s="564"/>
    </row>
    <row r="56" customFormat="false" ht="12.75" hidden="false" customHeight="false" outlineLevel="0" collapsed="false">
      <c r="A56" s="522" t="s">
        <v>411</v>
      </c>
      <c r="B56" s="534" t="n">
        <f aca="false">+Servente_Lider_44_seg_a_sex!$D$29</f>
        <v>0</v>
      </c>
      <c r="C56" s="564"/>
    </row>
    <row r="57" customFormat="false" ht="12.75" hidden="false" customHeight="false" outlineLevel="0" collapsed="false">
      <c r="A57" s="522" t="s">
        <v>413</v>
      </c>
      <c r="B57" s="534" t="n">
        <f aca="false">+Servente_Lider_44_seg_a_sex!$D$31</f>
        <v>0</v>
      </c>
      <c r="C57" s="564"/>
    </row>
    <row r="58" customFormat="false" ht="12.75" hidden="false" customHeight="false" outlineLevel="0" collapsed="false">
      <c r="A58" s="522" t="s">
        <v>414</v>
      </c>
      <c r="B58" s="534" t="n">
        <f aca="false">+Servente_Lider_44_seg_a_sex!$D$32</f>
        <v>0</v>
      </c>
      <c r="C58" s="564"/>
    </row>
    <row r="59" customFormat="false" ht="12.75" hidden="false" customHeight="false" outlineLevel="0" collapsed="false">
      <c r="A59" s="609" t="s">
        <v>529</v>
      </c>
      <c r="B59" s="610" t="n">
        <f aca="false">SUM(B55:B58)</f>
        <v>0</v>
      </c>
      <c r="C59" s="564"/>
    </row>
    <row r="60" customFormat="false" ht="12.75" hidden="false" customHeight="false" outlineLevel="0" collapsed="false">
      <c r="A60" s="543" t="s">
        <v>530</v>
      </c>
      <c r="B60" s="533" t="n">
        <v>0.4</v>
      </c>
      <c r="C60" s="564"/>
    </row>
    <row r="61" customFormat="false" ht="12.75" hidden="false" customHeight="false" outlineLevel="0" collapsed="false">
      <c r="A61" s="543" t="s">
        <v>531</v>
      </c>
      <c r="B61" s="533" t="n">
        <f aca="false">+Servente_Lider_44_seg_a_sex!$C$44</f>
        <v>0.08</v>
      </c>
      <c r="C61" s="564"/>
    </row>
    <row r="62" customFormat="false" ht="12.75" hidden="false" customHeight="false" outlineLevel="0" collapsed="false">
      <c r="A62" s="577" t="s">
        <v>532</v>
      </c>
      <c r="B62" s="577"/>
      <c r="C62" s="578" t="n">
        <f aca="false">ROUND(+B59*B60*B61*B54,2)</f>
        <v>0</v>
      </c>
    </row>
    <row r="63" customFormat="false" ht="12.75" hidden="false" customHeight="false" outlineLevel="0" collapsed="false">
      <c r="A63" s="575" t="s">
        <v>541</v>
      </c>
      <c r="B63" s="575"/>
      <c r="C63" s="579" t="n">
        <f aca="false">+C62</f>
        <v>0</v>
      </c>
    </row>
    <row r="65" customFormat="false" ht="12.75" hidden="false" customHeight="true" outlineLevel="0" collapsed="false">
      <c r="A65" s="607" t="s">
        <v>542</v>
      </c>
      <c r="B65" s="607"/>
      <c r="C65" s="607"/>
    </row>
    <row r="66" customFormat="false" ht="12.75" hidden="false" customHeight="true" outlineLevel="0" collapsed="false">
      <c r="A66" s="612" t="s">
        <v>543</v>
      </c>
      <c r="B66" s="612"/>
      <c r="C66" s="612"/>
    </row>
    <row r="67" customFormat="false" ht="12.75" hidden="false" customHeight="false" outlineLevel="0" collapsed="false">
      <c r="A67" s="612"/>
      <c r="B67" s="612"/>
      <c r="C67" s="612"/>
    </row>
    <row r="68" customFormat="false" ht="12.75" hidden="false" customHeight="false" outlineLevel="0" collapsed="false">
      <c r="A68" s="612"/>
      <c r="B68" s="612"/>
      <c r="C68" s="612"/>
    </row>
    <row r="69" customFormat="false" ht="12.75" hidden="false" customHeight="false" outlineLevel="0" collapsed="false">
      <c r="A69" s="612"/>
      <c r="B69" s="612"/>
      <c r="C69" s="612"/>
    </row>
    <row r="70" customFormat="false" ht="12.75" hidden="false" customHeight="false" outlineLevel="0" collapsed="false">
      <c r="A70" s="613"/>
      <c r="B70" s="613"/>
      <c r="C70" s="613"/>
    </row>
    <row r="71" customFormat="false" ht="12.75" hidden="false" customHeight="true" outlineLevel="0" collapsed="false">
      <c r="A71" s="607" t="s">
        <v>544</v>
      </c>
      <c r="B71" s="607"/>
      <c r="C71" s="607"/>
    </row>
    <row r="72" customFormat="false" ht="12.75" hidden="false" customHeight="false" outlineLevel="0" collapsed="false">
      <c r="A72" s="522" t="s">
        <v>545</v>
      </c>
      <c r="B72" s="534" t="n">
        <f aca="false">+$B$7</f>
        <v>0</v>
      </c>
      <c r="C72" s="564"/>
    </row>
    <row r="73" customFormat="false" ht="12.75" hidden="false" customHeight="false" outlineLevel="0" collapsed="false">
      <c r="A73" s="522" t="s">
        <v>512</v>
      </c>
      <c r="B73" s="522" t="n">
        <v>30</v>
      </c>
      <c r="C73" s="564"/>
    </row>
    <row r="74" customFormat="false" ht="12.75" hidden="false" customHeight="false" outlineLevel="0" collapsed="false">
      <c r="A74" s="522" t="s">
        <v>546</v>
      </c>
      <c r="B74" s="522" t="n">
        <v>12</v>
      </c>
      <c r="C74" s="564"/>
    </row>
    <row r="75" customFormat="false" ht="12.75" hidden="false" customHeight="false" outlineLevel="0" collapsed="false">
      <c r="A75" s="546" t="s">
        <v>547</v>
      </c>
      <c r="B75" s="546"/>
      <c r="C75" s="564"/>
    </row>
    <row r="76" customFormat="false" ht="12.75" hidden="false" customHeight="false" outlineLevel="0" collapsed="false">
      <c r="A76" s="575" t="s">
        <v>548</v>
      </c>
      <c r="B76" s="575"/>
      <c r="C76" s="556" t="n">
        <f aca="false">+ROUND((B72/B73/B74)*B75,2)</f>
        <v>0</v>
      </c>
    </row>
    <row r="78" customFormat="false" ht="12.75" hidden="false" customHeight="true" outlineLevel="0" collapsed="false">
      <c r="A78" s="607" t="s">
        <v>549</v>
      </c>
      <c r="B78" s="607"/>
      <c r="C78" s="607"/>
    </row>
    <row r="79" customFormat="false" ht="12.75" hidden="false" customHeight="false" outlineLevel="0" collapsed="false">
      <c r="A79" s="522" t="s">
        <v>545</v>
      </c>
      <c r="B79" s="534" t="n">
        <f aca="false">+$B$7</f>
        <v>0</v>
      </c>
      <c r="C79" s="564"/>
    </row>
    <row r="80" customFormat="false" ht="12.75" hidden="false" customHeight="false" outlineLevel="0" collapsed="false">
      <c r="A80" s="522" t="s">
        <v>512</v>
      </c>
      <c r="B80" s="522" t="n">
        <v>30</v>
      </c>
      <c r="C80" s="564"/>
    </row>
    <row r="81" customFormat="false" ht="12.75" hidden="false" customHeight="false" outlineLevel="0" collapsed="false">
      <c r="A81" s="522" t="s">
        <v>546</v>
      </c>
      <c r="B81" s="522" t="n">
        <v>12</v>
      </c>
      <c r="C81" s="564"/>
    </row>
    <row r="82" customFormat="false" ht="12.75" hidden="false" customHeight="false" outlineLevel="0" collapsed="false">
      <c r="A82" s="543" t="s">
        <v>550</v>
      </c>
      <c r="B82" s="522" t="n">
        <v>5</v>
      </c>
      <c r="C82" s="564"/>
    </row>
    <row r="83" customFormat="false" ht="12.75" hidden="false" customHeight="false" outlineLevel="0" collapsed="false">
      <c r="A83" s="546" t="s">
        <v>551</v>
      </c>
      <c r="B83" s="606"/>
      <c r="C83" s="564"/>
    </row>
    <row r="84" customFormat="false" ht="12.75" hidden="false" customHeight="false" outlineLevel="0" collapsed="false">
      <c r="A84" s="546" t="s">
        <v>552</v>
      </c>
      <c r="B84" s="606"/>
      <c r="C84" s="564"/>
    </row>
    <row r="85" customFormat="false" ht="12.75" hidden="false" customHeight="false" outlineLevel="0" collapsed="false">
      <c r="A85" s="575" t="s">
        <v>553</v>
      </c>
      <c r="B85" s="575"/>
      <c r="C85" s="605" t="n">
        <f aca="false">ROUND(+B79/B80/B81*B82*B83*B84,2)</f>
        <v>0</v>
      </c>
    </row>
    <row r="87" customFormat="false" ht="12.75" hidden="false" customHeight="true" outlineLevel="0" collapsed="false">
      <c r="A87" s="607" t="s">
        <v>554</v>
      </c>
      <c r="B87" s="607"/>
      <c r="C87" s="607"/>
    </row>
    <row r="88" customFormat="false" ht="12.75" hidden="false" customHeight="false" outlineLevel="0" collapsed="false">
      <c r="A88" s="522" t="s">
        <v>545</v>
      </c>
      <c r="B88" s="534" t="n">
        <f aca="false">+$B$7</f>
        <v>0</v>
      </c>
      <c r="C88" s="564"/>
    </row>
    <row r="89" customFormat="false" ht="12.75" hidden="false" customHeight="false" outlineLevel="0" collapsed="false">
      <c r="A89" s="522" t="s">
        <v>512</v>
      </c>
      <c r="B89" s="522" t="n">
        <v>30</v>
      </c>
      <c r="C89" s="564"/>
    </row>
    <row r="90" customFormat="false" ht="12.75" hidden="false" customHeight="false" outlineLevel="0" collapsed="false">
      <c r="A90" s="522" t="s">
        <v>546</v>
      </c>
      <c r="B90" s="522" t="n">
        <v>12</v>
      </c>
      <c r="C90" s="564"/>
    </row>
    <row r="91" customFormat="false" ht="12.75" hidden="false" customHeight="false" outlineLevel="0" collapsed="false">
      <c r="A91" s="543" t="s">
        <v>555</v>
      </c>
      <c r="B91" s="522" t="n">
        <v>15</v>
      </c>
      <c r="C91" s="564"/>
    </row>
    <row r="92" customFormat="false" ht="12.75" hidden="false" customHeight="false" outlineLevel="0" collapsed="false">
      <c r="A92" s="546" t="s">
        <v>556</v>
      </c>
      <c r="B92" s="606"/>
      <c r="C92" s="564"/>
    </row>
    <row r="93" customFormat="false" ht="12.75" hidden="false" customHeight="false" outlineLevel="0" collapsed="false">
      <c r="A93" s="575" t="s">
        <v>557</v>
      </c>
      <c r="B93" s="575"/>
      <c r="C93" s="605" t="n">
        <f aca="false">ROUND(+B88/B89/B90*B91*B92,2)</f>
        <v>0</v>
      </c>
    </row>
    <row r="95" customFormat="false" ht="12.75" hidden="false" customHeight="true" outlineLevel="0" collapsed="false">
      <c r="A95" s="607" t="s">
        <v>558</v>
      </c>
      <c r="B95" s="607"/>
      <c r="C95" s="607"/>
    </row>
    <row r="96" customFormat="false" ht="12.75" hidden="false" customHeight="false" outlineLevel="0" collapsed="false">
      <c r="A96" s="522" t="s">
        <v>545</v>
      </c>
      <c r="B96" s="534" t="n">
        <f aca="false">+$B$7</f>
        <v>0</v>
      </c>
      <c r="C96" s="564"/>
    </row>
    <row r="97" customFormat="false" ht="12.75" hidden="false" customHeight="false" outlineLevel="0" collapsed="false">
      <c r="A97" s="522" t="s">
        <v>512</v>
      </c>
      <c r="B97" s="522" t="n">
        <v>30</v>
      </c>
      <c r="C97" s="564"/>
    </row>
    <row r="98" customFormat="false" ht="12.75" hidden="false" customHeight="false" outlineLevel="0" collapsed="false">
      <c r="A98" s="522" t="s">
        <v>546</v>
      </c>
      <c r="B98" s="522" t="n">
        <v>12</v>
      </c>
      <c r="C98" s="564"/>
    </row>
    <row r="99" customFormat="false" ht="12.75" hidden="false" customHeight="false" outlineLevel="0" collapsed="false">
      <c r="A99" s="543" t="s">
        <v>555</v>
      </c>
      <c r="B99" s="522" t="n">
        <v>5</v>
      </c>
      <c r="C99" s="564"/>
    </row>
    <row r="100" customFormat="false" ht="12.75" hidden="false" customHeight="false" outlineLevel="0" collapsed="false">
      <c r="A100" s="546" t="s">
        <v>559</v>
      </c>
      <c r="B100" s="606"/>
      <c r="C100" s="564"/>
    </row>
    <row r="101" customFormat="false" ht="12.75" hidden="false" customHeight="false" outlineLevel="0" collapsed="false">
      <c r="A101" s="575" t="s">
        <v>560</v>
      </c>
      <c r="B101" s="575"/>
      <c r="C101" s="605" t="n">
        <f aca="false">ROUND(+B96/B97/B98*B99*B100,2)</f>
        <v>0</v>
      </c>
    </row>
    <row r="103" customFormat="false" ht="12.75" hidden="false" customHeight="true" outlineLevel="0" collapsed="false">
      <c r="A103" s="607" t="s">
        <v>562</v>
      </c>
      <c r="B103" s="607"/>
      <c r="C103" s="607"/>
    </row>
    <row r="104" customFormat="false" ht="12.75" hidden="false" customHeight="true" outlineLevel="0" collapsed="false">
      <c r="A104" s="614" t="s">
        <v>563</v>
      </c>
      <c r="B104" s="614"/>
      <c r="C104" s="614"/>
    </row>
    <row r="105" customFormat="false" ht="12.75" hidden="false" customHeight="false" outlineLevel="0" collapsed="false">
      <c r="A105" s="522" t="s">
        <v>545</v>
      </c>
      <c r="B105" s="534" t="n">
        <f aca="false">+$B$7</f>
        <v>0</v>
      </c>
      <c r="C105" s="564"/>
    </row>
    <row r="106" customFormat="false" ht="12.75" hidden="false" customHeight="false" outlineLevel="0" collapsed="false">
      <c r="A106" s="522" t="s">
        <v>564</v>
      </c>
      <c r="B106" s="534" t="n">
        <f aca="false">+B105*(1/3)</f>
        <v>0</v>
      </c>
      <c r="C106" s="564"/>
    </row>
    <row r="107" customFormat="false" ht="12.75" hidden="false" customHeight="false" outlineLevel="0" collapsed="false">
      <c r="A107" s="609" t="s">
        <v>529</v>
      </c>
      <c r="B107" s="610" t="n">
        <f aca="false">SUM(B105:B106)</f>
        <v>0</v>
      </c>
      <c r="C107" s="564"/>
    </row>
    <row r="108" customFormat="false" ht="12.75" hidden="false" customHeight="false" outlineLevel="0" collapsed="false">
      <c r="A108" s="522" t="s">
        <v>565</v>
      </c>
      <c r="B108" s="522" t="n">
        <v>4</v>
      </c>
      <c r="C108" s="564"/>
    </row>
    <row r="109" customFormat="false" ht="12.75" hidden="false" customHeight="false" outlineLevel="0" collapsed="false">
      <c r="A109" s="522" t="s">
        <v>546</v>
      </c>
      <c r="B109" s="522" t="n">
        <v>12</v>
      </c>
      <c r="C109" s="564"/>
    </row>
    <row r="110" customFormat="false" ht="12.75" hidden="false" customHeight="false" outlineLevel="0" collapsed="false">
      <c r="A110" s="546" t="s">
        <v>566</v>
      </c>
      <c r="B110" s="606"/>
      <c r="C110" s="564"/>
    </row>
    <row r="111" customFormat="false" ht="12.75" hidden="false" customHeight="false" outlineLevel="0" collapsed="false">
      <c r="A111" s="546" t="s">
        <v>567</v>
      </c>
      <c r="B111" s="606"/>
      <c r="C111" s="564"/>
    </row>
    <row r="112" customFormat="false" ht="12.75" hidden="false" customHeight="false" outlineLevel="0" collapsed="false">
      <c r="A112" s="575" t="s">
        <v>568</v>
      </c>
      <c r="B112" s="575"/>
      <c r="C112" s="605" t="n">
        <f aca="false">ROUND((((+B107*(B108/B109)/B109)*B110)*B111),2)</f>
        <v>0</v>
      </c>
    </row>
    <row r="113" customFormat="false" ht="12.75" hidden="false" customHeight="false" outlineLevel="0" collapsed="false">
      <c r="A113" s="575" t="s">
        <v>569</v>
      </c>
      <c r="B113" s="575"/>
      <c r="C113" s="575"/>
    </row>
    <row r="114" customFormat="false" ht="12.75" hidden="false" customHeight="false" outlineLevel="0" collapsed="false">
      <c r="A114" s="522" t="s">
        <v>545</v>
      </c>
      <c r="B114" s="534" t="n">
        <f aca="false">+Servente_Lider_44_seg_a_sex!D23</f>
        <v>0</v>
      </c>
      <c r="C114" s="564"/>
    </row>
    <row r="115" customFormat="false" ht="12.75" hidden="false" customHeight="false" outlineLevel="0" collapsed="false">
      <c r="A115" s="522" t="s">
        <v>411</v>
      </c>
      <c r="B115" s="534" t="n">
        <f aca="false">+Servente_Lider_44_seg_a_sex!D29</f>
        <v>0</v>
      </c>
      <c r="C115" s="564"/>
    </row>
    <row r="116" customFormat="false" ht="12.75" hidden="false" customHeight="false" outlineLevel="0" collapsed="false">
      <c r="A116" s="609" t="s">
        <v>529</v>
      </c>
      <c r="B116" s="610" t="n">
        <f aca="false">SUM(B114:B115)</f>
        <v>0</v>
      </c>
      <c r="C116" s="564"/>
    </row>
    <row r="117" customFormat="false" ht="12.75" hidden="false" customHeight="false" outlineLevel="0" collapsed="false">
      <c r="A117" s="522" t="s">
        <v>565</v>
      </c>
      <c r="B117" s="522" t="n">
        <v>4</v>
      </c>
      <c r="C117" s="564"/>
    </row>
    <row r="118" customFormat="false" ht="12.75" hidden="false" customHeight="false" outlineLevel="0" collapsed="false">
      <c r="A118" s="522" t="s">
        <v>546</v>
      </c>
      <c r="B118" s="522" t="n">
        <v>12</v>
      </c>
      <c r="C118" s="564"/>
    </row>
    <row r="119" customFormat="false" ht="12.75" hidden="false" customHeight="false" outlineLevel="0" collapsed="false">
      <c r="A119" s="546" t="s">
        <v>566</v>
      </c>
      <c r="B119" s="606" t="n">
        <f aca="false">+B110</f>
        <v>0</v>
      </c>
      <c r="C119" s="564"/>
    </row>
    <row r="120" customFormat="false" ht="12.75" hidden="false" customHeight="false" outlineLevel="0" collapsed="false">
      <c r="A120" s="546" t="s">
        <v>567</v>
      </c>
      <c r="B120" s="606" t="n">
        <f aca="false">+B111</f>
        <v>0</v>
      </c>
      <c r="C120" s="564"/>
    </row>
    <row r="121" customFormat="false" ht="12.75" hidden="false" customHeight="false" outlineLevel="0" collapsed="false">
      <c r="A121" s="543" t="s">
        <v>570</v>
      </c>
      <c r="B121" s="533" t="n">
        <f aca="false">+Servente_Lider_44_seg_a_sex!C45</f>
        <v>0.368</v>
      </c>
      <c r="C121" s="564"/>
    </row>
    <row r="122" customFormat="false" ht="12.75" hidden="false" customHeight="false" outlineLevel="0" collapsed="false">
      <c r="A122" s="575" t="s">
        <v>571</v>
      </c>
      <c r="B122" s="575"/>
      <c r="C122" s="579" t="n">
        <f aca="false">ROUND((((B116*(B117/B118)*B119)*B120)*B121),2)</f>
        <v>0</v>
      </c>
    </row>
    <row r="124" customFormat="false" ht="34.5" hidden="false" customHeight="true" outlineLevel="0" collapsed="false">
      <c r="A124" s="615" t="s">
        <v>575</v>
      </c>
      <c r="B124" s="615"/>
      <c r="C124" s="615"/>
    </row>
  </sheetData>
  <mergeCells count="31">
    <mergeCell ref="A1:C1"/>
    <mergeCell ref="A9:C9"/>
    <mergeCell ref="A16:B16"/>
    <mergeCell ref="A18:C18"/>
    <mergeCell ref="A25:B25"/>
    <mergeCell ref="A27:C27"/>
    <mergeCell ref="A31:B31"/>
    <mergeCell ref="A33:C33"/>
    <mergeCell ref="A42:B42"/>
    <mergeCell ref="A43:B43"/>
    <mergeCell ref="A45:C45"/>
    <mergeCell ref="A51:B51"/>
    <mergeCell ref="A53:C53"/>
    <mergeCell ref="A62:B62"/>
    <mergeCell ref="A63:B63"/>
    <mergeCell ref="A65:C65"/>
    <mergeCell ref="A66:C69"/>
    <mergeCell ref="A71:C71"/>
    <mergeCell ref="A76:B76"/>
    <mergeCell ref="A78:C78"/>
    <mergeCell ref="A85:B85"/>
    <mergeCell ref="A87:C87"/>
    <mergeCell ref="A93:B93"/>
    <mergeCell ref="A95:C95"/>
    <mergeCell ref="A101:B101"/>
    <mergeCell ref="A103:C103"/>
    <mergeCell ref="A104:C104"/>
    <mergeCell ref="A112:B112"/>
    <mergeCell ref="A113:C113"/>
    <mergeCell ref="A122:B122"/>
    <mergeCell ref="A124:C124"/>
  </mergeCells>
  <printOptions headings="false" gridLines="false" gridLinesSet="true" horizontalCentered="false" verticalCentered="false"/>
  <pageMargins left="1.27986111111111" right="0.0784722222222222"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G15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08"/>
    <col collapsed="false" customWidth="true" hidden="false" outlineLevel="0" max="2" min="2" style="44" width="54.54"/>
    <col collapsed="false" customWidth="true" hidden="false" outlineLevel="0" max="3" min="3" style="44" width="10.12"/>
    <col collapsed="false" customWidth="true" hidden="false" outlineLevel="0" max="4" min="4" style="44" width="16.87"/>
    <col collapsed="false" customWidth="true" hidden="false" outlineLevel="0" max="5" min="5" style="44" width="12.69"/>
    <col collapsed="false" customWidth="true" hidden="false" outlineLevel="0" max="1025" min="6" style="44" width="8.64"/>
  </cols>
  <sheetData>
    <row r="1" customFormat="false" ht="12.75" hidden="false" customHeight="false" outlineLevel="0" collapsed="false">
      <c r="A1" s="492" t="s">
        <v>374</v>
      </c>
      <c r="B1" s="492"/>
      <c r="C1" s="492"/>
      <c r="D1" s="492"/>
      <c r="E1" s="493"/>
      <c r="F1" s="493"/>
    </row>
    <row r="3" customFormat="false" ht="12.75" hidden="false" customHeight="false" outlineLevel="0" collapsed="false">
      <c r="A3" s="494" t="s">
        <v>375</v>
      </c>
      <c r="B3" s="494"/>
      <c r="C3" s="494"/>
      <c r="D3" s="494"/>
    </row>
    <row r="4" s="498" customFormat="true" ht="12.75" hidden="false" customHeight="true" outlineLevel="0" collapsed="false">
      <c r="A4" s="654" t="n">
        <v>1</v>
      </c>
      <c r="B4" s="655" t="s">
        <v>376</v>
      </c>
      <c r="C4" s="656" t="s">
        <v>582</v>
      </c>
      <c r="D4" s="656"/>
    </row>
    <row r="5" s="498" customFormat="true" ht="12.75" hidden="false" customHeight="false" outlineLevel="0" collapsed="false">
      <c r="A5" s="654" t="n">
        <v>2</v>
      </c>
      <c r="B5" s="655" t="s">
        <v>378</v>
      </c>
      <c r="C5" s="657" t="s">
        <v>574</v>
      </c>
      <c r="D5" s="657"/>
    </row>
    <row r="6" s="498" customFormat="true" ht="12.75" hidden="false" customHeight="false" outlineLevel="0" collapsed="false">
      <c r="A6" s="654" t="n">
        <v>3</v>
      </c>
      <c r="B6" s="655" t="s">
        <v>380</v>
      </c>
      <c r="C6" s="658" t="n">
        <f aca="false">+APRESENTACAO!G21</f>
        <v>0</v>
      </c>
      <c r="D6" s="658"/>
    </row>
    <row r="7" s="498" customFormat="true" ht="12.75" hidden="false" customHeight="true" outlineLevel="0" collapsed="false">
      <c r="A7" s="654" t="n">
        <v>4</v>
      </c>
      <c r="B7" s="655" t="s">
        <v>381</v>
      </c>
      <c r="C7" s="659" t="s">
        <v>382</v>
      </c>
      <c r="D7" s="659"/>
    </row>
    <row r="8" s="498" customFormat="true" ht="12.75" hidden="false" customHeight="false" outlineLevel="0" collapsed="false">
      <c r="A8" s="654" t="n">
        <v>5</v>
      </c>
      <c r="B8" s="655" t="s">
        <v>383</v>
      </c>
      <c r="C8" s="660" t="n">
        <v>43524</v>
      </c>
      <c r="D8" s="660"/>
    </row>
    <row r="9" customFormat="false" ht="12.75" hidden="false" customHeight="false" outlineLevel="0" collapsed="false">
      <c r="D9" s="623"/>
    </row>
    <row r="10" customFormat="false" ht="12.75" hidden="false" customHeight="false" outlineLevel="0" collapsed="false">
      <c r="A10" s="505" t="s">
        <v>384</v>
      </c>
      <c r="B10" s="505"/>
      <c r="C10" s="505"/>
      <c r="D10" s="505"/>
    </row>
    <row r="11" customFormat="false" ht="12.75" hidden="false" customHeight="false" outlineLevel="0" collapsed="false">
      <c r="A11" s="506" t="n">
        <v>1</v>
      </c>
      <c r="B11" s="507" t="s">
        <v>385</v>
      </c>
      <c r="C11" s="492" t="s">
        <v>386</v>
      </c>
      <c r="D11" s="508" t="s">
        <v>387</v>
      </c>
    </row>
    <row r="12" customFormat="false" ht="12.75" hidden="false" customHeight="false" outlineLevel="0" collapsed="false">
      <c r="A12" s="509" t="s">
        <v>15</v>
      </c>
      <c r="B12" s="509" t="s">
        <v>388</v>
      </c>
      <c r="C12" s="509"/>
      <c r="D12" s="510" t="n">
        <f aca="false">+C6</f>
        <v>0</v>
      </c>
    </row>
    <row r="13" customFormat="false" ht="12.75" hidden="false" customHeight="false" outlineLevel="0" collapsed="false">
      <c r="A13" s="509" t="s">
        <v>17</v>
      </c>
      <c r="B13" s="511" t="s">
        <v>389</v>
      </c>
      <c r="C13" s="512"/>
      <c r="D13" s="510"/>
      <c r="E13" s="513"/>
    </row>
    <row r="14" customFormat="false" ht="12.75" hidden="false" customHeight="false" outlineLevel="0" collapsed="false">
      <c r="A14" s="509" t="s">
        <v>20</v>
      </c>
      <c r="B14" s="511" t="s">
        <v>390</v>
      </c>
      <c r="C14" s="512"/>
      <c r="D14" s="510" t="n">
        <f aca="false">+C14*D12</f>
        <v>0</v>
      </c>
    </row>
    <row r="15" customFormat="false" ht="12.75" hidden="false" customHeight="false" outlineLevel="0" collapsed="false">
      <c r="A15" s="509" t="s">
        <v>22</v>
      </c>
      <c r="B15" s="509" t="s">
        <v>391</v>
      </c>
      <c r="C15" s="509"/>
      <c r="D15" s="510"/>
    </row>
    <row r="16" customFormat="false" ht="12.75" hidden="false" customHeight="false" outlineLevel="0" collapsed="false">
      <c r="A16" s="509" t="s">
        <v>392</v>
      </c>
      <c r="B16" s="509" t="s">
        <v>393</v>
      </c>
      <c r="C16" s="509"/>
      <c r="D16" s="510"/>
    </row>
    <row r="17" customFormat="false" ht="12.75" hidden="false" customHeight="false" outlineLevel="0" collapsed="false">
      <c r="A17" s="509" t="s">
        <v>394</v>
      </c>
      <c r="B17" s="509" t="s">
        <v>395</v>
      </c>
      <c r="C17" s="509"/>
      <c r="D17" s="510"/>
    </row>
    <row r="18" customFormat="false" ht="12.75" hidden="false" customHeight="false" outlineLevel="0" collapsed="false">
      <c r="A18" s="509" t="s">
        <v>396</v>
      </c>
      <c r="B18" s="509" t="s">
        <v>397</v>
      </c>
      <c r="C18" s="509"/>
      <c r="D18" s="510"/>
    </row>
    <row r="19" customFormat="false" ht="12.75" hidden="false" customHeight="false" outlineLevel="0" collapsed="false">
      <c r="A19" s="509" t="s">
        <v>398</v>
      </c>
      <c r="B19" s="509" t="s">
        <v>399</v>
      </c>
      <c r="C19" s="509"/>
      <c r="D19" s="514"/>
    </row>
    <row r="20" customFormat="false" ht="12.75" hidden="false" customHeight="false" outlineLevel="0" collapsed="false">
      <c r="A20" s="509" t="s">
        <v>400</v>
      </c>
      <c r="B20" s="511" t="s">
        <v>401</v>
      </c>
      <c r="C20" s="512"/>
      <c r="D20" s="510"/>
    </row>
    <row r="21" customFormat="false" ht="12.75" hidden="false" customHeight="false" outlineLevel="0" collapsed="false">
      <c r="A21" s="509" t="s">
        <v>402</v>
      </c>
      <c r="B21" s="509" t="s">
        <v>403</v>
      </c>
      <c r="C21" s="509"/>
      <c r="D21" s="515"/>
      <c r="F21" s="516"/>
    </row>
    <row r="22" customFormat="false" ht="12.75" hidden="false" customHeight="false" outlineLevel="0" collapsed="false">
      <c r="A22" s="509" t="s">
        <v>404</v>
      </c>
      <c r="B22" s="509" t="s">
        <v>405</v>
      </c>
      <c r="C22" s="509"/>
      <c r="D22" s="515"/>
    </row>
    <row r="23" customFormat="false" ht="12.75" hidden="false" customHeight="false" outlineLevel="0" collapsed="false">
      <c r="A23" s="494" t="s">
        <v>406</v>
      </c>
      <c r="B23" s="494"/>
      <c r="C23" s="494"/>
      <c r="D23" s="517" t="n">
        <f aca="false">SUM(D12:D22)</f>
        <v>0</v>
      </c>
    </row>
    <row r="25" customFormat="false" ht="12.75" hidden="false" customHeight="false" outlineLevel="0" collapsed="false">
      <c r="A25" s="505" t="s">
        <v>407</v>
      </c>
      <c r="B25" s="505"/>
      <c r="C25" s="505"/>
      <c r="D25" s="505"/>
    </row>
    <row r="27" customFormat="false" ht="12.75" hidden="false" customHeight="false" outlineLevel="0" collapsed="false">
      <c r="A27" s="505" t="s">
        <v>408</v>
      </c>
      <c r="B27" s="505"/>
      <c r="C27" s="505"/>
      <c r="D27" s="505"/>
    </row>
    <row r="28" customFormat="false" ht="12.75" hidden="false" customHeight="false" outlineLevel="0" collapsed="false">
      <c r="A28" s="518" t="s">
        <v>409</v>
      </c>
      <c r="B28" s="519" t="s">
        <v>410</v>
      </c>
      <c r="C28" s="520" t="s">
        <v>386</v>
      </c>
      <c r="D28" s="521" t="s">
        <v>387</v>
      </c>
    </row>
    <row r="29" customFormat="false" ht="12.75" hidden="false" customHeight="false" outlineLevel="0" collapsed="false">
      <c r="A29" s="509" t="s">
        <v>15</v>
      </c>
      <c r="B29" s="522" t="s">
        <v>411</v>
      </c>
      <c r="C29" s="523" t="e">
        <f aca="false">ROUND(+D29/$D$23,4)</f>
        <v>#DIV/0!</v>
      </c>
      <c r="D29" s="515" t="n">
        <f aca="false">ROUND(+D23/12,2)</f>
        <v>0</v>
      </c>
    </row>
    <row r="30" customFormat="false" ht="12.75" hidden="false" customHeight="false" outlineLevel="0" collapsed="false">
      <c r="A30" s="524" t="s">
        <v>17</v>
      </c>
      <c r="B30" s="525" t="s">
        <v>412</v>
      </c>
      <c r="C30" s="526" t="e">
        <f aca="false">ROUND(+D30/$D$23,4)</f>
        <v>#DIV/0!</v>
      </c>
      <c r="D30" s="527" t="n">
        <f aca="false">+D31+D32</f>
        <v>0</v>
      </c>
    </row>
    <row r="31" customFormat="false" ht="12.75" hidden="false" customHeight="false" outlineLevel="0" collapsed="false">
      <c r="A31" s="509" t="s">
        <v>77</v>
      </c>
      <c r="B31" s="528" t="s">
        <v>413</v>
      </c>
      <c r="C31" s="529" t="e">
        <f aca="false">ROUND(+D31/$D$23,4)</f>
        <v>#DIV/0!</v>
      </c>
      <c r="D31" s="530" t="n">
        <f aca="false">ROUND(+D23/12,2)</f>
        <v>0</v>
      </c>
    </row>
    <row r="32" customFormat="false" ht="12.75" hidden="false" customHeight="false" outlineLevel="0" collapsed="false">
      <c r="A32" s="509" t="s">
        <v>91</v>
      </c>
      <c r="B32" s="528" t="s">
        <v>414</v>
      </c>
      <c r="C32" s="529" t="e">
        <f aca="false">ROUND(+D32/$D$23,4)</f>
        <v>#DIV/0!</v>
      </c>
      <c r="D32" s="530" t="n">
        <f aca="false">ROUND(+(D23*1/3)/12,2)</f>
        <v>0</v>
      </c>
    </row>
    <row r="33" customFormat="false" ht="12.75" hidden="false" customHeight="false" outlineLevel="0" collapsed="false">
      <c r="A33" s="494" t="s">
        <v>406</v>
      </c>
      <c r="B33" s="494"/>
      <c r="C33" s="494"/>
      <c r="D33" s="517" t="n">
        <f aca="false">+D30+D29</f>
        <v>0</v>
      </c>
    </row>
    <row r="35" customFormat="false" ht="12.75" hidden="false" customHeight="true" outlineLevel="0" collapsed="false">
      <c r="A35" s="531" t="s">
        <v>415</v>
      </c>
      <c r="B35" s="531"/>
      <c r="C35" s="531"/>
      <c r="D35" s="531"/>
    </row>
    <row r="36" customFormat="false" ht="12.75" hidden="false" customHeight="false" outlineLevel="0" collapsed="false">
      <c r="A36" s="518" t="s">
        <v>416</v>
      </c>
      <c r="B36" s="532" t="s">
        <v>417</v>
      </c>
      <c r="C36" s="520" t="s">
        <v>386</v>
      </c>
      <c r="D36" s="521" t="s">
        <v>387</v>
      </c>
    </row>
    <row r="37" customFormat="false" ht="12.75" hidden="false" customHeight="false" outlineLevel="0" collapsed="false">
      <c r="A37" s="509" t="s">
        <v>15</v>
      </c>
      <c r="B37" s="522" t="s">
        <v>418</v>
      </c>
      <c r="C37" s="533" t="n">
        <v>0.2</v>
      </c>
      <c r="D37" s="534" t="n">
        <f aca="false">ROUND(C37*($D$23+$D$33),2)</f>
        <v>0</v>
      </c>
    </row>
    <row r="38" customFormat="false" ht="12.75" hidden="false" customHeight="false" outlineLevel="0" collapsed="false">
      <c r="A38" s="509" t="s">
        <v>17</v>
      </c>
      <c r="B38" s="522" t="s">
        <v>419</v>
      </c>
      <c r="C38" s="533" t="n">
        <v>0.025</v>
      </c>
      <c r="D38" s="534" t="n">
        <f aca="false">ROUND(C38*($D$23+$D$33),2)</f>
        <v>0</v>
      </c>
    </row>
    <row r="39" customFormat="false" ht="12.75" hidden="false" customHeight="false" outlineLevel="0" collapsed="false">
      <c r="A39" s="509" t="s">
        <v>20</v>
      </c>
      <c r="B39" s="522" t="s">
        <v>420</v>
      </c>
      <c r="C39" s="533" t="n">
        <f aca="false">3%</f>
        <v>0.03</v>
      </c>
      <c r="D39" s="534" t="n">
        <f aca="false">ROUND(C39*($D$23+$D$33),2)</f>
        <v>0</v>
      </c>
    </row>
    <row r="40" customFormat="false" ht="12.75" hidden="false" customHeight="false" outlineLevel="0" collapsed="false">
      <c r="A40" s="509" t="s">
        <v>22</v>
      </c>
      <c r="B40" s="522" t="s">
        <v>421</v>
      </c>
      <c r="C40" s="533" t="n">
        <v>0.015</v>
      </c>
      <c r="D40" s="534" t="n">
        <f aca="false">ROUND(C40*($D$23+$D$33),2)</f>
        <v>0</v>
      </c>
    </row>
    <row r="41" customFormat="false" ht="12.75" hidden="false" customHeight="false" outlineLevel="0" collapsed="false">
      <c r="A41" s="509" t="s">
        <v>392</v>
      </c>
      <c r="B41" s="522" t="s">
        <v>422</v>
      </c>
      <c r="C41" s="533" t="n">
        <v>0.01</v>
      </c>
      <c r="D41" s="534" t="n">
        <f aca="false">ROUND(C41*($D$23+$D$33),2)</f>
        <v>0</v>
      </c>
    </row>
    <row r="42" customFormat="false" ht="12.75" hidden="false" customHeight="false" outlineLevel="0" collapsed="false">
      <c r="A42" s="509" t="s">
        <v>394</v>
      </c>
      <c r="B42" s="522" t="s">
        <v>423</v>
      </c>
      <c r="C42" s="533" t="n">
        <v>0.006</v>
      </c>
      <c r="D42" s="534" t="n">
        <f aca="false">ROUND(C42*($D$23+$D$33),2)</f>
        <v>0</v>
      </c>
    </row>
    <row r="43" customFormat="false" ht="12.75" hidden="false" customHeight="false" outlineLevel="0" collapsed="false">
      <c r="A43" s="509" t="s">
        <v>396</v>
      </c>
      <c r="B43" s="522" t="s">
        <v>424</v>
      </c>
      <c r="C43" s="533" t="n">
        <v>0.002</v>
      </c>
      <c r="D43" s="534" t="n">
        <f aca="false">ROUND(C43*($D$23+$D$33),2)</f>
        <v>0</v>
      </c>
    </row>
    <row r="44" customFormat="false" ht="12.75" hidden="false" customHeight="false" outlineLevel="0" collapsed="false">
      <c r="A44" s="509" t="s">
        <v>398</v>
      </c>
      <c r="B44" s="522" t="s">
        <v>425</v>
      </c>
      <c r="C44" s="533" t="n">
        <v>0.08</v>
      </c>
      <c r="D44" s="534" t="n">
        <f aca="false">ROUND(C44*($D$23+$D$33),2)</f>
        <v>0</v>
      </c>
    </row>
    <row r="45" customFormat="false" ht="12.75" hidden="false" customHeight="false" outlineLevel="0" collapsed="false">
      <c r="A45" s="535" t="s">
        <v>406</v>
      </c>
      <c r="B45" s="536"/>
      <c r="C45" s="537" t="n">
        <f aca="false">SUM(C37:C44)</f>
        <v>0.368</v>
      </c>
      <c r="D45" s="538" t="n">
        <f aca="false">SUM(D37:D44)</f>
        <v>0</v>
      </c>
    </row>
    <row r="46" customFormat="false" ht="12.75" hidden="false" customHeight="false" outlineLevel="0" collapsed="false">
      <c r="A46" s="539"/>
      <c r="B46" s="539"/>
      <c r="C46" s="539"/>
      <c r="D46" s="539"/>
    </row>
    <row r="47" customFormat="false" ht="12.75" hidden="false" customHeight="true" outlineLevel="0" collapsed="false">
      <c r="A47" s="531" t="s">
        <v>426</v>
      </c>
      <c r="B47" s="531"/>
      <c r="C47" s="531"/>
      <c r="D47" s="531"/>
    </row>
    <row r="48" customFormat="false" ht="12.75" hidden="false" customHeight="false" outlineLevel="0" collapsed="false">
      <c r="A48" s="518" t="s">
        <v>427</v>
      </c>
      <c r="B48" s="532" t="s">
        <v>428</v>
      </c>
      <c r="C48" s="520"/>
      <c r="D48" s="521" t="s">
        <v>387</v>
      </c>
    </row>
    <row r="49" customFormat="false" ht="12.75" hidden="false" customHeight="false" outlineLevel="0" collapsed="false">
      <c r="A49" s="540" t="s">
        <v>15</v>
      </c>
      <c r="B49" s="522" t="s">
        <v>429</v>
      </c>
      <c r="C49" s="541"/>
      <c r="D49" s="534" t="n">
        <f aca="false">+Mem_Cal_Serv_44_seg_a_sab!C16</f>
        <v>0</v>
      </c>
    </row>
    <row r="50" s="46" customFormat="true" ht="12.75" hidden="false" customHeight="false" outlineLevel="0" collapsed="false">
      <c r="A50" s="542" t="s">
        <v>52</v>
      </c>
      <c r="B50" s="543" t="s">
        <v>336</v>
      </c>
      <c r="C50" s="523" t="n">
        <f aca="false">+$C$131+$C$132</f>
        <v>0.0925</v>
      </c>
      <c r="D50" s="544" t="n">
        <f aca="false">+(C50*D49)*-1</f>
        <v>0</v>
      </c>
    </row>
    <row r="51" customFormat="false" ht="12.75" hidden="false" customHeight="false" outlineLevel="0" collapsed="false">
      <c r="A51" s="540" t="s">
        <v>17</v>
      </c>
      <c r="B51" s="522" t="s">
        <v>430</v>
      </c>
      <c r="C51" s="541"/>
      <c r="D51" s="534" t="n">
        <f aca="false">+Mem_Cal_Serv_44_seg_a_sab!C25</f>
        <v>0</v>
      </c>
    </row>
    <row r="52" s="46" customFormat="true" ht="12.75" hidden="false" customHeight="false" outlineLevel="0" collapsed="false">
      <c r="A52" s="542" t="s">
        <v>77</v>
      </c>
      <c r="B52" s="543" t="s">
        <v>336</v>
      </c>
      <c r="C52" s="523" t="n">
        <f aca="false">+$C$131+$C$132</f>
        <v>0.0925</v>
      </c>
      <c r="D52" s="544" t="n">
        <f aca="false">+(C52*D51)*-1</f>
        <v>0</v>
      </c>
      <c r="F52" s="545"/>
    </row>
    <row r="53" customFormat="false" ht="12.75" hidden="false" customHeight="false" outlineLevel="0" collapsed="false">
      <c r="A53" s="546" t="s">
        <v>20</v>
      </c>
      <c r="B53" s="546" t="s">
        <v>431</v>
      </c>
      <c r="C53" s="541"/>
      <c r="D53" s="547"/>
    </row>
    <row r="54" customFormat="false" ht="12.75" hidden="false" customHeight="false" outlineLevel="0" collapsed="false">
      <c r="A54" s="546" t="s">
        <v>22</v>
      </c>
      <c r="B54" s="548" t="s">
        <v>432</v>
      </c>
      <c r="C54" s="541"/>
      <c r="D54" s="547"/>
    </row>
    <row r="55" customFormat="false" ht="25.5" hidden="false" customHeight="false" outlineLevel="0" collapsed="false">
      <c r="A55" s="546" t="s">
        <v>392</v>
      </c>
      <c r="B55" s="549" t="s">
        <v>433</v>
      </c>
      <c r="C55" s="541"/>
      <c r="D55" s="550"/>
      <c r="F55" s="551"/>
    </row>
    <row r="56" customFormat="false" ht="12.75" hidden="false" customHeight="false" outlineLevel="0" collapsed="false">
      <c r="A56" s="546" t="s">
        <v>394</v>
      </c>
      <c r="B56" s="552" t="s">
        <v>434</v>
      </c>
      <c r="C56" s="541"/>
      <c r="D56" s="553"/>
    </row>
    <row r="57" customFormat="false" ht="12.75" hidden="false" customHeight="false" outlineLevel="0" collapsed="false">
      <c r="A57" s="494" t="s">
        <v>406</v>
      </c>
      <c r="B57" s="494"/>
      <c r="C57" s="554"/>
      <c r="D57" s="555" t="n">
        <f aca="false">SUM(D49:D56)</f>
        <v>0</v>
      </c>
    </row>
    <row r="59" customFormat="false" ht="12.75" hidden="false" customHeight="false" outlineLevel="0" collapsed="false">
      <c r="A59" s="505" t="s">
        <v>435</v>
      </c>
      <c r="B59" s="505"/>
      <c r="C59" s="505"/>
      <c r="D59" s="505"/>
    </row>
    <row r="60" customFormat="false" ht="12.75" hidden="false" customHeight="false" outlineLevel="0" collapsed="false">
      <c r="A60" s="556" t="n">
        <v>2</v>
      </c>
      <c r="B60" s="557" t="s">
        <v>436</v>
      </c>
      <c r="C60" s="557"/>
      <c r="D60" s="558" t="s">
        <v>387</v>
      </c>
    </row>
    <row r="61" customFormat="false" ht="12.75" hidden="false" customHeight="false" outlineLevel="0" collapsed="false">
      <c r="A61" s="543" t="s">
        <v>409</v>
      </c>
      <c r="B61" s="559" t="s">
        <v>410</v>
      </c>
      <c r="C61" s="559"/>
      <c r="D61" s="534" t="n">
        <f aca="false">+D33</f>
        <v>0</v>
      </c>
    </row>
    <row r="62" customFormat="false" ht="12.75" hidden="false" customHeight="false" outlineLevel="0" collapsed="false">
      <c r="A62" s="543" t="s">
        <v>416</v>
      </c>
      <c r="B62" s="559" t="s">
        <v>417</v>
      </c>
      <c r="C62" s="559"/>
      <c r="D62" s="534" t="n">
        <f aca="false">+D45</f>
        <v>0</v>
      </c>
    </row>
    <row r="63" customFormat="false" ht="12.75" hidden="false" customHeight="false" outlineLevel="0" collapsed="false">
      <c r="A63" s="543" t="s">
        <v>427</v>
      </c>
      <c r="B63" s="559" t="s">
        <v>428</v>
      </c>
      <c r="C63" s="559"/>
      <c r="D63" s="560" t="n">
        <f aca="false">+D57</f>
        <v>0</v>
      </c>
    </row>
    <row r="64" customFormat="false" ht="12.75" hidden="false" customHeight="false" outlineLevel="0" collapsed="false">
      <c r="A64" s="557" t="s">
        <v>406</v>
      </c>
      <c r="B64" s="557"/>
      <c r="C64" s="557"/>
      <c r="D64" s="561" t="n">
        <f aca="false">SUM(D61:D63)</f>
        <v>0</v>
      </c>
    </row>
    <row r="66" customFormat="false" ht="12.75" hidden="false" customHeight="false" outlineLevel="0" collapsed="false">
      <c r="A66" s="505" t="s">
        <v>437</v>
      </c>
      <c r="B66" s="505"/>
      <c r="C66" s="505"/>
      <c r="D66" s="505"/>
    </row>
    <row r="68" customFormat="false" ht="12.75" hidden="false" customHeight="false" outlineLevel="0" collapsed="false">
      <c r="A68" s="562" t="n">
        <v>3</v>
      </c>
      <c r="B68" s="519" t="s">
        <v>438</v>
      </c>
      <c r="C68" s="492" t="s">
        <v>386</v>
      </c>
      <c r="D68" s="492" t="s">
        <v>387</v>
      </c>
    </row>
    <row r="69" customFormat="false" ht="12.75" hidden="false" customHeight="false" outlineLevel="0" collapsed="false">
      <c r="A69" s="509" t="s">
        <v>15</v>
      </c>
      <c r="B69" s="543" t="s">
        <v>439</v>
      </c>
      <c r="C69" s="523" t="e">
        <f aca="false">+D69/$D$23</f>
        <v>#DIV/0!</v>
      </c>
      <c r="D69" s="563" t="n">
        <f aca="false">+Mem_Cal_Serv_44_seg_a_sab!C31</f>
        <v>0</v>
      </c>
    </row>
    <row r="70" customFormat="false" ht="12.75" hidden="false" customHeight="false" outlineLevel="0" collapsed="false">
      <c r="A70" s="509" t="s">
        <v>17</v>
      </c>
      <c r="B70" s="522" t="s">
        <v>440</v>
      </c>
      <c r="C70" s="564"/>
      <c r="D70" s="515" t="n">
        <f aca="false">ROUND(+D69*$C$44,2)</f>
        <v>0</v>
      </c>
    </row>
    <row r="71" customFormat="false" ht="25.5" hidden="false" customHeight="false" outlineLevel="0" collapsed="false">
      <c r="A71" s="509" t="s">
        <v>20</v>
      </c>
      <c r="B71" s="565" t="s">
        <v>441</v>
      </c>
      <c r="C71" s="533" t="e">
        <f aca="false">+D71/$D$23</f>
        <v>#DIV/0!</v>
      </c>
      <c r="D71" s="515" t="n">
        <f aca="false">+Mem_Cal_Serv_44_seg_a_sab!C43</f>
        <v>0</v>
      </c>
    </row>
    <row r="72" customFormat="false" ht="12.75" hidden="false" customHeight="false" outlineLevel="0" collapsed="false">
      <c r="A72" s="559" t="s">
        <v>22</v>
      </c>
      <c r="B72" s="522" t="s">
        <v>442</v>
      </c>
      <c r="C72" s="533" t="e">
        <f aca="false">+D72/$D$23</f>
        <v>#DIV/0!</v>
      </c>
      <c r="D72" s="515" t="n">
        <f aca="false">+Mem_Cal_Serv_44_seg_a_sab!C51</f>
        <v>0</v>
      </c>
    </row>
    <row r="73" customFormat="false" ht="25.5" hidden="false" customHeight="false" outlineLevel="0" collapsed="false">
      <c r="A73" s="559" t="s">
        <v>392</v>
      </c>
      <c r="B73" s="565" t="s">
        <v>443</v>
      </c>
      <c r="C73" s="564"/>
      <c r="D73" s="566"/>
    </row>
    <row r="74" customFormat="false" ht="25.5" hidden="false" customHeight="false" outlineLevel="0" collapsed="false">
      <c r="A74" s="559" t="s">
        <v>394</v>
      </c>
      <c r="B74" s="565" t="s">
        <v>444</v>
      </c>
      <c r="C74" s="533" t="e">
        <f aca="false">+D74/$D$23</f>
        <v>#DIV/0!</v>
      </c>
      <c r="D74" s="534" t="n">
        <f aca="false">+Mem_Cal_Serv_44_seg_a_sab!C63</f>
        <v>0</v>
      </c>
    </row>
    <row r="75" customFormat="false" ht="12.75" hidden="false" customHeight="false" outlineLevel="0" collapsed="false">
      <c r="A75" s="494" t="s">
        <v>406</v>
      </c>
      <c r="B75" s="494"/>
      <c r="C75" s="494"/>
      <c r="D75" s="567" t="n">
        <f aca="false">SUM(D69:D74)</f>
        <v>0</v>
      </c>
    </row>
    <row r="77" customFormat="false" ht="12.75" hidden="false" customHeight="false" outlineLevel="0" collapsed="false">
      <c r="A77" s="505" t="s">
        <v>445</v>
      </c>
      <c r="B77" s="505"/>
      <c r="C77" s="505"/>
      <c r="D77" s="505"/>
    </row>
    <row r="79" customFormat="false" ht="12.75" hidden="false" customHeight="true" outlineLevel="0" collapsed="false">
      <c r="A79" s="568" t="s">
        <v>446</v>
      </c>
      <c r="B79" s="568"/>
      <c r="C79" s="568"/>
      <c r="D79" s="568"/>
    </row>
    <row r="80" customFormat="false" ht="12.75" hidden="false" customHeight="false" outlineLevel="0" collapsed="false">
      <c r="A80" s="562" t="s">
        <v>447</v>
      </c>
      <c r="B80" s="494" t="s">
        <v>448</v>
      </c>
      <c r="C80" s="494"/>
      <c r="D80" s="492" t="s">
        <v>387</v>
      </c>
    </row>
    <row r="81" customFormat="false" ht="12.75" hidden="false" customHeight="false" outlineLevel="0" collapsed="false">
      <c r="A81" s="522" t="s">
        <v>15</v>
      </c>
      <c r="B81" s="305" t="s">
        <v>449</v>
      </c>
      <c r="C81" s="305"/>
      <c r="D81" s="515"/>
    </row>
    <row r="82" customFormat="false" ht="12.75" hidden="false" customHeight="false" outlineLevel="0" collapsed="false">
      <c r="A82" s="543" t="s">
        <v>17</v>
      </c>
      <c r="B82" s="569" t="s">
        <v>448</v>
      </c>
      <c r="C82" s="569"/>
      <c r="D82" s="570" t="n">
        <f aca="false">+Mem_Cal_Serv_44_seg_a_sab!C76</f>
        <v>0</v>
      </c>
    </row>
    <row r="83" s="46" customFormat="true" ht="12.75" hidden="false" customHeight="false" outlineLevel="0" collapsed="false">
      <c r="A83" s="543" t="s">
        <v>20</v>
      </c>
      <c r="B83" s="569" t="s">
        <v>450</v>
      </c>
      <c r="C83" s="569"/>
      <c r="D83" s="570" t="n">
        <f aca="false">+Mem_Cal_Serv_44_seg_a_sab!C85</f>
        <v>0</v>
      </c>
    </row>
    <row r="84" s="46" customFormat="true" ht="12.75" hidden="false" customHeight="false" outlineLevel="0" collapsed="false">
      <c r="A84" s="543" t="s">
        <v>22</v>
      </c>
      <c r="B84" s="569" t="s">
        <v>451</v>
      </c>
      <c r="C84" s="569"/>
      <c r="D84" s="570" t="n">
        <f aca="false">+Mem_Cal_Serv_44_seg_a_sab!C93</f>
        <v>0</v>
      </c>
    </row>
    <row r="85" s="46" customFormat="true" ht="14.25" hidden="false" customHeight="false" outlineLevel="0" collapsed="false">
      <c r="A85" s="543" t="s">
        <v>392</v>
      </c>
      <c r="B85" s="569" t="s">
        <v>452</v>
      </c>
      <c r="C85" s="569"/>
      <c r="D85" s="570"/>
    </row>
    <row r="86" s="46" customFormat="true" ht="12.75" hidden="false" customHeight="false" outlineLevel="0" collapsed="false">
      <c r="A86" s="543" t="s">
        <v>394</v>
      </c>
      <c r="B86" s="569" t="s">
        <v>453</v>
      </c>
      <c r="C86" s="569"/>
      <c r="D86" s="570" t="n">
        <f aca="false">+Mem_Cal_Serv_44_seg_a_sab!C101</f>
        <v>0</v>
      </c>
    </row>
    <row r="87" customFormat="false" ht="12.75" hidden="false" customHeight="false" outlineLevel="0" collapsed="false">
      <c r="A87" s="522" t="s">
        <v>396</v>
      </c>
      <c r="B87" s="305" t="s">
        <v>405</v>
      </c>
      <c r="C87" s="305"/>
      <c r="D87" s="515"/>
    </row>
    <row r="88" customFormat="false" ht="12.75" hidden="false" customHeight="false" outlineLevel="0" collapsed="false">
      <c r="A88" s="522" t="s">
        <v>398</v>
      </c>
      <c r="B88" s="305" t="s">
        <v>454</v>
      </c>
      <c r="C88" s="305"/>
      <c r="D88" s="566"/>
    </row>
    <row r="89" customFormat="false" ht="12.75" hidden="false" customHeight="false" outlineLevel="0" collapsed="false">
      <c r="A89" s="494" t="s">
        <v>406</v>
      </c>
      <c r="B89" s="494"/>
      <c r="C89" s="494"/>
      <c r="D89" s="517" t="n">
        <f aca="false">SUM(D81:D88)</f>
        <v>0</v>
      </c>
    </row>
    <row r="90" customFormat="false" ht="12.75" hidden="false" customHeight="false" outlineLevel="0" collapsed="false">
      <c r="D90" s="571"/>
    </row>
    <row r="91" customFormat="false" ht="12.75" hidden="false" customHeight="false" outlineLevel="0" collapsed="false">
      <c r="A91" s="562" t="s">
        <v>455</v>
      </c>
      <c r="B91" s="494" t="s">
        <v>456</v>
      </c>
      <c r="C91" s="494"/>
      <c r="D91" s="492" t="s">
        <v>387</v>
      </c>
    </row>
    <row r="92" s="46" customFormat="true" ht="12.75" hidden="false" customHeight="false" outlineLevel="0" collapsed="false">
      <c r="A92" s="543" t="s">
        <v>15</v>
      </c>
      <c r="B92" s="559" t="s">
        <v>457</v>
      </c>
      <c r="C92" s="559"/>
      <c r="D92" s="570" t="n">
        <f aca="false">+Mem_Cal_Serv_44_seg_a_sab!C112</f>
        <v>0</v>
      </c>
    </row>
    <row r="93" s="46" customFormat="true" ht="36.75" hidden="false" customHeight="true" outlineLevel="0" collapsed="false">
      <c r="A93" s="543" t="s">
        <v>17</v>
      </c>
      <c r="B93" s="572" t="s">
        <v>458</v>
      </c>
      <c r="C93" s="572"/>
      <c r="D93" s="566"/>
    </row>
    <row r="94" s="46" customFormat="true" ht="28.5" hidden="false" customHeight="true" outlineLevel="0" collapsed="false">
      <c r="A94" s="543" t="s">
        <v>20</v>
      </c>
      <c r="B94" s="572" t="s">
        <v>459</v>
      </c>
      <c r="C94" s="572"/>
      <c r="D94" s="566"/>
    </row>
    <row r="95" customFormat="false" ht="12.75" hidden="false" customHeight="false" outlineLevel="0" collapsed="false">
      <c r="A95" s="522" t="s">
        <v>22</v>
      </c>
      <c r="B95" s="305" t="s">
        <v>405</v>
      </c>
      <c r="C95" s="305"/>
      <c r="D95" s="515"/>
    </row>
    <row r="96" customFormat="false" ht="12.75" hidden="false" customHeight="false" outlineLevel="0" collapsed="false">
      <c r="A96" s="494" t="s">
        <v>406</v>
      </c>
      <c r="B96" s="494"/>
      <c r="C96" s="494"/>
      <c r="D96" s="517" t="n">
        <f aca="false">SUM(D92:D95)</f>
        <v>0</v>
      </c>
    </row>
    <row r="97" customFormat="false" ht="12.75" hidden="false" customHeight="false" outlineLevel="0" collapsed="false">
      <c r="D97" s="571"/>
    </row>
    <row r="98" customFormat="false" ht="12.75" hidden="false" customHeight="false" outlineLevel="0" collapsed="false">
      <c r="A98" s="562" t="s">
        <v>460</v>
      </c>
      <c r="B98" s="494" t="s">
        <v>461</v>
      </c>
      <c r="C98" s="494"/>
      <c r="D98" s="492" t="s">
        <v>387</v>
      </c>
    </row>
    <row r="99" s="574" customFormat="true" ht="12.75" hidden="false" customHeight="true" outlineLevel="0" collapsed="false">
      <c r="A99" s="559" t="s">
        <v>15</v>
      </c>
      <c r="B99" s="572" t="s">
        <v>462</v>
      </c>
      <c r="C99" s="572"/>
      <c r="D99" s="573"/>
    </row>
    <row r="100" customFormat="false" ht="12.75" hidden="false" customHeight="false" outlineLevel="0" collapsed="false">
      <c r="A100" s="494" t="s">
        <v>406</v>
      </c>
      <c r="B100" s="494"/>
      <c r="C100" s="494"/>
      <c r="D100" s="517" t="n">
        <f aca="false">SUM(D99:D99)</f>
        <v>0</v>
      </c>
    </row>
    <row r="102" customFormat="false" ht="12.75" hidden="false" customHeight="false" outlineLevel="0" collapsed="false">
      <c r="A102" s="575" t="s">
        <v>463</v>
      </c>
      <c r="B102" s="575"/>
      <c r="C102" s="575"/>
      <c r="D102" s="575"/>
    </row>
    <row r="103" customFormat="false" ht="12.75" hidden="false" customHeight="false" outlineLevel="0" collapsed="false">
      <c r="A103" s="522" t="s">
        <v>447</v>
      </c>
      <c r="B103" s="305" t="s">
        <v>448</v>
      </c>
      <c r="C103" s="305"/>
      <c r="D103" s="534" t="n">
        <f aca="false">+D89</f>
        <v>0</v>
      </c>
    </row>
    <row r="104" customFormat="false" ht="12.75" hidden="false" customHeight="false" outlineLevel="0" collapsed="false">
      <c r="A104" s="522" t="s">
        <v>455</v>
      </c>
      <c r="B104" s="305" t="s">
        <v>456</v>
      </c>
      <c r="C104" s="305"/>
      <c r="D104" s="534" t="n">
        <f aca="false">+D96</f>
        <v>0</v>
      </c>
    </row>
    <row r="105" customFormat="false" ht="12.75" hidden="false" customHeight="false" outlineLevel="0" collapsed="false">
      <c r="A105" s="576"/>
      <c r="B105" s="577" t="s">
        <v>464</v>
      </c>
      <c r="C105" s="577"/>
      <c r="D105" s="578" t="n">
        <f aca="false">+D104+D103</f>
        <v>0</v>
      </c>
    </row>
    <row r="106" customFormat="false" ht="12.75" hidden="false" customHeight="false" outlineLevel="0" collapsed="false">
      <c r="A106" s="522" t="s">
        <v>460</v>
      </c>
      <c r="B106" s="305" t="s">
        <v>461</v>
      </c>
      <c r="C106" s="305"/>
      <c r="D106" s="534" t="n">
        <f aca="false">+D100</f>
        <v>0</v>
      </c>
    </row>
    <row r="107" customFormat="false" ht="12.75" hidden="false" customHeight="false" outlineLevel="0" collapsed="false">
      <c r="A107" s="575" t="s">
        <v>406</v>
      </c>
      <c r="B107" s="575"/>
      <c r="C107" s="575"/>
      <c r="D107" s="579" t="n">
        <f aca="false">+D106+D105</f>
        <v>0</v>
      </c>
    </row>
    <row r="109" customFormat="false" ht="12.75" hidden="false" customHeight="false" outlineLevel="0" collapsed="false">
      <c r="A109" s="505" t="s">
        <v>465</v>
      </c>
      <c r="B109" s="505"/>
      <c r="C109" s="505"/>
      <c r="D109" s="505"/>
    </row>
    <row r="111" customFormat="false" ht="12.75" hidden="false" customHeight="false" outlineLevel="0" collapsed="false">
      <c r="A111" s="562" t="n">
        <v>5</v>
      </c>
      <c r="B111" s="494" t="s">
        <v>466</v>
      </c>
      <c r="C111" s="494"/>
      <c r="D111" s="492" t="s">
        <v>387</v>
      </c>
    </row>
    <row r="112" customFormat="false" ht="12.75" hidden="false" customHeight="false" outlineLevel="0" collapsed="false">
      <c r="A112" s="522" t="s">
        <v>15</v>
      </c>
      <c r="B112" s="509" t="s">
        <v>467</v>
      </c>
      <c r="C112" s="509"/>
      <c r="D112" s="515" t="n">
        <f aca="false">+Uniformes!F8</f>
        <v>0</v>
      </c>
    </row>
    <row r="113" customFormat="false" ht="12.75" hidden="false" customHeight="false" outlineLevel="0" collapsed="false">
      <c r="A113" s="522" t="s">
        <v>52</v>
      </c>
      <c r="B113" s="543" t="s">
        <v>336</v>
      </c>
      <c r="C113" s="523" t="n">
        <f aca="false">+$C$131+$C$132</f>
        <v>0.0925</v>
      </c>
      <c r="D113" s="544" t="n">
        <f aca="false">+(C113*D112)*-1</f>
        <v>0</v>
      </c>
    </row>
    <row r="114" customFormat="false" ht="12.75" hidden="false" customHeight="false" outlineLevel="0" collapsed="false">
      <c r="A114" s="522" t="s">
        <v>17</v>
      </c>
      <c r="B114" s="509" t="s">
        <v>468</v>
      </c>
      <c r="C114" s="509"/>
      <c r="D114" s="515"/>
    </row>
    <row r="115" customFormat="false" ht="12.75" hidden="false" customHeight="false" outlineLevel="0" collapsed="false">
      <c r="A115" s="522" t="s">
        <v>77</v>
      </c>
      <c r="B115" s="543" t="s">
        <v>336</v>
      </c>
      <c r="C115" s="523" t="n">
        <f aca="false">+$C$131+$C$132</f>
        <v>0.0925</v>
      </c>
      <c r="D115" s="544" t="n">
        <f aca="false">+(C115*D114)*-1</f>
        <v>0</v>
      </c>
    </row>
    <row r="116" customFormat="false" ht="12.75" hidden="false" customHeight="false" outlineLevel="0" collapsed="false">
      <c r="A116" s="522" t="s">
        <v>20</v>
      </c>
      <c r="B116" s="509" t="s">
        <v>469</v>
      </c>
      <c r="C116" s="509"/>
      <c r="D116" s="515"/>
    </row>
    <row r="117" customFormat="false" ht="12.75" hidden="false" customHeight="false" outlineLevel="0" collapsed="false">
      <c r="A117" s="522" t="s">
        <v>96</v>
      </c>
      <c r="B117" s="543" t="s">
        <v>336</v>
      </c>
      <c r="C117" s="523" t="n">
        <f aca="false">+$C$131+$C$132</f>
        <v>0.0925</v>
      </c>
      <c r="D117" s="544" t="n">
        <f aca="false">+(C117*D116)*-1</f>
        <v>0</v>
      </c>
    </row>
    <row r="118" customFormat="false" ht="12.75" hidden="false" customHeight="false" outlineLevel="0" collapsed="false">
      <c r="A118" s="522" t="s">
        <v>22</v>
      </c>
      <c r="B118" s="509" t="s">
        <v>405</v>
      </c>
      <c r="C118" s="509"/>
      <c r="D118" s="515"/>
    </row>
    <row r="119" customFormat="false" ht="12.75" hidden="false" customHeight="false" outlineLevel="0" collapsed="false">
      <c r="A119" s="522" t="s">
        <v>470</v>
      </c>
      <c r="B119" s="543" t="s">
        <v>336</v>
      </c>
      <c r="C119" s="523" t="n">
        <f aca="false">+$C$131+$C$132</f>
        <v>0.0925</v>
      </c>
      <c r="D119" s="544" t="n">
        <f aca="false">+(C119*D118)*-1</f>
        <v>0</v>
      </c>
    </row>
    <row r="120" customFormat="false" ht="12.75" hidden="false" customHeight="false" outlineLevel="0" collapsed="false">
      <c r="A120" s="494" t="s">
        <v>406</v>
      </c>
      <c r="B120" s="494"/>
      <c r="C120" s="494"/>
      <c r="D120" s="517" t="n">
        <f aca="false">SUM(D112:D118)</f>
        <v>0</v>
      </c>
    </row>
    <row r="122" customFormat="false" ht="12.75" hidden="false" customHeight="false" outlineLevel="0" collapsed="false">
      <c r="A122" s="505" t="s">
        <v>471</v>
      </c>
      <c r="B122" s="505"/>
      <c r="C122" s="505"/>
      <c r="D122" s="505"/>
    </row>
    <row r="124" customFormat="false" ht="12.75" hidden="false" customHeight="false" outlineLevel="0" collapsed="false">
      <c r="A124" s="562" t="n">
        <v>6</v>
      </c>
      <c r="B124" s="519" t="s">
        <v>472</v>
      </c>
      <c r="C124" s="580" t="s">
        <v>386</v>
      </c>
      <c r="D124" s="492" t="s">
        <v>387</v>
      </c>
    </row>
    <row r="125" customFormat="false" ht="12.75" hidden="false" customHeight="false" outlineLevel="0" collapsed="false">
      <c r="A125" s="522" t="s">
        <v>15</v>
      </c>
      <c r="B125" s="522" t="s">
        <v>328</v>
      </c>
      <c r="C125" s="533" t="n">
        <v>0.03</v>
      </c>
      <c r="D125" s="581" t="n">
        <f aca="false">($D$120+$D$107+$D$75+$D$64+$D$23)*C125</f>
        <v>0</v>
      </c>
    </row>
    <row r="126" customFormat="false" ht="12.75" hidden="false" customHeight="false" outlineLevel="0" collapsed="false">
      <c r="A126" s="522" t="s">
        <v>17</v>
      </c>
      <c r="B126" s="522" t="s">
        <v>329</v>
      </c>
      <c r="C126" s="533" t="n">
        <v>0.03</v>
      </c>
      <c r="D126" s="581" t="n">
        <f aca="false">($D$120+$D$107+$D$75+$D$64+$D$23+D125)*C126</f>
        <v>0</v>
      </c>
    </row>
    <row r="127" s="584" customFormat="true" ht="12.75" hidden="false" customHeight="false" outlineLevel="0" collapsed="false">
      <c r="A127" s="582" t="s">
        <v>473</v>
      </c>
      <c r="B127" s="582"/>
      <c r="C127" s="582"/>
      <c r="D127" s="661" t="n">
        <f aca="false">++D126+D125+D120+D107+D75+D64+D23</f>
        <v>0</v>
      </c>
    </row>
    <row r="128" s="584" customFormat="true" ht="33" hidden="false" customHeight="true" outlineLevel="0" collapsed="false">
      <c r="A128" s="585" t="s">
        <v>474</v>
      </c>
      <c r="B128" s="585"/>
      <c r="C128" s="585"/>
      <c r="D128" s="661" t="n">
        <f aca="false">ROUND(D127/(1-(C131+C132+C134+C136+C137)),2)</f>
        <v>0</v>
      </c>
    </row>
    <row r="129" customFormat="false" ht="12.75" hidden="false" customHeight="false" outlineLevel="0" collapsed="false">
      <c r="A129" s="522" t="s">
        <v>20</v>
      </c>
      <c r="B129" s="522" t="s">
        <v>475</v>
      </c>
      <c r="C129" s="533"/>
      <c r="D129" s="581"/>
    </row>
    <row r="130" customFormat="false" ht="12.75" hidden="false" customHeight="false" outlineLevel="0" collapsed="false">
      <c r="A130" s="522" t="s">
        <v>96</v>
      </c>
      <c r="B130" s="522" t="s">
        <v>476</v>
      </c>
      <c r="C130" s="533"/>
      <c r="D130" s="581"/>
    </row>
    <row r="131" customFormat="false" ht="12.75" hidden="false" customHeight="false" outlineLevel="0" collapsed="false">
      <c r="A131" s="522" t="s">
        <v>477</v>
      </c>
      <c r="B131" s="522" t="s">
        <v>330</v>
      </c>
      <c r="C131" s="533" t="n">
        <v>0.0165</v>
      </c>
      <c r="D131" s="581" t="n">
        <f aca="false">ROUND(C131*$D$128,2)</f>
        <v>0</v>
      </c>
      <c r="G131" s="586"/>
    </row>
    <row r="132" customFormat="false" ht="12.75" hidden="false" customHeight="false" outlineLevel="0" collapsed="false">
      <c r="A132" s="522" t="s">
        <v>478</v>
      </c>
      <c r="B132" s="522" t="s">
        <v>331</v>
      </c>
      <c r="C132" s="533" t="n">
        <v>0.076</v>
      </c>
      <c r="D132" s="581" t="n">
        <f aca="false">ROUND(C132*$D$128,2)</f>
        <v>0</v>
      </c>
      <c r="G132" s="586"/>
    </row>
    <row r="133" customFormat="false" ht="12.75" hidden="false" customHeight="false" outlineLevel="0" collapsed="false">
      <c r="A133" s="522" t="s">
        <v>479</v>
      </c>
      <c r="B133" s="522" t="s">
        <v>480</v>
      </c>
      <c r="C133" s="533"/>
      <c r="D133" s="581"/>
      <c r="G133" s="586"/>
    </row>
    <row r="134" customFormat="false" ht="12.75" hidden="false" customHeight="false" outlineLevel="0" collapsed="false">
      <c r="A134" s="522" t="s">
        <v>481</v>
      </c>
      <c r="B134" s="522" t="s">
        <v>482</v>
      </c>
      <c r="C134" s="533"/>
      <c r="D134" s="581"/>
      <c r="G134" s="586"/>
    </row>
    <row r="135" customFormat="false" ht="12.75" hidden="false" customHeight="false" outlineLevel="0" collapsed="false">
      <c r="A135" s="522" t="s">
        <v>483</v>
      </c>
      <c r="B135" s="522" t="s">
        <v>484</v>
      </c>
      <c r="C135" s="533"/>
      <c r="D135" s="581"/>
    </row>
    <row r="136" customFormat="false" ht="12.75" hidden="false" customHeight="false" outlineLevel="0" collapsed="false">
      <c r="A136" s="522" t="s">
        <v>485</v>
      </c>
      <c r="B136" s="522" t="s">
        <v>332</v>
      </c>
      <c r="C136" s="533" t="n">
        <v>0.05</v>
      </c>
      <c r="D136" s="581" t="n">
        <f aca="false">ROUND(C136*$D$128,2)</f>
        <v>0</v>
      </c>
    </row>
    <row r="137" customFormat="false" ht="12.75" hidden="false" customHeight="false" outlineLevel="0" collapsed="false">
      <c r="A137" s="522" t="s">
        <v>486</v>
      </c>
      <c r="B137" s="522" t="s">
        <v>487</v>
      </c>
      <c r="C137" s="533"/>
      <c r="D137" s="581"/>
    </row>
    <row r="138" customFormat="false" ht="12.75" hidden="false" customHeight="false" outlineLevel="0" collapsed="false">
      <c r="A138" s="522" t="s">
        <v>22</v>
      </c>
      <c r="B138" s="522" t="s">
        <v>488</v>
      </c>
      <c r="C138" s="533"/>
      <c r="D138" s="624"/>
    </row>
    <row r="139" customFormat="false" ht="14.25" hidden="false" customHeight="false" outlineLevel="0" collapsed="false">
      <c r="A139" s="522" t="s">
        <v>489</v>
      </c>
      <c r="B139" s="522" t="s">
        <v>490</v>
      </c>
      <c r="C139" s="533"/>
      <c r="D139" s="624" t="n">
        <f aca="false">+'LOTE_I_-_Custo_M2'!$T$192</f>
        <v>0.33</v>
      </c>
    </row>
    <row r="140" customFormat="false" ht="12.75" hidden="false" customHeight="false" outlineLevel="0" collapsed="false">
      <c r="A140" s="522" t="s">
        <v>491</v>
      </c>
      <c r="B140" s="522" t="s">
        <v>492</v>
      </c>
      <c r="C140" s="533"/>
      <c r="D140" s="624" t="n">
        <f aca="false">+'LOTE_I_-_Custo_M2'!$T$193</f>
        <v>0.88</v>
      </c>
    </row>
    <row r="141" customFormat="false" ht="12.75" hidden="false" customHeight="false" outlineLevel="0" collapsed="false">
      <c r="A141" s="535" t="s">
        <v>406</v>
      </c>
      <c r="B141" s="535"/>
      <c r="C141" s="587" t="n">
        <f aca="false">+C137+C136+C134+C132+C131+C126+C125</f>
        <v>0.2025</v>
      </c>
      <c r="D141" s="588" t="n">
        <f aca="false">+D136+D134+D132+D131+D126+D125+D139+D140</f>
        <v>1.21</v>
      </c>
    </row>
    <row r="143" customFormat="false" ht="12.75" hidden="false" customHeight="false" outlineLevel="0" collapsed="false">
      <c r="A143" s="589" t="s">
        <v>493</v>
      </c>
      <c r="B143" s="589"/>
      <c r="C143" s="589"/>
      <c r="D143" s="589"/>
    </row>
    <row r="144" customFormat="false" ht="12.75" hidden="false" customHeight="false" outlineLevel="0" collapsed="false">
      <c r="A144" s="522" t="s">
        <v>15</v>
      </c>
      <c r="B144" s="305" t="s">
        <v>494</v>
      </c>
      <c r="C144" s="305"/>
      <c r="D144" s="590" t="n">
        <f aca="false">+D23</f>
        <v>0</v>
      </c>
    </row>
    <row r="145" customFormat="false" ht="12.75" hidden="false" customHeight="false" outlineLevel="0" collapsed="false">
      <c r="A145" s="522" t="s">
        <v>495</v>
      </c>
      <c r="B145" s="305" t="s">
        <v>496</v>
      </c>
      <c r="C145" s="305"/>
      <c r="D145" s="590" t="n">
        <f aca="false">+D64</f>
        <v>0</v>
      </c>
    </row>
    <row r="146" customFormat="false" ht="12.75" hidden="false" customHeight="false" outlineLevel="0" collapsed="false">
      <c r="A146" s="522" t="s">
        <v>20</v>
      </c>
      <c r="B146" s="305" t="s">
        <v>497</v>
      </c>
      <c r="C146" s="305"/>
      <c r="D146" s="590" t="n">
        <f aca="false">+D75</f>
        <v>0</v>
      </c>
    </row>
    <row r="147" customFormat="false" ht="12.75" hidden="false" customHeight="false" outlineLevel="0" collapsed="false">
      <c r="A147" s="522" t="s">
        <v>22</v>
      </c>
      <c r="B147" s="305" t="s">
        <v>498</v>
      </c>
      <c r="C147" s="305"/>
      <c r="D147" s="590" t="n">
        <f aca="false">+D107</f>
        <v>0</v>
      </c>
    </row>
    <row r="148" customFormat="false" ht="12.75" hidden="false" customHeight="false" outlineLevel="0" collapsed="false">
      <c r="A148" s="522" t="s">
        <v>392</v>
      </c>
      <c r="B148" s="305" t="s">
        <v>499</v>
      </c>
      <c r="C148" s="305"/>
      <c r="D148" s="590" t="n">
        <f aca="false">+D120</f>
        <v>0</v>
      </c>
    </row>
    <row r="149" customFormat="false" ht="12.75" hidden="false" customHeight="false" outlineLevel="0" collapsed="false">
      <c r="B149" s="591" t="s">
        <v>500</v>
      </c>
      <c r="C149" s="591"/>
      <c r="D149" s="592" t="n">
        <f aca="false">SUM(D144:D148)</f>
        <v>0</v>
      </c>
    </row>
    <row r="150" customFormat="false" ht="12.75" hidden="false" customHeight="false" outlineLevel="0" collapsed="false">
      <c r="A150" s="522" t="s">
        <v>394</v>
      </c>
      <c r="B150" s="305" t="s">
        <v>501</v>
      </c>
      <c r="C150" s="305"/>
      <c r="D150" s="590" t="n">
        <f aca="false">+D141</f>
        <v>1.21</v>
      </c>
    </row>
    <row r="151" customFormat="false" ht="12.75" hidden="false" customHeight="false" outlineLevel="0" collapsed="false">
      <c r="D151" s="593"/>
    </row>
    <row r="152" customFormat="false" ht="12.75" hidden="false" customHeight="false" outlineLevel="0" collapsed="false">
      <c r="A152" s="594" t="s">
        <v>502</v>
      </c>
      <c r="B152" s="594"/>
      <c r="C152" s="594"/>
      <c r="D152" s="595" t="n">
        <f aca="false">ROUND(+D150+D149,2)</f>
        <v>1.21</v>
      </c>
    </row>
    <row r="154" customFormat="false" ht="39" hidden="false" customHeight="true" outlineLevel="0" collapsed="false">
      <c r="A154" s="597" t="s">
        <v>503</v>
      </c>
      <c r="B154" s="597"/>
      <c r="C154" s="597"/>
      <c r="D154" s="597"/>
    </row>
    <row r="155" customFormat="false" ht="14.25" hidden="false" customHeight="false" outlineLevel="0" collapsed="false">
      <c r="A155" s="599" t="s">
        <v>504</v>
      </c>
      <c r="B155" s="599"/>
      <c r="C155" s="599"/>
      <c r="D155" s="599"/>
      <c r="E155" s="598"/>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4:D154"/>
    <mergeCell ref="A155:D155"/>
  </mergeCells>
  <printOptions headings="false" gridLines="false" gridLinesSet="true" horizontalCentered="false" verticalCentered="false"/>
  <pageMargins left="1.22013888888889" right="0.511805555555555" top="0.315277777777778" bottom="0.256944444444444" header="0.315277777777778" footer="0.118055555555556"/>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rowBreaks count="2" manualBreakCount="2">
    <brk id="58" man="true" max="16383" min="0"/>
    <brk id="108" man="true" max="16383" min="0"/>
  </rowBreaks>
</worksheet>
</file>

<file path=xl/worksheets/sheet17.xml><?xml version="1.0" encoding="utf-8"?>
<worksheet xmlns="http://schemas.openxmlformats.org/spreadsheetml/2006/main" xmlns:r="http://schemas.openxmlformats.org/officeDocument/2006/relationships">
  <sheetPr filterMode="false">
    <pageSetUpPr fitToPage="false"/>
  </sheetPr>
  <dimension ref="A1:C124"/>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9.66"/>
    <col collapsed="false" customWidth="true" hidden="false" outlineLevel="0" max="2" min="2" style="44" width="15.53"/>
    <col collapsed="false" customWidth="true" hidden="false" outlineLevel="0" max="3" min="3" style="44" width="13.09"/>
    <col collapsed="false" customWidth="true" hidden="false" outlineLevel="0" max="4" min="4" style="44" width="10.12"/>
    <col collapsed="false" customWidth="true" hidden="false" outlineLevel="0" max="5" min="5" style="44" width="74.65"/>
    <col collapsed="false" customWidth="true" hidden="false" outlineLevel="0" max="1025" min="6" style="44" width="8.64"/>
  </cols>
  <sheetData>
    <row r="1" customFormat="false" ht="12.75" hidden="false" customHeight="false" outlineLevel="0" collapsed="false">
      <c r="A1" s="662" t="s">
        <v>583</v>
      </c>
      <c r="B1" s="662"/>
      <c r="C1" s="662"/>
    </row>
    <row r="3" customFormat="false" ht="12.75" hidden="false" customHeight="false" outlineLevel="0" collapsed="false">
      <c r="A3" s="522" t="s">
        <v>506</v>
      </c>
      <c r="B3" s="522" t="n">
        <v>220</v>
      </c>
    </row>
    <row r="4" customFormat="false" ht="12.75" hidden="false" customHeight="false" outlineLevel="0" collapsed="false">
      <c r="A4" s="522" t="s">
        <v>507</v>
      </c>
      <c r="B4" s="522" t="n">
        <v>365.25</v>
      </c>
    </row>
    <row r="5" customFormat="false" ht="12.75" hidden="false" customHeight="false" outlineLevel="0" collapsed="false">
      <c r="A5" s="522" t="s">
        <v>508</v>
      </c>
      <c r="B5" s="601" t="n">
        <f aca="false">(365.25/12)/(7/6)</f>
        <v>26.0892857142857</v>
      </c>
    </row>
    <row r="6" customFormat="false" ht="12.75" hidden="false" customHeight="false" outlineLevel="0" collapsed="false">
      <c r="A6" s="543" t="s">
        <v>388</v>
      </c>
      <c r="B6" s="534" t="n">
        <f aca="false">+Serv_44_seg_a_sab!D12</f>
        <v>0</v>
      </c>
    </row>
    <row r="7" customFormat="false" ht="12.75" hidden="false" customHeight="false" outlineLevel="0" collapsed="false">
      <c r="A7" s="543" t="s">
        <v>509</v>
      </c>
      <c r="B7" s="534" t="n">
        <f aca="false">+Serv_44_seg_a_sab!D23</f>
        <v>0</v>
      </c>
    </row>
    <row r="9" customFormat="false" ht="12.75" hidden="false" customHeight="false" outlineLevel="0" collapsed="false">
      <c r="A9" s="602" t="s">
        <v>510</v>
      </c>
      <c r="B9" s="602"/>
      <c r="C9" s="602"/>
    </row>
    <row r="10" customFormat="false" ht="12.75" hidden="false" customHeight="false" outlineLevel="0" collapsed="false">
      <c r="A10" s="522" t="s">
        <v>511</v>
      </c>
      <c r="B10" s="522" t="n">
        <f aca="false">+$B$4</f>
        <v>365.25</v>
      </c>
      <c r="C10" s="564"/>
    </row>
    <row r="11" customFormat="false" ht="12.75" hidden="false" customHeight="false" outlineLevel="0" collapsed="false">
      <c r="A11" s="522" t="s">
        <v>512</v>
      </c>
      <c r="B11" s="543" t="n">
        <v>12</v>
      </c>
      <c r="C11" s="564"/>
    </row>
    <row r="12" customFormat="false" ht="12.75" hidden="false" customHeight="false" outlineLevel="0" collapsed="false">
      <c r="A12" s="522" t="s">
        <v>513</v>
      </c>
      <c r="B12" s="533" t="n">
        <v>1</v>
      </c>
      <c r="C12" s="564"/>
    </row>
    <row r="13" customFormat="false" ht="12.75" hidden="false" customHeight="false" outlineLevel="0" collapsed="false">
      <c r="A13" s="543" t="s">
        <v>514</v>
      </c>
      <c r="B13" s="601" t="n">
        <f aca="false">(365.25/12)/(7/6)</f>
        <v>26.0892857142857</v>
      </c>
      <c r="C13" s="564"/>
    </row>
    <row r="14" customFormat="false" ht="12.75" hidden="false" customHeight="false" outlineLevel="0" collapsed="false">
      <c r="A14" s="548" t="s">
        <v>515</v>
      </c>
      <c r="B14" s="604"/>
      <c r="C14" s="564"/>
    </row>
    <row r="15" customFormat="false" ht="12.75" hidden="false" customHeight="false" outlineLevel="0" collapsed="false">
      <c r="A15" s="522" t="s">
        <v>516</v>
      </c>
      <c r="B15" s="533" t="n">
        <v>0.06</v>
      </c>
      <c r="C15" s="564"/>
    </row>
    <row r="16" customFormat="false" ht="12.75" hidden="false" customHeight="false" outlineLevel="0" collapsed="false">
      <c r="A16" s="575" t="s">
        <v>517</v>
      </c>
      <c r="B16" s="575"/>
      <c r="C16" s="605" t="n">
        <f aca="false">ROUND((B13*(B14*2)-($B$6*B15)),2)</f>
        <v>0</v>
      </c>
    </row>
    <row r="18" customFormat="false" ht="12.75" hidden="false" customHeight="false" outlineLevel="0" collapsed="false">
      <c r="A18" s="602" t="s">
        <v>518</v>
      </c>
      <c r="B18" s="602"/>
      <c r="C18" s="602"/>
    </row>
    <row r="19" customFormat="false" ht="12.75" hidden="false" customHeight="false" outlineLevel="0" collapsed="false">
      <c r="A19" s="522" t="s">
        <v>511</v>
      </c>
      <c r="B19" s="522" t="n">
        <f aca="false">+$B$4</f>
        <v>365.25</v>
      </c>
      <c r="C19" s="564"/>
    </row>
    <row r="20" customFormat="false" ht="12.75" hidden="false" customHeight="false" outlineLevel="0" collapsed="false">
      <c r="A20" s="522" t="s">
        <v>512</v>
      </c>
      <c r="B20" s="543" t="n">
        <v>12</v>
      </c>
      <c r="C20" s="564"/>
    </row>
    <row r="21" customFormat="false" ht="12.75" hidden="false" customHeight="false" outlineLevel="0" collapsed="false">
      <c r="A21" s="522" t="s">
        <v>513</v>
      </c>
      <c r="B21" s="533" t="n">
        <v>1</v>
      </c>
      <c r="C21" s="564"/>
    </row>
    <row r="22" customFormat="false" ht="12.75" hidden="false" customHeight="false" outlineLevel="0" collapsed="false">
      <c r="A22" s="543" t="s">
        <v>514</v>
      </c>
      <c r="B22" s="601" t="n">
        <f aca="false">(365.25/12)/(7/5)</f>
        <v>21.7410714285714</v>
      </c>
      <c r="C22" s="564"/>
    </row>
    <row r="23" customFormat="false" ht="12.75" hidden="false" customHeight="false" outlineLevel="0" collapsed="false">
      <c r="A23" s="548" t="s">
        <v>519</v>
      </c>
      <c r="B23" s="604"/>
      <c r="C23" s="564"/>
    </row>
    <row r="24" customFormat="false" ht="12.75" hidden="false" customHeight="false" outlineLevel="0" collapsed="false">
      <c r="A24" s="522" t="s">
        <v>520</v>
      </c>
      <c r="B24" s="533" t="n">
        <v>0.1</v>
      </c>
      <c r="C24" s="564"/>
    </row>
    <row r="25" customFormat="false" ht="12.75" hidden="false" customHeight="false" outlineLevel="0" collapsed="false">
      <c r="A25" s="575" t="s">
        <v>519</v>
      </c>
      <c r="B25" s="575"/>
      <c r="C25" s="605" t="n">
        <f aca="false">ROUND((B22*(B23)-((B22*B23)*B24)),2)</f>
        <v>0</v>
      </c>
    </row>
    <row r="27" customFormat="false" ht="12.75" hidden="false" customHeight="false" outlineLevel="0" collapsed="false">
      <c r="A27" s="602" t="s">
        <v>521</v>
      </c>
      <c r="B27" s="602"/>
      <c r="C27" s="602"/>
    </row>
    <row r="28" customFormat="false" ht="12.75" hidden="false" customHeight="false" outlineLevel="0" collapsed="false">
      <c r="A28" s="522" t="s">
        <v>522</v>
      </c>
      <c r="B28" s="534" t="n">
        <f aca="false">+B7</f>
        <v>0</v>
      </c>
      <c r="C28" s="564"/>
    </row>
    <row r="29" customFormat="false" ht="12.75" hidden="false" customHeight="false" outlineLevel="0" collapsed="false">
      <c r="A29" s="522" t="s">
        <v>523</v>
      </c>
      <c r="B29" s="522" t="n">
        <v>12</v>
      </c>
      <c r="C29" s="564"/>
    </row>
    <row r="30" customFormat="false" ht="12.75" hidden="false" customHeight="false" outlineLevel="0" collapsed="false">
      <c r="A30" s="546" t="s">
        <v>524</v>
      </c>
      <c r="B30" s="606"/>
      <c r="C30" s="564"/>
    </row>
    <row r="31" customFormat="false" ht="12.75" hidden="false" customHeight="false" outlineLevel="0" collapsed="false">
      <c r="A31" s="575" t="s">
        <v>525</v>
      </c>
      <c r="B31" s="575"/>
      <c r="C31" s="605" t="n">
        <f aca="false">ROUND(+(B28/B29)*B30,2)</f>
        <v>0</v>
      </c>
    </row>
    <row r="33" customFormat="false" ht="12.75" hidden="false" customHeight="true" outlineLevel="0" collapsed="false">
      <c r="A33" s="607" t="s">
        <v>526</v>
      </c>
      <c r="B33" s="607"/>
      <c r="C33" s="607"/>
    </row>
    <row r="34" s="46" customFormat="true" ht="12.75" hidden="false" customHeight="false" outlineLevel="0" collapsed="false">
      <c r="A34" s="608" t="s">
        <v>527</v>
      </c>
      <c r="B34" s="606" t="n">
        <f aca="false">+B30</f>
        <v>0</v>
      </c>
      <c r="C34" s="564"/>
    </row>
    <row r="35" customFormat="false" ht="12.75" hidden="false" customHeight="false" outlineLevel="0" collapsed="false">
      <c r="A35" s="522" t="s">
        <v>528</v>
      </c>
      <c r="B35" s="534" t="n">
        <f aca="false">+Serv_44_seg_a_sab!$D$23</f>
        <v>0</v>
      </c>
      <c r="C35" s="564"/>
    </row>
    <row r="36" customFormat="false" ht="12.75" hidden="false" customHeight="false" outlineLevel="0" collapsed="false">
      <c r="A36" s="522" t="s">
        <v>411</v>
      </c>
      <c r="B36" s="534" t="n">
        <f aca="false">+Serv_44_seg_a_sab!$D$29</f>
        <v>0</v>
      </c>
      <c r="C36" s="564"/>
    </row>
    <row r="37" customFormat="false" ht="12.75" hidden="false" customHeight="false" outlineLevel="0" collapsed="false">
      <c r="A37" s="522" t="s">
        <v>413</v>
      </c>
      <c r="B37" s="534" t="n">
        <f aca="false">+Serv_44_seg_a_sab!$D$31</f>
        <v>0</v>
      </c>
      <c r="C37" s="564"/>
    </row>
    <row r="38" customFormat="false" ht="12.75" hidden="false" customHeight="false" outlineLevel="0" collapsed="false">
      <c r="A38" s="522" t="s">
        <v>414</v>
      </c>
      <c r="B38" s="534" t="n">
        <f aca="false">+Serv_44_seg_a_sab!$D$32</f>
        <v>0</v>
      </c>
      <c r="C38" s="564"/>
    </row>
    <row r="39" customFormat="false" ht="12.75" hidden="false" customHeight="false" outlineLevel="0" collapsed="false">
      <c r="A39" s="609" t="s">
        <v>529</v>
      </c>
      <c r="B39" s="610" t="n">
        <f aca="false">SUM(B35:B38)</f>
        <v>0</v>
      </c>
      <c r="C39" s="564"/>
    </row>
    <row r="40" customFormat="false" ht="12.75" hidden="false" customHeight="false" outlineLevel="0" collapsed="false">
      <c r="A40" s="543" t="s">
        <v>530</v>
      </c>
      <c r="B40" s="533" t="n">
        <v>0.4</v>
      </c>
      <c r="C40" s="564"/>
    </row>
    <row r="41" customFormat="false" ht="12.75" hidden="false" customHeight="false" outlineLevel="0" collapsed="false">
      <c r="A41" s="543" t="s">
        <v>531</v>
      </c>
      <c r="B41" s="533" t="n">
        <f aca="false">+Serv_44_seg_a_sab!$C$44</f>
        <v>0.08</v>
      </c>
      <c r="C41" s="564"/>
    </row>
    <row r="42" customFormat="false" ht="12.75" hidden="false" customHeight="false" outlineLevel="0" collapsed="false">
      <c r="A42" s="577" t="s">
        <v>532</v>
      </c>
      <c r="B42" s="577"/>
      <c r="C42" s="578" t="n">
        <f aca="false">ROUND(+B39*B40*B41*B34,2)</f>
        <v>0</v>
      </c>
    </row>
    <row r="43" customFormat="false" ht="12.75" hidden="false" customHeight="false" outlineLevel="0" collapsed="false">
      <c r="A43" s="575" t="s">
        <v>533</v>
      </c>
      <c r="B43" s="575"/>
      <c r="C43" s="579" t="n">
        <f aca="false">+C42</f>
        <v>0</v>
      </c>
    </row>
    <row r="45" customFormat="false" ht="12.75" hidden="false" customHeight="false" outlineLevel="0" collapsed="false">
      <c r="A45" s="602" t="s">
        <v>534</v>
      </c>
      <c r="B45" s="602"/>
      <c r="C45" s="602"/>
    </row>
    <row r="46" customFormat="false" ht="12.75" hidden="false" customHeight="false" outlineLevel="0" collapsed="false">
      <c r="A46" s="522" t="s">
        <v>522</v>
      </c>
      <c r="B46" s="534" t="n">
        <f aca="false">+B7</f>
        <v>0</v>
      </c>
      <c r="C46" s="564"/>
    </row>
    <row r="47" customFormat="false" ht="12.75" hidden="false" customHeight="false" outlineLevel="0" collapsed="false">
      <c r="A47" s="522" t="s">
        <v>535</v>
      </c>
      <c r="B47" s="611" t="n">
        <v>30</v>
      </c>
      <c r="C47" s="564"/>
    </row>
    <row r="48" customFormat="false" ht="12.75" hidden="false" customHeight="false" outlineLevel="0" collapsed="false">
      <c r="A48" s="522" t="s">
        <v>523</v>
      </c>
      <c r="B48" s="522" t="n">
        <v>12</v>
      </c>
      <c r="C48" s="564"/>
    </row>
    <row r="49" customFormat="false" ht="12.75" hidden="false" customHeight="false" outlineLevel="0" collapsed="false">
      <c r="A49" s="522" t="s">
        <v>536</v>
      </c>
      <c r="B49" s="522" t="n">
        <v>7</v>
      </c>
      <c r="C49" s="564"/>
    </row>
    <row r="50" customFormat="false" ht="12.75" hidden="false" customHeight="false" outlineLevel="0" collapsed="false">
      <c r="A50" s="546" t="s">
        <v>537</v>
      </c>
      <c r="B50" s="606"/>
      <c r="C50" s="564"/>
    </row>
    <row r="51" customFormat="false" ht="12.75" hidden="false" customHeight="false" outlineLevel="0" collapsed="false">
      <c r="A51" s="575" t="s">
        <v>538</v>
      </c>
      <c r="B51" s="575"/>
      <c r="C51" s="605" t="n">
        <f aca="false">+ROUND(((B46/B47/B48)*B49)*B50,2)</f>
        <v>0</v>
      </c>
    </row>
    <row r="53" customFormat="false" ht="12.75" hidden="false" customHeight="true" outlineLevel="0" collapsed="false">
      <c r="A53" s="607" t="s">
        <v>539</v>
      </c>
      <c r="B53" s="607"/>
      <c r="C53" s="607"/>
    </row>
    <row r="54" customFormat="false" ht="12.75" hidden="false" customHeight="false" outlineLevel="0" collapsed="false">
      <c r="A54" s="608" t="s">
        <v>540</v>
      </c>
      <c r="B54" s="606" t="n">
        <f aca="false">+B50</f>
        <v>0</v>
      </c>
      <c r="C54" s="564"/>
    </row>
    <row r="55" customFormat="false" ht="12.75" hidden="false" customHeight="false" outlineLevel="0" collapsed="false">
      <c r="A55" s="522" t="s">
        <v>528</v>
      </c>
      <c r="B55" s="534" t="n">
        <f aca="false">+Serv_44_seg_a_sab!$D$23</f>
        <v>0</v>
      </c>
      <c r="C55" s="564"/>
    </row>
    <row r="56" customFormat="false" ht="12.75" hidden="false" customHeight="false" outlineLevel="0" collapsed="false">
      <c r="A56" s="522" t="s">
        <v>411</v>
      </c>
      <c r="B56" s="534" t="n">
        <f aca="false">+Serv_44_seg_a_sab!$D$29</f>
        <v>0</v>
      </c>
      <c r="C56" s="564"/>
    </row>
    <row r="57" customFormat="false" ht="12.75" hidden="false" customHeight="false" outlineLevel="0" collapsed="false">
      <c r="A57" s="522" t="s">
        <v>413</v>
      </c>
      <c r="B57" s="534" t="n">
        <f aca="false">+Serv_44_seg_a_sab!$D$31</f>
        <v>0</v>
      </c>
      <c r="C57" s="564"/>
    </row>
    <row r="58" customFormat="false" ht="12.75" hidden="false" customHeight="false" outlineLevel="0" collapsed="false">
      <c r="A58" s="522" t="s">
        <v>414</v>
      </c>
      <c r="B58" s="534" t="n">
        <f aca="false">+Serv_44_seg_a_sab!$D$32</f>
        <v>0</v>
      </c>
      <c r="C58" s="564"/>
    </row>
    <row r="59" customFormat="false" ht="12.75" hidden="false" customHeight="false" outlineLevel="0" collapsed="false">
      <c r="A59" s="609" t="s">
        <v>529</v>
      </c>
      <c r="B59" s="610" t="n">
        <f aca="false">SUM(B55:B58)</f>
        <v>0</v>
      </c>
      <c r="C59" s="564"/>
    </row>
    <row r="60" customFormat="false" ht="12.75" hidden="false" customHeight="false" outlineLevel="0" collapsed="false">
      <c r="A60" s="543" t="s">
        <v>530</v>
      </c>
      <c r="B60" s="533" t="n">
        <v>0.4</v>
      </c>
      <c r="C60" s="564"/>
    </row>
    <row r="61" customFormat="false" ht="12.75" hidden="false" customHeight="false" outlineLevel="0" collapsed="false">
      <c r="A61" s="543" t="s">
        <v>531</v>
      </c>
      <c r="B61" s="533" t="n">
        <f aca="false">+Serv_44_seg_a_sab!$C$44</f>
        <v>0.08</v>
      </c>
      <c r="C61" s="564"/>
    </row>
    <row r="62" customFormat="false" ht="12.75" hidden="false" customHeight="false" outlineLevel="0" collapsed="false">
      <c r="A62" s="577" t="s">
        <v>532</v>
      </c>
      <c r="B62" s="577"/>
      <c r="C62" s="578" t="n">
        <f aca="false">ROUND(+B59*B60*B61*B54,2)</f>
        <v>0</v>
      </c>
    </row>
    <row r="63" customFormat="false" ht="12.75" hidden="false" customHeight="false" outlineLevel="0" collapsed="false">
      <c r="A63" s="575" t="s">
        <v>541</v>
      </c>
      <c r="B63" s="575"/>
      <c r="C63" s="579" t="n">
        <f aca="false">+C62</f>
        <v>0</v>
      </c>
    </row>
    <row r="65" customFormat="false" ht="12.75" hidden="false" customHeight="true" outlineLevel="0" collapsed="false">
      <c r="A65" s="607" t="s">
        <v>542</v>
      </c>
      <c r="B65" s="607"/>
      <c r="C65" s="607"/>
    </row>
    <row r="66" customFormat="false" ht="12.75" hidden="false" customHeight="true" outlineLevel="0" collapsed="false">
      <c r="A66" s="612" t="s">
        <v>543</v>
      </c>
      <c r="B66" s="612"/>
      <c r="C66" s="612"/>
    </row>
    <row r="67" customFormat="false" ht="12.75" hidden="false" customHeight="false" outlineLevel="0" collapsed="false">
      <c r="A67" s="612"/>
      <c r="B67" s="612"/>
      <c r="C67" s="612"/>
    </row>
    <row r="68" customFormat="false" ht="12.75" hidden="false" customHeight="false" outlineLevel="0" collapsed="false">
      <c r="A68" s="612"/>
      <c r="B68" s="612"/>
      <c r="C68" s="612"/>
    </row>
    <row r="69" customFormat="false" ht="12.75" hidden="false" customHeight="false" outlineLevel="0" collapsed="false">
      <c r="A69" s="612"/>
      <c r="B69" s="612"/>
      <c r="C69" s="612"/>
    </row>
    <row r="70" customFormat="false" ht="12.75" hidden="false" customHeight="false" outlineLevel="0" collapsed="false">
      <c r="A70" s="613"/>
      <c r="B70" s="613"/>
      <c r="C70" s="613"/>
    </row>
    <row r="71" customFormat="false" ht="12.75" hidden="false" customHeight="true" outlineLevel="0" collapsed="false">
      <c r="A71" s="607" t="s">
        <v>544</v>
      </c>
      <c r="B71" s="607"/>
      <c r="C71" s="607"/>
    </row>
    <row r="72" customFormat="false" ht="12.75" hidden="false" customHeight="false" outlineLevel="0" collapsed="false">
      <c r="A72" s="522" t="s">
        <v>545</v>
      </c>
      <c r="B72" s="534" t="n">
        <f aca="false">+$B$7</f>
        <v>0</v>
      </c>
      <c r="C72" s="564"/>
    </row>
    <row r="73" customFormat="false" ht="12.75" hidden="false" customHeight="false" outlineLevel="0" collapsed="false">
      <c r="A73" s="522" t="s">
        <v>512</v>
      </c>
      <c r="B73" s="522" t="n">
        <v>30</v>
      </c>
      <c r="C73" s="564"/>
    </row>
    <row r="74" customFormat="false" ht="12.75" hidden="false" customHeight="false" outlineLevel="0" collapsed="false">
      <c r="A74" s="522" t="s">
        <v>546</v>
      </c>
      <c r="B74" s="522" t="n">
        <v>12</v>
      </c>
      <c r="C74" s="564"/>
    </row>
    <row r="75" customFormat="false" ht="12.75" hidden="false" customHeight="false" outlineLevel="0" collapsed="false">
      <c r="A75" s="546" t="s">
        <v>547</v>
      </c>
      <c r="B75" s="546"/>
      <c r="C75" s="564"/>
    </row>
    <row r="76" customFormat="false" ht="12.75" hidden="false" customHeight="false" outlineLevel="0" collapsed="false">
      <c r="A76" s="575" t="s">
        <v>548</v>
      </c>
      <c r="B76" s="575"/>
      <c r="C76" s="556" t="n">
        <f aca="false">+ROUND((B72/B73/B74)*B75,2)</f>
        <v>0</v>
      </c>
    </row>
    <row r="78" customFormat="false" ht="12.75" hidden="false" customHeight="true" outlineLevel="0" collapsed="false">
      <c r="A78" s="607" t="s">
        <v>549</v>
      </c>
      <c r="B78" s="607"/>
      <c r="C78" s="607"/>
    </row>
    <row r="79" customFormat="false" ht="12.75" hidden="false" customHeight="false" outlineLevel="0" collapsed="false">
      <c r="A79" s="522" t="s">
        <v>545</v>
      </c>
      <c r="B79" s="534" t="n">
        <f aca="false">+$B$7</f>
        <v>0</v>
      </c>
      <c r="C79" s="564"/>
    </row>
    <row r="80" customFormat="false" ht="12.75" hidden="false" customHeight="false" outlineLevel="0" collapsed="false">
      <c r="A80" s="522" t="s">
        <v>512</v>
      </c>
      <c r="B80" s="522" t="n">
        <v>30</v>
      </c>
      <c r="C80" s="564"/>
    </row>
    <row r="81" customFormat="false" ht="12.75" hidden="false" customHeight="false" outlineLevel="0" collapsed="false">
      <c r="A81" s="522" t="s">
        <v>546</v>
      </c>
      <c r="B81" s="522" t="n">
        <v>12</v>
      </c>
      <c r="C81" s="564"/>
    </row>
    <row r="82" customFormat="false" ht="12.75" hidden="false" customHeight="false" outlineLevel="0" collapsed="false">
      <c r="A82" s="543" t="s">
        <v>550</v>
      </c>
      <c r="B82" s="522" t="n">
        <v>5</v>
      </c>
      <c r="C82" s="564"/>
    </row>
    <row r="83" customFormat="false" ht="12.75" hidden="false" customHeight="false" outlineLevel="0" collapsed="false">
      <c r="A83" s="546" t="s">
        <v>551</v>
      </c>
      <c r="B83" s="606"/>
      <c r="C83" s="564"/>
    </row>
    <row r="84" customFormat="false" ht="12.75" hidden="false" customHeight="false" outlineLevel="0" collapsed="false">
      <c r="A84" s="546" t="s">
        <v>552</v>
      </c>
      <c r="B84" s="606"/>
      <c r="C84" s="564"/>
    </row>
    <row r="85" customFormat="false" ht="12.75" hidden="false" customHeight="false" outlineLevel="0" collapsed="false">
      <c r="A85" s="575" t="s">
        <v>553</v>
      </c>
      <c r="B85" s="575"/>
      <c r="C85" s="605" t="n">
        <f aca="false">ROUND(+B79/B80/B81*B82*B83*B84,2)</f>
        <v>0</v>
      </c>
    </row>
    <row r="87" customFormat="false" ht="12.75" hidden="false" customHeight="true" outlineLevel="0" collapsed="false">
      <c r="A87" s="607" t="s">
        <v>554</v>
      </c>
      <c r="B87" s="607"/>
      <c r="C87" s="607"/>
    </row>
    <row r="88" customFormat="false" ht="12.75" hidden="false" customHeight="false" outlineLevel="0" collapsed="false">
      <c r="A88" s="522" t="s">
        <v>545</v>
      </c>
      <c r="B88" s="534" t="n">
        <f aca="false">+$B$7</f>
        <v>0</v>
      </c>
      <c r="C88" s="564"/>
    </row>
    <row r="89" customFormat="false" ht="12.75" hidden="false" customHeight="false" outlineLevel="0" collapsed="false">
      <c r="A89" s="522" t="s">
        <v>512</v>
      </c>
      <c r="B89" s="522" t="n">
        <v>30</v>
      </c>
      <c r="C89" s="564"/>
    </row>
    <row r="90" customFormat="false" ht="12.75" hidden="false" customHeight="false" outlineLevel="0" collapsed="false">
      <c r="A90" s="522" t="s">
        <v>546</v>
      </c>
      <c r="B90" s="522" t="n">
        <v>12</v>
      </c>
      <c r="C90" s="564"/>
    </row>
    <row r="91" customFormat="false" ht="12.75" hidden="false" customHeight="false" outlineLevel="0" collapsed="false">
      <c r="A91" s="543" t="s">
        <v>555</v>
      </c>
      <c r="B91" s="522" t="n">
        <v>15</v>
      </c>
      <c r="C91" s="564"/>
    </row>
    <row r="92" customFormat="false" ht="12.75" hidden="false" customHeight="false" outlineLevel="0" collapsed="false">
      <c r="A92" s="546" t="s">
        <v>556</v>
      </c>
      <c r="B92" s="606"/>
      <c r="C92" s="564"/>
    </row>
    <row r="93" customFormat="false" ht="12.75" hidden="false" customHeight="false" outlineLevel="0" collapsed="false">
      <c r="A93" s="575" t="s">
        <v>557</v>
      </c>
      <c r="B93" s="575"/>
      <c r="C93" s="605" t="n">
        <f aca="false">ROUND(+B88/B89/B90*B91*B92,2)</f>
        <v>0</v>
      </c>
    </row>
    <row r="95" customFormat="false" ht="12.75" hidden="false" customHeight="true" outlineLevel="0" collapsed="false">
      <c r="A95" s="607" t="s">
        <v>558</v>
      </c>
      <c r="B95" s="607"/>
      <c r="C95" s="607"/>
    </row>
    <row r="96" customFormat="false" ht="12.75" hidden="false" customHeight="false" outlineLevel="0" collapsed="false">
      <c r="A96" s="522" t="s">
        <v>545</v>
      </c>
      <c r="B96" s="534" t="n">
        <f aca="false">+$B$7</f>
        <v>0</v>
      </c>
      <c r="C96" s="564"/>
    </row>
    <row r="97" customFormat="false" ht="12.75" hidden="false" customHeight="false" outlineLevel="0" collapsed="false">
      <c r="A97" s="522" t="s">
        <v>512</v>
      </c>
      <c r="B97" s="522" t="n">
        <v>30</v>
      </c>
      <c r="C97" s="564"/>
    </row>
    <row r="98" customFormat="false" ht="12.75" hidden="false" customHeight="false" outlineLevel="0" collapsed="false">
      <c r="A98" s="522" t="s">
        <v>546</v>
      </c>
      <c r="B98" s="522" t="n">
        <v>12</v>
      </c>
      <c r="C98" s="564"/>
    </row>
    <row r="99" customFormat="false" ht="12.75" hidden="false" customHeight="false" outlineLevel="0" collapsed="false">
      <c r="A99" s="543" t="s">
        <v>555</v>
      </c>
      <c r="B99" s="522" t="n">
        <v>5</v>
      </c>
      <c r="C99" s="564"/>
    </row>
    <row r="100" customFormat="false" ht="12.75" hidden="false" customHeight="false" outlineLevel="0" collapsed="false">
      <c r="A100" s="546" t="s">
        <v>559</v>
      </c>
      <c r="B100" s="606"/>
      <c r="C100" s="564"/>
    </row>
    <row r="101" customFormat="false" ht="12.75" hidden="false" customHeight="false" outlineLevel="0" collapsed="false">
      <c r="A101" s="575" t="s">
        <v>560</v>
      </c>
      <c r="B101" s="575"/>
      <c r="C101" s="605" t="n">
        <f aca="false">ROUND(+B96/B97/B98*B99*B100,2)</f>
        <v>0</v>
      </c>
    </row>
    <row r="103" customFormat="false" ht="12.75" hidden="false" customHeight="true" outlineLevel="0" collapsed="false">
      <c r="A103" s="607" t="s">
        <v>562</v>
      </c>
      <c r="B103" s="607"/>
      <c r="C103" s="607"/>
    </row>
    <row r="104" customFormat="false" ht="12.75" hidden="false" customHeight="true" outlineLevel="0" collapsed="false">
      <c r="A104" s="614" t="s">
        <v>563</v>
      </c>
      <c r="B104" s="614"/>
      <c r="C104" s="614"/>
    </row>
    <row r="105" customFormat="false" ht="12.75" hidden="false" customHeight="false" outlineLevel="0" collapsed="false">
      <c r="A105" s="522" t="s">
        <v>545</v>
      </c>
      <c r="B105" s="534" t="n">
        <f aca="false">+$B$7</f>
        <v>0</v>
      </c>
      <c r="C105" s="564"/>
    </row>
    <row r="106" customFormat="false" ht="12.75" hidden="false" customHeight="false" outlineLevel="0" collapsed="false">
      <c r="A106" s="522" t="s">
        <v>564</v>
      </c>
      <c r="B106" s="534" t="n">
        <f aca="false">+B105*(1/3)</f>
        <v>0</v>
      </c>
      <c r="C106" s="564"/>
    </row>
    <row r="107" customFormat="false" ht="12.75" hidden="false" customHeight="false" outlineLevel="0" collapsed="false">
      <c r="A107" s="609" t="s">
        <v>529</v>
      </c>
      <c r="B107" s="610" t="n">
        <f aca="false">SUM(B105:B106)</f>
        <v>0</v>
      </c>
      <c r="C107" s="564"/>
    </row>
    <row r="108" customFormat="false" ht="12.75" hidden="false" customHeight="false" outlineLevel="0" collapsed="false">
      <c r="A108" s="522" t="s">
        <v>565</v>
      </c>
      <c r="B108" s="522" t="n">
        <v>4</v>
      </c>
      <c r="C108" s="564"/>
    </row>
    <row r="109" customFormat="false" ht="12.75" hidden="false" customHeight="false" outlineLevel="0" collapsed="false">
      <c r="A109" s="522" t="s">
        <v>546</v>
      </c>
      <c r="B109" s="522" t="n">
        <v>12</v>
      </c>
      <c r="C109" s="564"/>
    </row>
    <row r="110" customFormat="false" ht="12.75" hidden="false" customHeight="false" outlineLevel="0" collapsed="false">
      <c r="A110" s="546" t="s">
        <v>566</v>
      </c>
      <c r="B110" s="606"/>
      <c r="C110" s="564"/>
    </row>
    <row r="111" customFormat="false" ht="12.75" hidden="false" customHeight="false" outlineLevel="0" collapsed="false">
      <c r="A111" s="546" t="s">
        <v>567</v>
      </c>
      <c r="B111" s="606"/>
      <c r="C111" s="564"/>
    </row>
    <row r="112" customFormat="false" ht="12.75" hidden="false" customHeight="false" outlineLevel="0" collapsed="false">
      <c r="A112" s="575" t="s">
        <v>568</v>
      </c>
      <c r="B112" s="575"/>
      <c r="C112" s="605" t="n">
        <f aca="false">ROUND((((+B107*(B108/B109)/B109)*B110)*B111),2)</f>
        <v>0</v>
      </c>
    </row>
    <row r="113" customFormat="false" ht="12.75" hidden="false" customHeight="false" outlineLevel="0" collapsed="false">
      <c r="A113" s="575" t="s">
        <v>569</v>
      </c>
      <c r="B113" s="575"/>
      <c r="C113" s="575"/>
    </row>
    <row r="114" customFormat="false" ht="12.75" hidden="false" customHeight="false" outlineLevel="0" collapsed="false">
      <c r="A114" s="522" t="s">
        <v>545</v>
      </c>
      <c r="B114" s="534" t="n">
        <f aca="false">+Serv_44_seg_a_sab!D23</f>
        <v>0</v>
      </c>
      <c r="C114" s="564"/>
    </row>
    <row r="115" customFormat="false" ht="12.75" hidden="false" customHeight="false" outlineLevel="0" collapsed="false">
      <c r="A115" s="522" t="s">
        <v>411</v>
      </c>
      <c r="B115" s="534" t="n">
        <f aca="false">+Serv_44_seg_a_sab!D29</f>
        <v>0</v>
      </c>
      <c r="C115" s="564"/>
    </row>
    <row r="116" customFormat="false" ht="12.75" hidden="false" customHeight="false" outlineLevel="0" collapsed="false">
      <c r="A116" s="609" t="s">
        <v>529</v>
      </c>
      <c r="B116" s="610" t="n">
        <f aca="false">SUM(B114:B115)</f>
        <v>0</v>
      </c>
      <c r="C116" s="564"/>
    </row>
    <row r="117" customFormat="false" ht="12.75" hidden="false" customHeight="false" outlineLevel="0" collapsed="false">
      <c r="A117" s="522" t="s">
        <v>565</v>
      </c>
      <c r="B117" s="522" t="n">
        <v>4</v>
      </c>
      <c r="C117" s="564"/>
    </row>
    <row r="118" customFormat="false" ht="12.75" hidden="false" customHeight="false" outlineLevel="0" collapsed="false">
      <c r="A118" s="522" t="s">
        <v>546</v>
      </c>
      <c r="B118" s="522" t="n">
        <v>12</v>
      </c>
      <c r="C118" s="564"/>
    </row>
    <row r="119" customFormat="false" ht="12.75" hidden="false" customHeight="false" outlineLevel="0" collapsed="false">
      <c r="A119" s="546" t="s">
        <v>566</v>
      </c>
      <c r="B119" s="606" t="n">
        <f aca="false">+B110</f>
        <v>0</v>
      </c>
      <c r="C119" s="564"/>
    </row>
    <row r="120" customFormat="false" ht="12.75" hidden="false" customHeight="false" outlineLevel="0" collapsed="false">
      <c r="A120" s="546" t="s">
        <v>567</v>
      </c>
      <c r="B120" s="606" t="n">
        <f aca="false">+B111</f>
        <v>0</v>
      </c>
      <c r="C120" s="564"/>
    </row>
    <row r="121" customFormat="false" ht="12.75" hidden="false" customHeight="false" outlineLevel="0" collapsed="false">
      <c r="A121" s="543" t="s">
        <v>570</v>
      </c>
      <c r="B121" s="533" t="n">
        <f aca="false">+Serv_44_seg_a_sab!C45</f>
        <v>0.368</v>
      </c>
      <c r="C121" s="564"/>
    </row>
    <row r="122" customFormat="false" ht="12.75" hidden="false" customHeight="false" outlineLevel="0" collapsed="false">
      <c r="A122" s="575" t="s">
        <v>571</v>
      </c>
      <c r="B122" s="575"/>
      <c r="C122" s="579" t="n">
        <f aca="false">ROUND((((B116*(B117/B118)*B119)*B120)*B121),2)</f>
        <v>0</v>
      </c>
    </row>
    <row r="124" customFormat="false" ht="30.75" hidden="false" customHeight="true" outlineLevel="0" collapsed="false">
      <c r="A124" s="615" t="s">
        <v>575</v>
      </c>
      <c r="B124" s="615"/>
      <c r="C124" s="615"/>
    </row>
  </sheetData>
  <mergeCells count="31">
    <mergeCell ref="A1:C1"/>
    <mergeCell ref="A9:C9"/>
    <mergeCell ref="A16:B16"/>
    <mergeCell ref="A18:C18"/>
    <mergeCell ref="A25:B25"/>
    <mergeCell ref="A27:C27"/>
    <mergeCell ref="A31:B31"/>
    <mergeCell ref="A33:C33"/>
    <mergeCell ref="A42:B42"/>
    <mergeCell ref="A43:B43"/>
    <mergeCell ref="A45:C45"/>
    <mergeCell ref="A51:B51"/>
    <mergeCell ref="A53:C53"/>
    <mergeCell ref="A62:B62"/>
    <mergeCell ref="A63:B63"/>
    <mergeCell ref="A65:C65"/>
    <mergeCell ref="A66:C69"/>
    <mergeCell ref="A71:C71"/>
    <mergeCell ref="A76:B76"/>
    <mergeCell ref="A78:C78"/>
    <mergeCell ref="A85:B85"/>
    <mergeCell ref="A87:C87"/>
    <mergeCell ref="A93:B93"/>
    <mergeCell ref="A95:C95"/>
    <mergeCell ref="A101:B101"/>
    <mergeCell ref="A103:C103"/>
    <mergeCell ref="A104:C104"/>
    <mergeCell ref="A112:B112"/>
    <mergeCell ref="A113:C113"/>
    <mergeCell ref="A122:B122"/>
    <mergeCell ref="A124:C124"/>
  </mergeCells>
  <printOptions headings="false" gridLines="false" gridLinesSet="true" horizontalCentered="false" verticalCentered="false"/>
  <pageMargins left="1.06319444444444" right="0.157638888888889" top="0.157638888888889" bottom="0.454166666666667" header="0.157638888888889"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18.xml><?xml version="1.0" encoding="utf-8"?>
<worksheet xmlns="http://schemas.openxmlformats.org/spreadsheetml/2006/main" xmlns:r="http://schemas.openxmlformats.org/officeDocument/2006/relationships">
  <sheetPr filterMode="false">
    <pageSetUpPr fitToPage="false"/>
  </sheetPr>
  <dimension ref="A1:G15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08"/>
    <col collapsed="false" customWidth="true" hidden="false" outlineLevel="0" max="2" min="2" style="44" width="54.54"/>
    <col collapsed="false" customWidth="true" hidden="false" outlineLevel="0" max="3" min="3" style="44" width="10.12"/>
    <col collapsed="false" customWidth="true" hidden="false" outlineLevel="0" max="4" min="4" style="44" width="16.87"/>
    <col collapsed="false" customWidth="true" hidden="false" outlineLevel="0" max="5" min="5" style="44" width="12.69"/>
    <col collapsed="false" customWidth="true" hidden="false" outlineLevel="0" max="1025" min="6" style="44" width="8.64"/>
  </cols>
  <sheetData>
    <row r="1" customFormat="false" ht="12.75" hidden="false" customHeight="false" outlineLevel="0" collapsed="false">
      <c r="A1" s="492" t="s">
        <v>374</v>
      </c>
      <c r="B1" s="492"/>
      <c r="C1" s="492"/>
      <c r="D1" s="492"/>
      <c r="E1" s="493"/>
      <c r="F1" s="493"/>
    </row>
    <row r="3" customFormat="false" ht="12.75" hidden="false" customHeight="false" outlineLevel="0" collapsed="false">
      <c r="A3" s="494" t="s">
        <v>375</v>
      </c>
      <c r="B3" s="494"/>
      <c r="C3" s="494"/>
      <c r="D3" s="494"/>
    </row>
    <row r="4" s="498" customFormat="true" ht="30.75" hidden="false" customHeight="true" outlineLevel="0" collapsed="false">
      <c r="A4" s="663" t="n">
        <v>1</v>
      </c>
      <c r="B4" s="664" t="s">
        <v>376</v>
      </c>
      <c r="C4" s="665" t="s">
        <v>584</v>
      </c>
      <c r="D4" s="665"/>
    </row>
    <row r="5" s="498" customFormat="true" ht="12.75" hidden="false" customHeight="false" outlineLevel="0" collapsed="false">
      <c r="A5" s="663" t="n">
        <v>2</v>
      </c>
      <c r="B5" s="664" t="s">
        <v>378</v>
      </c>
      <c r="C5" s="666" t="s">
        <v>574</v>
      </c>
      <c r="D5" s="666"/>
    </row>
    <row r="6" s="498" customFormat="true" ht="12.75" hidden="false" customHeight="false" outlineLevel="0" collapsed="false">
      <c r="A6" s="663" t="n">
        <v>3</v>
      </c>
      <c r="B6" s="664" t="s">
        <v>380</v>
      </c>
      <c r="C6" s="667" t="n">
        <f aca="false">+APRESENTACAO!G21</f>
        <v>0</v>
      </c>
      <c r="D6" s="667"/>
    </row>
    <row r="7" s="498" customFormat="true" ht="12.75" hidden="false" customHeight="true" outlineLevel="0" collapsed="false">
      <c r="A7" s="663" t="n">
        <v>4</v>
      </c>
      <c r="B7" s="664" t="s">
        <v>381</v>
      </c>
      <c r="C7" s="668" t="s">
        <v>382</v>
      </c>
      <c r="D7" s="668"/>
    </row>
    <row r="8" s="498" customFormat="true" ht="12.75" hidden="false" customHeight="false" outlineLevel="0" collapsed="false">
      <c r="A8" s="663" t="n">
        <v>5</v>
      </c>
      <c r="B8" s="664" t="s">
        <v>383</v>
      </c>
      <c r="C8" s="669" t="n">
        <v>43524</v>
      </c>
      <c r="D8" s="669"/>
    </row>
    <row r="9" customFormat="false" ht="12.75" hidden="false" customHeight="false" outlineLevel="0" collapsed="false">
      <c r="D9" s="623"/>
    </row>
    <row r="10" customFormat="false" ht="12.75" hidden="false" customHeight="false" outlineLevel="0" collapsed="false">
      <c r="A10" s="505" t="s">
        <v>384</v>
      </c>
      <c r="B10" s="505"/>
      <c r="C10" s="505"/>
      <c r="D10" s="505"/>
    </row>
    <row r="11" customFormat="false" ht="12.75" hidden="false" customHeight="false" outlineLevel="0" collapsed="false">
      <c r="A11" s="506" t="n">
        <v>1</v>
      </c>
      <c r="B11" s="507" t="s">
        <v>385</v>
      </c>
      <c r="C11" s="492" t="s">
        <v>386</v>
      </c>
      <c r="D11" s="508" t="s">
        <v>387</v>
      </c>
    </row>
    <row r="12" customFormat="false" ht="12.75" hidden="false" customHeight="false" outlineLevel="0" collapsed="false">
      <c r="A12" s="509" t="s">
        <v>15</v>
      </c>
      <c r="B12" s="509" t="s">
        <v>388</v>
      </c>
      <c r="C12" s="509"/>
      <c r="D12" s="510" t="n">
        <f aca="false">+C6</f>
        <v>0</v>
      </c>
    </row>
    <row r="13" customFormat="false" ht="12.75" hidden="false" customHeight="false" outlineLevel="0" collapsed="false">
      <c r="A13" s="509" t="s">
        <v>17</v>
      </c>
      <c r="B13" s="511" t="s">
        <v>389</v>
      </c>
      <c r="C13" s="512"/>
      <c r="D13" s="510"/>
      <c r="E13" s="513"/>
    </row>
    <row r="14" customFormat="false" ht="12.75" hidden="false" customHeight="false" outlineLevel="0" collapsed="false">
      <c r="A14" s="509" t="s">
        <v>20</v>
      </c>
      <c r="B14" s="511" t="s">
        <v>390</v>
      </c>
      <c r="C14" s="512" t="n">
        <v>0.4</v>
      </c>
      <c r="D14" s="510" t="n">
        <f aca="false">+C14*D12</f>
        <v>0</v>
      </c>
    </row>
    <row r="15" customFormat="false" ht="12.75" hidden="false" customHeight="false" outlineLevel="0" collapsed="false">
      <c r="A15" s="509" t="s">
        <v>22</v>
      </c>
      <c r="B15" s="509" t="s">
        <v>391</v>
      </c>
      <c r="C15" s="509"/>
      <c r="D15" s="510"/>
    </row>
    <row r="16" customFormat="false" ht="12.75" hidden="false" customHeight="false" outlineLevel="0" collapsed="false">
      <c r="A16" s="509" t="s">
        <v>392</v>
      </c>
      <c r="B16" s="509" t="s">
        <v>393</v>
      </c>
      <c r="C16" s="509"/>
      <c r="D16" s="510"/>
    </row>
    <row r="17" customFormat="false" ht="12.75" hidden="false" customHeight="false" outlineLevel="0" collapsed="false">
      <c r="A17" s="509" t="s">
        <v>394</v>
      </c>
      <c r="B17" s="509" t="s">
        <v>395</v>
      </c>
      <c r="C17" s="509"/>
      <c r="D17" s="510"/>
    </row>
    <row r="18" customFormat="false" ht="12.75" hidden="false" customHeight="false" outlineLevel="0" collapsed="false">
      <c r="A18" s="509" t="s">
        <v>396</v>
      </c>
      <c r="B18" s="509" t="s">
        <v>397</v>
      </c>
      <c r="C18" s="509"/>
      <c r="D18" s="510"/>
    </row>
    <row r="19" customFormat="false" ht="12.75" hidden="false" customHeight="false" outlineLevel="0" collapsed="false">
      <c r="A19" s="509" t="s">
        <v>398</v>
      </c>
      <c r="B19" s="509" t="s">
        <v>399</v>
      </c>
      <c r="C19" s="509"/>
      <c r="D19" s="514"/>
    </row>
    <row r="20" customFormat="false" ht="12.75" hidden="false" customHeight="false" outlineLevel="0" collapsed="false">
      <c r="A20" s="509" t="s">
        <v>400</v>
      </c>
      <c r="B20" s="511" t="s">
        <v>401</v>
      </c>
      <c r="C20" s="512"/>
      <c r="D20" s="510"/>
    </row>
    <row r="21" customFormat="false" ht="12.75" hidden="false" customHeight="false" outlineLevel="0" collapsed="false">
      <c r="A21" s="509" t="s">
        <v>402</v>
      </c>
      <c r="B21" s="509" t="s">
        <v>403</v>
      </c>
      <c r="C21" s="509"/>
      <c r="D21" s="515"/>
      <c r="F21" s="516"/>
    </row>
    <row r="22" customFormat="false" ht="12.75" hidden="false" customHeight="false" outlineLevel="0" collapsed="false">
      <c r="A22" s="509" t="s">
        <v>404</v>
      </c>
      <c r="B22" s="509" t="s">
        <v>405</v>
      </c>
      <c r="C22" s="509"/>
      <c r="D22" s="515"/>
    </row>
    <row r="23" customFormat="false" ht="12.75" hidden="false" customHeight="false" outlineLevel="0" collapsed="false">
      <c r="A23" s="494" t="s">
        <v>406</v>
      </c>
      <c r="B23" s="494"/>
      <c r="C23" s="494"/>
      <c r="D23" s="517" t="n">
        <f aca="false">SUM(D12:D22)</f>
        <v>0</v>
      </c>
    </row>
    <row r="25" customFormat="false" ht="12.75" hidden="false" customHeight="false" outlineLevel="0" collapsed="false">
      <c r="A25" s="505" t="s">
        <v>407</v>
      </c>
      <c r="B25" s="505"/>
      <c r="C25" s="505"/>
      <c r="D25" s="505"/>
    </row>
    <row r="27" customFormat="false" ht="12.75" hidden="false" customHeight="false" outlineLevel="0" collapsed="false">
      <c r="A27" s="505" t="s">
        <v>408</v>
      </c>
      <c r="B27" s="505"/>
      <c r="C27" s="505"/>
      <c r="D27" s="505"/>
    </row>
    <row r="28" customFormat="false" ht="12.75" hidden="false" customHeight="false" outlineLevel="0" collapsed="false">
      <c r="A28" s="518" t="s">
        <v>409</v>
      </c>
      <c r="B28" s="519" t="s">
        <v>410</v>
      </c>
      <c r="C28" s="520" t="s">
        <v>386</v>
      </c>
      <c r="D28" s="521" t="s">
        <v>387</v>
      </c>
    </row>
    <row r="29" customFormat="false" ht="12.75" hidden="false" customHeight="false" outlineLevel="0" collapsed="false">
      <c r="A29" s="509" t="s">
        <v>15</v>
      </c>
      <c r="B29" s="522" t="s">
        <v>411</v>
      </c>
      <c r="C29" s="523" t="e">
        <f aca="false">ROUND(+D29/$D$23,4)</f>
        <v>#DIV/0!</v>
      </c>
      <c r="D29" s="515" t="n">
        <f aca="false">ROUND(+D23/12,2)</f>
        <v>0</v>
      </c>
    </row>
    <row r="30" customFormat="false" ht="12.75" hidden="false" customHeight="false" outlineLevel="0" collapsed="false">
      <c r="A30" s="524" t="s">
        <v>17</v>
      </c>
      <c r="B30" s="525" t="s">
        <v>412</v>
      </c>
      <c r="C30" s="526" t="e">
        <f aca="false">ROUND(+D30/$D$23,4)</f>
        <v>#DIV/0!</v>
      </c>
      <c r="D30" s="527" t="n">
        <f aca="false">+D31+D32</f>
        <v>0</v>
      </c>
    </row>
    <row r="31" customFormat="false" ht="12.75" hidden="false" customHeight="false" outlineLevel="0" collapsed="false">
      <c r="A31" s="509" t="s">
        <v>77</v>
      </c>
      <c r="B31" s="528" t="s">
        <v>413</v>
      </c>
      <c r="C31" s="529" t="e">
        <f aca="false">ROUND(+D31/$D$23,4)</f>
        <v>#DIV/0!</v>
      </c>
      <c r="D31" s="530" t="n">
        <f aca="false">ROUND(+D23/12,2)</f>
        <v>0</v>
      </c>
    </row>
    <row r="32" customFormat="false" ht="12.75" hidden="false" customHeight="false" outlineLevel="0" collapsed="false">
      <c r="A32" s="509" t="s">
        <v>91</v>
      </c>
      <c r="B32" s="528" t="s">
        <v>414</v>
      </c>
      <c r="C32" s="529" t="e">
        <f aca="false">ROUND(+D32/$D$23,4)</f>
        <v>#DIV/0!</v>
      </c>
      <c r="D32" s="530" t="n">
        <f aca="false">ROUND(+(D23*1/3)/12,2)</f>
        <v>0</v>
      </c>
    </row>
    <row r="33" customFormat="false" ht="12.75" hidden="false" customHeight="false" outlineLevel="0" collapsed="false">
      <c r="A33" s="494" t="s">
        <v>406</v>
      </c>
      <c r="B33" s="494"/>
      <c r="C33" s="494"/>
      <c r="D33" s="517" t="n">
        <f aca="false">+D30+D29</f>
        <v>0</v>
      </c>
    </row>
    <row r="35" customFormat="false" ht="12.75" hidden="false" customHeight="true" outlineLevel="0" collapsed="false">
      <c r="A35" s="531" t="s">
        <v>415</v>
      </c>
      <c r="B35" s="531"/>
      <c r="C35" s="531"/>
      <c r="D35" s="531"/>
    </row>
    <row r="36" customFormat="false" ht="12.75" hidden="false" customHeight="false" outlineLevel="0" collapsed="false">
      <c r="A36" s="518" t="s">
        <v>416</v>
      </c>
      <c r="B36" s="532" t="s">
        <v>417</v>
      </c>
      <c r="C36" s="520" t="s">
        <v>386</v>
      </c>
      <c r="D36" s="521" t="s">
        <v>387</v>
      </c>
    </row>
    <row r="37" customFormat="false" ht="12.75" hidden="false" customHeight="false" outlineLevel="0" collapsed="false">
      <c r="A37" s="509" t="s">
        <v>15</v>
      </c>
      <c r="B37" s="522" t="s">
        <v>418</v>
      </c>
      <c r="C37" s="533" t="n">
        <v>0.2</v>
      </c>
      <c r="D37" s="534" t="n">
        <f aca="false">ROUND(C37*($D$23+$D$33),2)</f>
        <v>0</v>
      </c>
    </row>
    <row r="38" customFormat="false" ht="12.75" hidden="false" customHeight="false" outlineLevel="0" collapsed="false">
      <c r="A38" s="509" t="s">
        <v>17</v>
      </c>
      <c r="B38" s="522" t="s">
        <v>419</v>
      </c>
      <c r="C38" s="533" t="n">
        <v>0.025</v>
      </c>
      <c r="D38" s="534" t="n">
        <f aca="false">ROUND(C38*($D$23+$D$33),2)</f>
        <v>0</v>
      </c>
    </row>
    <row r="39" customFormat="false" ht="12.75" hidden="false" customHeight="false" outlineLevel="0" collapsed="false">
      <c r="A39" s="509" t="s">
        <v>20</v>
      </c>
      <c r="B39" s="522" t="s">
        <v>420</v>
      </c>
      <c r="C39" s="533" t="n">
        <f aca="false">3%</f>
        <v>0.03</v>
      </c>
      <c r="D39" s="534" t="n">
        <f aca="false">ROUND(C39*($D$23+$D$33),2)</f>
        <v>0</v>
      </c>
    </row>
    <row r="40" customFormat="false" ht="12.75" hidden="false" customHeight="false" outlineLevel="0" collapsed="false">
      <c r="A40" s="509" t="s">
        <v>22</v>
      </c>
      <c r="B40" s="522" t="s">
        <v>421</v>
      </c>
      <c r="C40" s="533" t="n">
        <v>0.015</v>
      </c>
      <c r="D40" s="534" t="n">
        <f aca="false">ROUND(C40*($D$23+$D$33),2)</f>
        <v>0</v>
      </c>
    </row>
    <row r="41" customFormat="false" ht="12.75" hidden="false" customHeight="false" outlineLevel="0" collapsed="false">
      <c r="A41" s="509" t="s">
        <v>392</v>
      </c>
      <c r="B41" s="522" t="s">
        <v>422</v>
      </c>
      <c r="C41" s="533" t="n">
        <v>0.01</v>
      </c>
      <c r="D41" s="534" t="n">
        <f aca="false">ROUND(C41*($D$23+$D$33),2)</f>
        <v>0</v>
      </c>
    </row>
    <row r="42" customFormat="false" ht="12.75" hidden="false" customHeight="false" outlineLevel="0" collapsed="false">
      <c r="A42" s="509" t="s">
        <v>394</v>
      </c>
      <c r="B42" s="522" t="s">
        <v>423</v>
      </c>
      <c r="C42" s="533" t="n">
        <v>0.006</v>
      </c>
      <c r="D42" s="534" t="n">
        <f aca="false">ROUND(C42*($D$23+$D$33),2)</f>
        <v>0</v>
      </c>
    </row>
    <row r="43" customFormat="false" ht="12.75" hidden="false" customHeight="false" outlineLevel="0" collapsed="false">
      <c r="A43" s="509" t="s">
        <v>396</v>
      </c>
      <c r="B43" s="522" t="s">
        <v>424</v>
      </c>
      <c r="C43" s="533" t="n">
        <v>0.002</v>
      </c>
      <c r="D43" s="534" t="n">
        <f aca="false">ROUND(C43*($D$23+$D$33),2)</f>
        <v>0</v>
      </c>
    </row>
    <row r="44" customFormat="false" ht="12.75" hidden="false" customHeight="false" outlineLevel="0" collapsed="false">
      <c r="A44" s="509" t="s">
        <v>398</v>
      </c>
      <c r="B44" s="522" t="s">
        <v>425</v>
      </c>
      <c r="C44" s="533" t="n">
        <v>0.08</v>
      </c>
      <c r="D44" s="534" t="n">
        <f aca="false">ROUND(C44*($D$23+$D$33),2)</f>
        <v>0</v>
      </c>
    </row>
    <row r="45" customFormat="false" ht="12.75" hidden="false" customHeight="false" outlineLevel="0" collapsed="false">
      <c r="A45" s="535" t="s">
        <v>406</v>
      </c>
      <c r="B45" s="536"/>
      <c r="C45" s="537" t="n">
        <f aca="false">SUM(C37:C44)</f>
        <v>0.368</v>
      </c>
      <c r="D45" s="538" t="n">
        <f aca="false">SUM(D37:D44)</f>
        <v>0</v>
      </c>
    </row>
    <row r="46" customFormat="false" ht="12.75" hidden="false" customHeight="false" outlineLevel="0" collapsed="false">
      <c r="A46" s="539"/>
      <c r="B46" s="539"/>
      <c r="C46" s="539"/>
      <c r="D46" s="539"/>
    </row>
    <row r="47" customFormat="false" ht="12.75" hidden="false" customHeight="true" outlineLevel="0" collapsed="false">
      <c r="A47" s="531" t="s">
        <v>426</v>
      </c>
      <c r="B47" s="531"/>
      <c r="C47" s="531"/>
      <c r="D47" s="531"/>
    </row>
    <row r="48" customFormat="false" ht="12.75" hidden="false" customHeight="false" outlineLevel="0" collapsed="false">
      <c r="A48" s="518" t="s">
        <v>427</v>
      </c>
      <c r="B48" s="532" t="s">
        <v>428</v>
      </c>
      <c r="C48" s="520"/>
      <c r="D48" s="521" t="s">
        <v>387</v>
      </c>
    </row>
    <row r="49" customFormat="false" ht="12.75" hidden="false" customHeight="false" outlineLevel="0" collapsed="false">
      <c r="A49" s="540" t="s">
        <v>15</v>
      </c>
      <c r="B49" s="522" t="s">
        <v>429</v>
      </c>
      <c r="C49" s="541"/>
      <c r="D49" s="534" t="n">
        <f aca="false">+'Mem_Cal_Serv_44_Seg_a_Sab+insal'!C17</f>
        <v>0</v>
      </c>
    </row>
    <row r="50" s="46" customFormat="true" ht="12.75" hidden="false" customHeight="false" outlineLevel="0" collapsed="false">
      <c r="A50" s="542" t="s">
        <v>52</v>
      </c>
      <c r="B50" s="543" t="s">
        <v>336</v>
      </c>
      <c r="C50" s="523" t="n">
        <f aca="false">+$C$131+$C$132</f>
        <v>0.0925</v>
      </c>
      <c r="D50" s="544" t="n">
        <f aca="false">+(C50*D49)*-1</f>
        <v>0</v>
      </c>
    </row>
    <row r="51" customFormat="false" ht="12.75" hidden="false" customHeight="false" outlineLevel="0" collapsed="false">
      <c r="A51" s="540" t="s">
        <v>17</v>
      </c>
      <c r="B51" s="522" t="s">
        <v>430</v>
      </c>
      <c r="C51" s="541"/>
      <c r="D51" s="534" t="n">
        <f aca="false">+'Mem_Cal_Serv_44_Seg_a_Sab+insal'!C26</f>
        <v>0</v>
      </c>
    </row>
    <row r="52" s="46" customFormat="true" ht="12.75" hidden="false" customHeight="false" outlineLevel="0" collapsed="false">
      <c r="A52" s="542" t="s">
        <v>77</v>
      </c>
      <c r="B52" s="543" t="s">
        <v>336</v>
      </c>
      <c r="C52" s="523" t="n">
        <f aca="false">+$C$131+$C$132</f>
        <v>0.0925</v>
      </c>
      <c r="D52" s="544" t="n">
        <f aca="false">+(C52*D51)*-1</f>
        <v>0</v>
      </c>
      <c r="F52" s="545"/>
    </row>
    <row r="53" customFormat="false" ht="12.75" hidden="false" customHeight="false" outlineLevel="0" collapsed="false">
      <c r="A53" s="546" t="s">
        <v>20</v>
      </c>
      <c r="B53" s="546" t="s">
        <v>431</v>
      </c>
      <c r="C53" s="541"/>
      <c r="D53" s="547"/>
    </row>
    <row r="54" customFormat="false" ht="12.75" hidden="false" customHeight="false" outlineLevel="0" collapsed="false">
      <c r="A54" s="546" t="s">
        <v>22</v>
      </c>
      <c r="B54" s="548" t="s">
        <v>432</v>
      </c>
      <c r="C54" s="541"/>
      <c r="D54" s="547"/>
    </row>
    <row r="55" customFormat="false" ht="25.5" hidden="false" customHeight="false" outlineLevel="0" collapsed="false">
      <c r="A55" s="546" t="s">
        <v>392</v>
      </c>
      <c r="B55" s="549" t="s">
        <v>433</v>
      </c>
      <c r="C55" s="541"/>
      <c r="D55" s="550"/>
      <c r="F55" s="551"/>
    </row>
    <row r="56" customFormat="false" ht="12.75" hidden="false" customHeight="false" outlineLevel="0" collapsed="false">
      <c r="A56" s="546" t="s">
        <v>394</v>
      </c>
      <c r="B56" s="552" t="s">
        <v>434</v>
      </c>
      <c r="C56" s="541"/>
      <c r="D56" s="553"/>
    </row>
    <row r="57" customFormat="false" ht="12.75" hidden="false" customHeight="false" outlineLevel="0" collapsed="false">
      <c r="A57" s="494" t="s">
        <v>406</v>
      </c>
      <c r="B57" s="494"/>
      <c r="C57" s="554"/>
      <c r="D57" s="555" t="n">
        <f aca="false">SUM(D49:D56)</f>
        <v>0</v>
      </c>
    </row>
    <row r="59" customFormat="false" ht="12.75" hidden="false" customHeight="false" outlineLevel="0" collapsed="false">
      <c r="A59" s="505" t="s">
        <v>435</v>
      </c>
      <c r="B59" s="505"/>
      <c r="C59" s="505"/>
      <c r="D59" s="505"/>
    </row>
    <row r="60" customFormat="false" ht="12.75" hidden="false" customHeight="false" outlineLevel="0" collapsed="false">
      <c r="A60" s="556" t="n">
        <v>2</v>
      </c>
      <c r="B60" s="557" t="s">
        <v>436</v>
      </c>
      <c r="C60" s="557"/>
      <c r="D60" s="558" t="s">
        <v>387</v>
      </c>
    </row>
    <row r="61" customFormat="false" ht="12.75" hidden="false" customHeight="false" outlineLevel="0" collapsed="false">
      <c r="A61" s="543" t="s">
        <v>409</v>
      </c>
      <c r="B61" s="559" t="s">
        <v>410</v>
      </c>
      <c r="C61" s="559"/>
      <c r="D61" s="534" t="n">
        <f aca="false">+D33</f>
        <v>0</v>
      </c>
    </row>
    <row r="62" customFormat="false" ht="12.75" hidden="false" customHeight="false" outlineLevel="0" collapsed="false">
      <c r="A62" s="543" t="s">
        <v>416</v>
      </c>
      <c r="B62" s="559" t="s">
        <v>417</v>
      </c>
      <c r="C62" s="559"/>
      <c r="D62" s="534" t="n">
        <f aca="false">+D45</f>
        <v>0</v>
      </c>
    </row>
    <row r="63" customFormat="false" ht="12.75" hidden="false" customHeight="false" outlineLevel="0" collapsed="false">
      <c r="A63" s="543" t="s">
        <v>427</v>
      </c>
      <c r="B63" s="559" t="s">
        <v>428</v>
      </c>
      <c r="C63" s="559"/>
      <c r="D63" s="560" t="n">
        <f aca="false">+D57</f>
        <v>0</v>
      </c>
    </row>
    <row r="64" customFormat="false" ht="12.75" hidden="false" customHeight="false" outlineLevel="0" collapsed="false">
      <c r="A64" s="557" t="s">
        <v>406</v>
      </c>
      <c r="B64" s="557"/>
      <c r="C64" s="557"/>
      <c r="D64" s="561" t="n">
        <f aca="false">SUM(D61:D63)</f>
        <v>0</v>
      </c>
    </row>
    <row r="66" customFormat="false" ht="12.75" hidden="false" customHeight="false" outlineLevel="0" collapsed="false">
      <c r="A66" s="505" t="s">
        <v>437</v>
      </c>
      <c r="B66" s="505"/>
      <c r="C66" s="505"/>
      <c r="D66" s="505"/>
    </row>
    <row r="68" customFormat="false" ht="12.75" hidden="false" customHeight="false" outlineLevel="0" collapsed="false">
      <c r="A68" s="562" t="n">
        <v>3</v>
      </c>
      <c r="B68" s="519" t="s">
        <v>438</v>
      </c>
      <c r="C68" s="492" t="s">
        <v>386</v>
      </c>
      <c r="D68" s="492" t="s">
        <v>387</v>
      </c>
    </row>
    <row r="69" customFormat="false" ht="12.75" hidden="false" customHeight="false" outlineLevel="0" collapsed="false">
      <c r="A69" s="509" t="s">
        <v>15</v>
      </c>
      <c r="B69" s="543" t="s">
        <v>439</v>
      </c>
      <c r="C69" s="523" t="e">
        <f aca="false">+D69/$D$23</f>
        <v>#DIV/0!</v>
      </c>
      <c r="D69" s="563" t="n">
        <f aca="false">+'Mem_Cal_Serv_44_Seg_a_Sab+insal'!C32</f>
        <v>0</v>
      </c>
    </row>
    <row r="70" customFormat="false" ht="12.75" hidden="false" customHeight="false" outlineLevel="0" collapsed="false">
      <c r="A70" s="509" t="s">
        <v>17</v>
      </c>
      <c r="B70" s="522" t="s">
        <v>440</v>
      </c>
      <c r="C70" s="564"/>
      <c r="D70" s="515" t="n">
        <f aca="false">ROUND(+D69*$C$44,2)</f>
        <v>0</v>
      </c>
    </row>
    <row r="71" customFormat="false" ht="25.5" hidden="false" customHeight="false" outlineLevel="0" collapsed="false">
      <c r="A71" s="509" t="s">
        <v>20</v>
      </c>
      <c r="B71" s="565" t="s">
        <v>441</v>
      </c>
      <c r="C71" s="533" t="e">
        <f aca="false">+D71/$D$23</f>
        <v>#DIV/0!</v>
      </c>
      <c r="D71" s="515" t="n">
        <f aca="false">+'Mem_Cal_Serv_44_Seg_a_Sab+insal'!C44</f>
        <v>0</v>
      </c>
    </row>
    <row r="72" customFormat="false" ht="12.75" hidden="false" customHeight="false" outlineLevel="0" collapsed="false">
      <c r="A72" s="559" t="s">
        <v>22</v>
      </c>
      <c r="B72" s="522" t="s">
        <v>442</v>
      </c>
      <c r="C72" s="533" t="e">
        <f aca="false">+D72/$D$23</f>
        <v>#DIV/0!</v>
      </c>
      <c r="D72" s="515" t="n">
        <f aca="false">+'Mem_Cal_Serv_44_Seg_a_Sab+insal'!C52</f>
        <v>0</v>
      </c>
    </row>
    <row r="73" customFormat="false" ht="25.5" hidden="false" customHeight="false" outlineLevel="0" collapsed="false">
      <c r="A73" s="559" t="s">
        <v>392</v>
      </c>
      <c r="B73" s="565" t="s">
        <v>443</v>
      </c>
      <c r="C73" s="564"/>
      <c r="D73" s="566"/>
    </row>
    <row r="74" customFormat="false" ht="25.5" hidden="false" customHeight="false" outlineLevel="0" collapsed="false">
      <c r="A74" s="559" t="s">
        <v>394</v>
      </c>
      <c r="B74" s="565" t="s">
        <v>444</v>
      </c>
      <c r="C74" s="533" t="e">
        <f aca="false">+D74/$D$23</f>
        <v>#DIV/0!</v>
      </c>
      <c r="D74" s="534" t="n">
        <f aca="false">+'Mem_Cal_Serv_44_Seg_a_Sab+insal'!C64</f>
        <v>0</v>
      </c>
    </row>
    <row r="75" customFormat="false" ht="12.75" hidden="false" customHeight="false" outlineLevel="0" collapsed="false">
      <c r="A75" s="494" t="s">
        <v>406</v>
      </c>
      <c r="B75" s="494"/>
      <c r="C75" s="494"/>
      <c r="D75" s="567" t="n">
        <f aca="false">SUM(D69:D74)</f>
        <v>0</v>
      </c>
    </row>
    <row r="77" customFormat="false" ht="12.75" hidden="false" customHeight="false" outlineLevel="0" collapsed="false">
      <c r="A77" s="505" t="s">
        <v>445</v>
      </c>
      <c r="B77" s="505"/>
      <c r="C77" s="505"/>
      <c r="D77" s="505"/>
    </row>
    <row r="79" customFormat="false" ht="12.75" hidden="false" customHeight="true" outlineLevel="0" collapsed="false">
      <c r="A79" s="568" t="s">
        <v>446</v>
      </c>
      <c r="B79" s="568"/>
      <c r="C79" s="568"/>
      <c r="D79" s="568"/>
    </row>
    <row r="80" customFormat="false" ht="12.75" hidden="false" customHeight="false" outlineLevel="0" collapsed="false">
      <c r="A80" s="562" t="s">
        <v>447</v>
      </c>
      <c r="B80" s="494" t="s">
        <v>448</v>
      </c>
      <c r="C80" s="494"/>
      <c r="D80" s="492" t="s">
        <v>387</v>
      </c>
    </row>
    <row r="81" customFormat="false" ht="12.75" hidden="false" customHeight="false" outlineLevel="0" collapsed="false">
      <c r="A81" s="522" t="s">
        <v>15</v>
      </c>
      <c r="B81" s="305" t="s">
        <v>449</v>
      </c>
      <c r="C81" s="305"/>
      <c r="D81" s="515"/>
    </row>
    <row r="82" customFormat="false" ht="12.75" hidden="false" customHeight="false" outlineLevel="0" collapsed="false">
      <c r="A82" s="543" t="s">
        <v>17</v>
      </c>
      <c r="B82" s="569" t="s">
        <v>448</v>
      </c>
      <c r="C82" s="569"/>
      <c r="D82" s="570" t="n">
        <f aca="false">+'Mem_Cal_Serv_44_Seg_a_Sab+insal'!C77</f>
        <v>0</v>
      </c>
    </row>
    <row r="83" s="46" customFormat="true" ht="12.75" hidden="false" customHeight="false" outlineLevel="0" collapsed="false">
      <c r="A83" s="543" t="s">
        <v>20</v>
      </c>
      <c r="B83" s="569" t="s">
        <v>450</v>
      </c>
      <c r="C83" s="569"/>
      <c r="D83" s="570" t="n">
        <f aca="false">+'Mem_Cal_Serv_44_Seg_a_Sab+insal'!C86</f>
        <v>0</v>
      </c>
    </row>
    <row r="84" s="46" customFormat="true" ht="12.75" hidden="false" customHeight="false" outlineLevel="0" collapsed="false">
      <c r="A84" s="543" t="s">
        <v>22</v>
      </c>
      <c r="B84" s="569" t="s">
        <v>451</v>
      </c>
      <c r="C84" s="569"/>
      <c r="D84" s="570" t="n">
        <f aca="false">+'Mem_Cal_Serv_44_Seg_a_Sab+insal'!C94</f>
        <v>0</v>
      </c>
    </row>
    <row r="85" s="46" customFormat="true" ht="14.25" hidden="false" customHeight="false" outlineLevel="0" collapsed="false">
      <c r="A85" s="543" t="s">
        <v>392</v>
      </c>
      <c r="B85" s="569" t="s">
        <v>452</v>
      </c>
      <c r="C85" s="569"/>
      <c r="D85" s="570"/>
    </row>
    <row r="86" s="46" customFormat="true" ht="12.75" hidden="false" customHeight="false" outlineLevel="0" collapsed="false">
      <c r="A86" s="543" t="s">
        <v>394</v>
      </c>
      <c r="B86" s="569" t="s">
        <v>453</v>
      </c>
      <c r="C86" s="569"/>
      <c r="D86" s="570" t="n">
        <f aca="false">+'Mem_Cal_Serv_44_Seg_a_Sab+insal'!C102</f>
        <v>0</v>
      </c>
    </row>
    <row r="87" customFormat="false" ht="12.75" hidden="false" customHeight="false" outlineLevel="0" collapsed="false">
      <c r="A87" s="522" t="s">
        <v>396</v>
      </c>
      <c r="B87" s="305" t="s">
        <v>405</v>
      </c>
      <c r="C87" s="305"/>
      <c r="D87" s="515"/>
    </row>
    <row r="88" customFormat="false" ht="12.75" hidden="false" customHeight="false" outlineLevel="0" collapsed="false">
      <c r="A88" s="522" t="s">
        <v>398</v>
      </c>
      <c r="B88" s="305" t="s">
        <v>454</v>
      </c>
      <c r="C88" s="305"/>
      <c r="D88" s="566"/>
    </row>
    <row r="89" customFormat="false" ht="12.75" hidden="false" customHeight="false" outlineLevel="0" collapsed="false">
      <c r="A89" s="494" t="s">
        <v>406</v>
      </c>
      <c r="B89" s="494"/>
      <c r="C89" s="494"/>
      <c r="D89" s="517" t="n">
        <f aca="false">SUM(D81:D88)</f>
        <v>0</v>
      </c>
    </row>
    <row r="90" customFormat="false" ht="12.75" hidden="false" customHeight="false" outlineLevel="0" collapsed="false">
      <c r="D90" s="571"/>
    </row>
    <row r="91" customFormat="false" ht="12.75" hidden="false" customHeight="false" outlineLevel="0" collapsed="false">
      <c r="A91" s="562" t="s">
        <v>455</v>
      </c>
      <c r="B91" s="494" t="s">
        <v>456</v>
      </c>
      <c r="C91" s="494"/>
      <c r="D91" s="492" t="s">
        <v>387</v>
      </c>
    </row>
    <row r="92" s="46" customFormat="true" ht="12.75" hidden="false" customHeight="false" outlineLevel="0" collapsed="false">
      <c r="A92" s="543" t="s">
        <v>15</v>
      </c>
      <c r="B92" s="559" t="s">
        <v>457</v>
      </c>
      <c r="C92" s="559"/>
      <c r="D92" s="570" t="n">
        <f aca="false">+'Mem_Cal_Serv_44_Seg_a_Sab+insal'!C113</f>
        <v>0</v>
      </c>
    </row>
    <row r="93" s="46" customFormat="true" ht="30.75" hidden="false" customHeight="true" outlineLevel="0" collapsed="false">
      <c r="A93" s="543" t="s">
        <v>17</v>
      </c>
      <c r="B93" s="572" t="s">
        <v>458</v>
      </c>
      <c r="C93" s="572"/>
      <c r="D93" s="566"/>
    </row>
    <row r="94" s="46" customFormat="true" ht="32.25" hidden="false" customHeight="true" outlineLevel="0" collapsed="false">
      <c r="A94" s="543" t="s">
        <v>20</v>
      </c>
      <c r="B94" s="572" t="s">
        <v>459</v>
      </c>
      <c r="C94" s="572"/>
      <c r="D94" s="566"/>
    </row>
    <row r="95" customFormat="false" ht="12.75" hidden="false" customHeight="false" outlineLevel="0" collapsed="false">
      <c r="A95" s="522" t="s">
        <v>22</v>
      </c>
      <c r="B95" s="305" t="s">
        <v>405</v>
      </c>
      <c r="C95" s="305"/>
      <c r="D95" s="515"/>
    </row>
    <row r="96" customFormat="false" ht="12.75" hidden="false" customHeight="false" outlineLevel="0" collapsed="false">
      <c r="A96" s="494" t="s">
        <v>406</v>
      </c>
      <c r="B96" s="494"/>
      <c r="C96" s="494"/>
      <c r="D96" s="517" t="n">
        <f aca="false">SUM(D92:D95)</f>
        <v>0</v>
      </c>
    </row>
    <row r="97" customFormat="false" ht="12.75" hidden="false" customHeight="false" outlineLevel="0" collapsed="false">
      <c r="D97" s="571"/>
    </row>
    <row r="98" customFormat="false" ht="12.75" hidden="false" customHeight="false" outlineLevel="0" collapsed="false">
      <c r="A98" s="562" t="s">
        <v>460</v>
      </c>
      <c r="B98" s="494" t="s">
        <v>461</v>
      </c>
      <c r="C98" s="494"/>
      <c r="D98" s="492" t="s">
        <v>387</v>
      </c>
    </row>
    <row r="99" s="574" customFormat="true" ht="12.75" hidden="false" customHeight="true" outlineLevel="0" collapsed="false">
      <c r="A99" s="559" t="s">
        <v>15</v>
      </c>
      <c r="B99" s="572" t="s">
        <v>462</v>
      </c>
      <c r="C99" s="572"/>
      <c r="D99" s="573"/>
    </row>
    <row r="100" customFormat="false" ht="12.75" hidden="false" customHeight="false" outlineLevel="0" collapsed="false">
      <c r="A100" s="494" t="s">
        <v>406</v>
      </c>
      <c r="B100" s="494"/>
      <c r="C100" s="494"/>
      <c r="D100" s="517" t="n">
        <f aca="false">SUM(D99:D99)</f>
        <v>0</v>
      </c>
    </row>
    <row r="102" customFormat="false" ht="12.75" hidden="false" customHeight="false" outlineLevel="0" collapsed="false">
      <c r="A102" s="575" t="s">
        <v>463</v>
      </c>
      <c r="B102" s="575"/>
      <c r="C102" s="575"/>
      <c r="D102" s="575"/>
    </row>
    <row r="103" customFormat="false" ht="12.75" hidden="false" customHeight="false" outlineLevel="0" collapsed="false">
      <c r="A103" s="522" t="s">
        <v>447</v>
      </c>
      <c r="B103" s="305" t="s">
        <v>448</v>
      </c>
      <c r="C103" s="305"/>
      <c r="D103" s="534" t="n">
        <f aca="false">+D89</f>
        <v>0</v>
      </c>
    </row>
    <row r="104" customFormat="false" ht="12.75" hidden="false" customHeight="false" outlineLevel="0" collapsed="false">
      <c r="A104" s="522" t="s">
        <v>455</v>
      </c>
      <c r="B104" s="305" t="s">
        <v>456</v>
      </c>
      <c r="C104" s="305"/>
      <c r="D104" s="534" t="n">
        <f aca="false">+D96</f>
        <v>0</v>
      </c>
    </row>
    <row r="105" customFormat="false" ht="12.75" hidden="false" customHeight="false" outlineLevel="0" collapsed="false">
      <c r="A105" s="576"/>
      <c r="B105" s="577" t="s">
        <v>464</v>
      </c>
      <c r="C105" s="577"/>
      <c r="D105" s="578" t="n">
        <f aca="false">+D104+D103</f>
        <v>0</v>
      </c>
    </row>
    <row r="106" customFormat="false" ht="12.75" hidden="false" customHeight="false" outlineLevel="0" collapsed="false">
      <c r="A106" s="522" t="s">
        <v>460</v>
      </c>
      <c r="B106" s="305" t="s">
        <v>461</v>
      </c>
      <c r="C106" s="305"/>
      <c r="D106" s="534" t="n">
        <f aca="false">+D100</f>
        <v>0</v>
      </c>
    </row>
    <row r="107" customFormat="false" ht="12.75" hidden="false" customHeight="false" outlineLevel="0" collapsed="false">
      <c r="A107" s="575" t="s">
        <v>406</v>
      </c>
      <c r="B107" s="575"/>
      <c r="C107" s="575"/>
      <c r="D107" s="579" t="n">
        <f aca="false">+D106+D105</f>
        <v>0</v>
      </c>
    </row>
    <row r="109" customFormat="false" ht="12.75" hidden="false" customHeight="false" outlineLevel="0" collapsed="false">
      <c r="A109" s="505" t="s">
        <v>465</v>
      </c>
      <c r="B109" s="505"/>
      <c r="C109" s="505"/>
      <c r="D109" s="505"/>
    </row>
    <row r="111" customFormat="false" ht="12.75" hidden="false" customHeight="false" outlineLevel="0" collapsed="false">
      <c r="A111" s="562" t="n">
        <v>5</v>
      </c>
      <c r="B111" s="494" t="s">
        <v>466</v>
      </c>
      <c r="C111" s="494"/>
      <c r="D111" s="492" t="s">
        <v>387</v>
      </c>
    </row>
    <row r="112" customFormat="false" ht="12.75" hidden="false" customHeight="false" outlineLevel="0" collapsed="false">
      <c r="A112" s="522" t="s">
        <v>15</v>
      </c>
      <c r="B112" s="509" t="s">
        <v>467</v>
      </c>
      <c r="C112" s="509"/>
      <c r="D112" s="515" t="n">
        <f aca="false">+Uniformes!F8</f>
        <v>0</v>
      </c>
    </row>
    <row r="113" customFormat="false" ht="12.75" hidden="false" customHeight="false" outlineLevel="0" collapsed="false">
      <c r="A113" s="522" t="s">
        <v>52</v>
      </c>
      <c r="B113" s="543" t="s">
        <v>336</v>
      </c>
      <c r="C113" s="523" t="n">
        <f aca="false">+$C$131+$C$132</f>
        <v>0.0925</v>
      </c>
      <c r="D113" s="544" t="n">
        <f aca="false">+(C113*D112)*-1</f>
        <v>0</v>
      </c>
    </row>
    <row r="114" customFormat="false" ht="12.75" hidden="false" customHeight="false" outlineLevel="0" collapsed="false">
      <c r="A114" s="522" t="s">
        <v>17</v>
      </c>
      <c r="B114" s="509" t="s">
        <v>468</v>
      </c>
      <c r="C114" s="509"/>
      <c r="D114" s="515"/>
    </row>
    <row r="115" customFormat="false" ht="12.75" hidden="false" customHeight="false" outlineLevel="0" collapsed="false">
      <c r="A115" s="522" t="s">
        <v>77</v>
      </c>
      <c r="B115" s="543" t="s">
        <v>336</v>
      </c>
      <c r="C115" s="523" t="n">
        <f aca="false">+$C$131+$C$132</f>
        <v>0.0925</v>
      </c>
      <c r="D115" s="544" t="n">
        <f aca="false">+(C115*D114)*-1</f>
        <v>0</v>
      </c>
    </row>
    <row r="116" customFormat="false" ht="12.75" hidden="false" customHeight="false" outlineLevel="0" collapsed="false">
      <c r="A116" s="522" t="s">
        <v>20</v>
      </c>
      <c r="B116" s="509" t="s">
        <v>469</v>
      </c>
      <c r="C116" s="509"/>
      <c r="D116" s="515"/>
    </row>
    <row r="117" customFormat="false" ht="12.75" hidden="false" customHeight="false" outlineLevel="0" collapsed="false">
      <c r="A117" s="522" t="s">
        <v>96</v>
      </c>
      <c r="B117" s="543" t="s">
        <v>336</v>
      </c>
      <c r="C117" s="523" t="n">
        <f aca="false">+$C$131+$C$132</f>
        <v>0.0925</v>
      </c>
      <c r="D117" s="544" t="n">
        <f aca="false">+(C117*D116)*-1</f>
        <v>0</v>
      </c>
    </row>
    <row r="118" customFormat="false" ht="12.75" hidden="false" customHeight="false" outlineLevel="0" collapsed="false">
      <c r="A118" s="522" t="s">
        <v>22</v>
      </c>
      <c r="B118" s="509" t="s">
        <v>405</v>
      </c>
      <c r="C118" s="509"/>
      <c r="D118" s="515"/>
    </row>
    <row r="119" customFormat="false" ht="12.75" hidden="false" customHeight="false" outlineLevel="0" collapsed="false">
      <c r="A119" s="522" t="s">
        <v>470</v>
      </c>
      <c r="B119" s="543" t="s">
        <v>336</v>
      </c>
      <c r="C119" s="523" t="n">
        <f aca="false">+$C$131+$C$132</f>
        <v>0.0925</v>
      </c>
      <c r="D119" s="544" t="n">
        <f aca="false">+(C119*D118)*-1</f>
        <v>0</v>
      </c>
    </row>
    <row r="120" customFormat="false" ht="12.75" hidden="false" customHeight="false" outlineLevel="0" collapsed="false">
      <c r="A120" s="494" t="s">
        <v>406</v>
      </c>
      <c r="B120" s="494"/>
      <c r="C120" s="494"/>
      <c r="D120" s="517" t="n">
        <f aca="false">SUM(D112:D118)</f>
        <v>0</v>
      </c>
    </row>
    <row r="122" customFormat="false" ht="12.75" hidden="false" customHeight="false" outlineLevel="0" collapsed="false">
      <c r="A122" s="505" t="s">
        <v>471</v>
      </c>
      <c r="B122" s="505"/>
      <c r="C122" s="505"/>
      <c r="D122" s="505"/>
    </row>
    <row r="124" customFormat="false" ht="12.75" hidden="false" customHeight="false" outlineLevel="0" collapsed="false">
      <c r="A124" s="562" t="n">
        <v>6</v>
      </c>
      <c r="B124" s="519" t="s">
        <v>472</v>
      </c>
      <c r="C124" s="580" t="s">
        <v>386</v>
      </c>
      <c r="D124" s="492" t="s">
        <v>387</v>
      </c>
    </row>
    <row r="125" customFormat="false" ht="12.75" hidden="false" customHeight="false" outlineLevel="0" collapsed="false">
      <c r="A125" s="522" t="s">
        <v>15</v>
      </c>
      <c r="B125" s="522" t="s">
        <v>328</v>
      </c>
      <c r="C125" s="533" t="n">
        <v>0.03</v>
      </c>
      <c r="D125" s="581" t="n">
        <f aca="false">($D$120+$D$107+$D$75+$D$64+$D$23)*C125</f>
        <v>0</v>
      </c>
    </row>
    <row r="126" customFormat="false" ht="12.75" hidden="false" customHeight="false" outlineLevel="0" collapsed="false">
      <c r="A126" s="522" t="s">
        <v>17</v>
      </c>
      <c r="B126" s="522" t="s">
        <v>329</v>
      </c>
      <c r="C126" s="533" t="n">
        <v>0.03</v>
      </c>
      <c r="D126" s="581" t="n">
        <f aca="false">($D$120+$D$107+$D$75+$D$64+$D$23+D125)*C126</f>
        <v>0</v>
      </c>
    </row>
    <row r="127" s="584" customFormat="true" ht="12.75" hidden="false" customHeight="false" outlineLevel="0" collapsed="false">
      <c r="A127" s="582" t="s">
        <v>473</v>
      </c>
      <c r="B127" s="582"/>
      <c r="C127" s="582"/>
      <c r="D127" s="661" t="n">
        <f aca="false">++D126+D125+D120+D107+D75+D64+D23</f>
        <v>0</v>
      </c>
    </row>
    <row r="128" s="584" customFormat="true" ht="12.75" hidden="false" customHeight="true" outlineLevel="0" collapsed="false">
      <c r="A128" s="585" t="s">
        <v>474</v>
      </c>
      <c r="B128" s="585"/>
      <c r="C128" s="585"/>
      <c r="D128" s="661" t="n">
        <f aca="false">ROUND(D127/(1-(C131+C132+C134+C136+C137)),2)</f>
        <v>0</v>
      </c>
    </row>
    <row r="129" customFormat="false" ht="12.75" hidden="false" customHeight="false" outlineLevel="0" collapsed="false">
      <c r="A129" s="522" t="s">
        <v>20</v>
      </c>
      <c r="B129" s="522" t="s">
        <v>475</v>
      </c>
      <c r="C129" s="533"/>
      <c r="D129" s="581"/>
    </row>
    <row r="130" customFormat="false" ht="12.75" hidden="false" customHeight="false" outlineLevel="0" collapsed="false">
      <c r="A130" s="522" t="s">
        <v>96</v>
      </c>
      <c r="B130" s="522" t="s">
        <v>476</v>
      </c>
      <c r="C130" s="533"/>
      <c r="D130" s="581"/>
    </row>
    <row r="131" customFormat="false" ht="12.75" hidden="false" customHeight="false" outlineLevel="0" collapsed="false">
      <c r="A131" s="522" t="s">
        <v>477</v>
      </c>
      <c r="B131" s="522" t="s">
        <v>330</v>
      </c>
      <c r="C131" s="533" t="n">
        <v>0.0165</v>
      </c>
      <c r="D131" s="581" t="n">
        <f aca="false">ROUND(C131*$D$128,2)</f>
        <v>0</v>
      </c>
      <c r="G131" s="586"/>
    </row>
    <row r="132" customFormat="false" ht="12.75" hidden="false" customHeight="false" outlineLevel="0" collapsed="false">
      <c r="A132" s="522" t="s">
        <v>478</v>
      </c>
      <c r="B132" s="522" t="s">
        <v>331</v>
      </c>
      <c r="C132" s="533" t="n">
        <v>0.076</v>
      </c>
      <c r="D132" s="581" t="n">
        <f aca="false">ROUND(C132*$D$128,2)</f>
        <v>0</v>
      </c>
      <c r="G132" s="586"/>
    </row>
    <row r="133" customFormat="false" ht="12.75" hidden="false" customHeight="false" outlineLevel="0" collapsed="false">
      <c r="A133" s="522" t="s">
        <v>479</v>
      </c>
      <c r="B133" s="522" t="s">
        <v>480</v>
      </c>
      <c r="C133" s="533"/>
      <c r="D133" s="581"/>
      <c r="G133" s="586"/>
    </row>
    <row r="134" customFormat="false" ht="12.75" hidden="false" customHeight="false" outlineLevel="0" collapsed="false">
      <c r="A134" s="522" t="s">
        <v>481</v>
      </c>
      <c r="B134" s="522" t="s">
        <v>482</v>
      </c>
      <c r="C134" s="533"/>
      <c r="D134" s="581"/>
      <c r="G134" s="586"/>
    </row>
    <row r="135" customFormat="false" ht="12.75" hidden="false" customHeight="false" outlineLevel="0" collapsed="false">
      <c r="A135" s="522" t="s">
        <v>483</v>
      </c>
      <c r="B135" s="522" t="s">
        <v>484</v>
      </c>
      <c r="C135" s="533"/>
      <c r="D135" s="581"/>
    </row>
    <row r="136" customFormat="false" ht="12.75" hidden="false" customHeight="false" outlineLevel="0" collapsed="false">
      <c r="A136" s="522" t="s">
        <v>485</v>
      </c>
      <c r="B136" s="522" t="s">
        <v>332</v>
      </c>
      <c r="C136" s="533" t="n">
        <v>0.05</v>
      </c>
      <c r="D136" s="581" t="n">
        <f aca="false">ROUND(C136*$D$128,2)</f>
        <v>0</v>
      </c>
    </row>
    <row r="137" customFormat="false" ht="12.75" hidden="false" customHeight="false" outlineLevel="0" collapsed="false">
      <c r="A137" s="522" t="s">
        <v>486</v>
      </c>
      <c r="B137" s="522" t="s">
        <v>487</v>
      </c>
      <c r="C137" s="533"/>
      <c r="D137" s="581"/>
    </row>
    <row r="138" customFormat="false" ht="12.75" hidden="false" customHeight="false" outlineLevel="0" collapsed="false">
      <c r="A138" s="522" t="s">
        <v>22</v>
      </c>
      <c r="B138" s="522" t="s">
        <v>488</v>
      </c>
      <c r="C138" s="533"/>
      <c r="D138" s="624"/>
    </row>
    <row r="139" customFormat="false" ht="14.25" hidden="false" customHeight="false" outlineLevel="0" collapsed="false">
      <c r="A139" s="522" t="s">
        <v>489</v>
      </c>
      <c r="B139" s="522" t="s">
        <v>490</v>
      </c>
      <c r="C139" s="533"/>
      <c r="D139" s="624" t="n">
        <f aca="false">+'LOTE_I_-_Custo_M2'!$T$192</f>
        <v>0.33</v>
      </c>
    </row>
    <row r="140" customFormat="false" ht="12.75" hidden="false" customHeight="false" outlineLevel="0" collapsed="false">
      <c r="A140" s="522" t="s">
        <v>491</v>
      </c>
      <c r="B140" s="522" t="s">
        <v>492</v>
      </c>
      <c r="C140" s="533"/>
      <c r="D140" s="624" t="n">
        <f aca="false">+'LOTE_I_-_Custo_M2'!$T$193</f>
        <v>0.88</v>
      </c>
    </row>
    <row r="141" customFormat="false" ht="12.75" hidden="false" customHeight="false" outlineLevel="0" collapsed="false">
      <c r="A141" s="535" t="s">
        <v>406</v>
      </c>
      <c r="B141" s="535"/>
      <c r="C141" s="587" t="n">
        <f aca="false">+C137+C136+C134+C132+C131+C126+C125</f>
        <v>0.2025</v>
      </c>
      <c r="D141" s="588" t="n">
        <f aca="false">+D136+D134+D132+D131+D126+D125+D139+D140</f>
        <v>1.21</v>
      </c>
    </row>
    <row r="142" customFormat="false" ht="12.75" hidden="false" customHeight="false" outlineLevel="0" collapsed="false">
      <c r="D142" s="593"/>
    </row>
    <row r="143" customFormat="false" ht="12.75" hidden="false" customHeight="false" outlineLevel="0" collapsed="false">
      <c r="A143" s="589" t="s">
        <v>493</v>
      </c>
      <c r="B143" s="589"/>
      <c r="C143" s="589"/>
      <c r="D143" s="589"/>
    </row>
    <row r="144" customFormat="false" ht="12.75" hidden="false" customHeight="false" outlineLevel="0" collapsed="false">
      <c r="A144" s="522" t="s">
        <v>15</v>
      </c>
      <c r="B144" s="305" t="s">
        <v>494</v>
      </c>
      <c r="C144" s="305"/>
      <c r="D144" s="626" t="n">
        <f aca="false">+D23</f>
        <v>0</v>
      </c>
    </row>
    <row r="145" customFormat="false" ht="12.75" hidden="false" customHeight="false" outlineLevel="0" collapsed="false">
      <c r="A145" s="522" t="s">
        <v>495</v>
      </c>
      <c r="B145" s="305" t="s">
        <v>496</v>
      </c>
      <c r="C145" s="305"/>
      <c r="D145" s="626" t="n">
        <f aca="false">+D64</f>
        <v>0</v>
      </c>
    </row>
    <row r="146" customFormat="false" ht="12.75" hidden="false" customHeight="false" outlineLevel="0" collapsed="false">
      <c r="A146" s="522" t="s">
        <v>20</v>
      </c>
      <c r="B146" s="305" t="s">
        <v>497</v>
      </c>
      <c r="C146" s="305"/>
      <c r="D146" s="626" t="n">
        <f aca="false">+D75</f>
        <v>0</v>
      </c>
    </row>
    <row r="147" customFormat="false" ht="12.75" hidden="false" customHeight="false" outlineLevel="0" collapsed="false">
      <c r="A147" s="522" t="s">
        <v>22</v>
      </c>
      <c r="B147" s="305" t="s">
        <v>498</v>
      </c>
      <c r="C147" s="305"/>
      <c r="D147" s="626" t="n">
        <f aca="false">+D107</f>
        <v>0</v>
      </c>
    </row>
    <row r="148" customFormat="false" ht="12.75" hidden="false" customHeight="false" outlineLevel="0" collapsed="false">
      <c r="A148" s="522" t="s">
        <v>392</v>
      </c>
      <c r="B148" s="305" t="s">
        <v>499</v>
      </c>
      <c r="C148" s="305"/>
      <c r="D148" s="626" t="n">
        <f aca="false">+D120</f>
        <v>0</v>
      </c>
    </row>
    <row r="149" customFormat="false" ht="12.75" hidden="false" customHeight="false" outlineLevel="0" collapsed="false">
      <c r="B149" s="591" t="s">
        <v>500</v>
      </c>
      <c r="C149" s="591"/>
      <c r="D149" s="627" t="n">
        <f aca="false">SUM(D144:D148)</f>
        <v>0</v>
      </c>
    </row>
    <row r="150" customFormat="false" ht="12.75" hidden="false" customHeight="false" outlineLevel="0" collapsed="false">
      <c r="A150" s="522" t="s">
        <v>394</v>
      </c>
      <c r="B150" s="305" t="s">
        <v>501</v>
      </c>
      <c r="C150" s="305"/>
      <c r="D150" s="626" t="n">
        <f aca="false">+D141</f>
        <v>1.21</v>
      </c>
    </row>
    <row r="151" customFormat="false" ht="12.75" hidden="false" customHeight="false" outlineLevel="0" collapsed="false">
      <c r="D151" s="628"/>
    </row>
    <row r="152" customFormat="false" ht="12.75" hidden="false" customHeight="false" outlineLevel="0" collapsed="false">
      <c r="A152" s="594" t="s">
        <v>502</v>
      </c>
      <c r="B152" s="594"/>
      <c r="C152" s="594"/>
      <c r="D152" s="629" t="n">
        <f aca="false">ROUND(+D150+D149,2)</f>
        <v>1.21</v>
      </c>
    </row>
    <row r="154" customFormat="false" ht="39" hidden="false" customHeight="true" outlineLevel="0" collapsed="false">
      <c r="A154" s="597" t="s">
        <v>503</v>
      </c>
      <c r="B154" s="597"/>
      <c r="C154" s="597"/>
      <c r="D154" s="597"/>
    </row>
    <row r="155" customFormat="false" ht="14.25" hidden="false" customHeight="false" outlineLevel="0" collapsed="false">
      <c r="A155" s="599" t="s">
        <v>504</v>
      </c>
      <c r="B155" s="599"/>
      <c r="C155" s="599"/>
      <c r="D155" s="599"/>
      <c r="E155" s="598"/>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4:D154"/>
    <mergeCell ref="A155:D155"/>
  </mergeCells>
  <printOptions headings="false" gridLines="false" gridLinesSet="true" horizontalCentered="false" verticalCentered="false"/>
  <pageMargins left="1.22013888888889" right="0.118055555555556"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rowBreaks count="1" manualBreakCount="1">
    <brk id="108" man="true" max="16383" min="0"/>
  </rowBreaks>
</worksheet>
</file>

<file path=xl/worksheets/sheet19.xml><?xml version="1.0" encoding="utf-8"?>
<worksheet xmlns="http://schemas.openxmlformats.org/spreadsheetml/2006/main" xmlns:r="http://schemas.openxmlformats.org/officeDocument/2006/relationships">
  <sheetPr filterMode="false">
    <pageSetUpPr fitToPage="false"/>
  </sheetPr>
  <dimension ref="A1:C12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9.66"/>
    <col collapsed="false" customWidth="true" hidden="false" outlineLevel="0" max="2" min="2" style="44" width="15.53"/>
    <col collapsed="false" customWidth="true" hidden="false" outlineLevel="0" max="3" min="3" style="44" width="13.09"/>
    <col collapsed="false" customWidth="true" hidden="false" outlineLevel="0" max="4" min="4" style="44" width="10.12"/>
    <col collapsed="false" customWidth="true" hidden="false" outlineLevel="0" max="5" min="5" style="44" width="74.65"/>
    <col collapsed="false" customWidth="true" hidden="false" outlineLevel="0" max="1025" min="6" style="44" width="8.64"/>
  </cols>
  <sheetData>
    <row r="1" customFormat="false" ht="12.75" hidden="false" customHeight="false" outlineLevel="0" collapsed="false">
      <c r="A1" s="670" t="s">
        <v>585</v>
      </c>
      <c r="B1" s="670"/>
      <c r="C1" s="670"/>
    </row>
    <row r="3" customFormat="false" ht="12.75" hidden="false" customHeight="false" outlineLevel="0" collapsed="false">
      <c r="A3" s="522" t="s">
        <v>506</v>
      </c>
      <c r="B3" s="522" t="n">
        <v>220</v>
      </c>
    </row>
    <row r="4" customFormat="false" ht="12.75" hidden="false" customHeight="false" outlineLevel="0" collapsed="false">
      <c r="A4" s="522" t="s">
        <v>507</v>
      </c>
      <c r="B4" s="522" t="n">
        <v>365.25</v>
      </c>
    </row>
    <row r="5" customFormat="false" ht="12.75" hidden="false" customHeight="false" outlineLevel="0" collapsed="false">
      <c r="A5" s="522" t="s">
        <v>508</v>
      </c>
      <c r="B5" s="601" t="n">
        <f aca="false">(365.25/12)/(7/6)</f>
        <v>26.0892857142857</v>
      </c>
    </row>
    <row r="6" customFormat="false" ht="12.75" hidden="false" customHeight="false" outlineLevel="0" collapsed="false">
      <c r="A6" s="543" t="s">
        <v>388</v>
      </c>
      <c r="B6" s="534" t="n">
        <f aca="false">+'Serv_44_Seg_a_Sab+insal'!D12</f>
        <v>0</v>
      </c>
    </row>
    <row r="7" customFormat="false" ht="12.75" hidden="false" customHeight="false" outlineLevel="0" collapsed="false">
      <c r="A7" s="543" t="s">
        <v>509</v>
      </c>
      <c r="B7" s="534" t="n">
        <f aca="false">+'Serv_44_Seg_a_Sab+insal'!D23</f>
        <v>0</v>
      </c>
    </row>
    <row r="10" customFormat="false" ht="12.75" hidden="false" customHeight="false" outlineLevel="0" collapsed="false">
      <c r="A10" s="602" t="s">
        <v>510</v>
      </c>
      <c r="B10" s="602"/>
      <c r="C10" s="602"/>
    </row>
    <row r="11" customFormat="false" ht="12.75" hidden="false" customHeight="false" outlineLevel="0" collapsed="false">
      <c r="A11" s="522" t="s">
        <v>511</v>
      </c>
      <c r="B11" s="522" t="n">
        <f aca="false">+$B$4</f>
        <v>365.25</v>
      </c>
      <c r="C11" s="564"/>
    </row>
    <row r="12" customFormat="false" ht="12.75" hidden="false" customHeight="false" outlineLevel="0" collapsed="false">
      <c r="A12" s="522" t="s">
        <v>512</v>
      </c>
      <c r="B12" s="543" t="n">
        <v>12</v>
      </c>
      <c r="C12" s="564"/>
    </row>
    <row r="13" customFormat="false" ht="12.75" hidden="false" customHeight="false" outlineLevel="0" collapsed="false">
      <c r="A13" s="522" t="s">
        <v>513</v>
      </c>
      <c r="B13" s="533" t="n">
        <v>1</v>
      </c>
      <c r="C13" s="564"/>
    </row>
    <row r="14" customFormat="false" ht="12.75" hidden="false" customHeight="false" outlineLevel="0" collapsed="false">
      <c r="A14" s="543" t="s">
        <v>514</v>
      </c>
      <c r="B14" s="603" t="n">
        <f aca="false">+B5</f>
        <v>26.0892857142857</v>
      </c>
      <c r="C14" s="564"/>
    </row>
    <row r="15" customFormat="false" ht="12.75" hidden="false" customHeight="false" outlineLevel="0" collapsed="false">
      <c r="A15" s="548" t="s">
        <v>515</v>
      </c>
      <c r="B15" s="604"/>
      <c r="C15" s="564"/>
    </row>
    <row r="16" customFormat="false" ht="12.75" hidden="false" customHeight="false" outlineLevel="0" collapsed="false">
      <c r="A16" s="522" t="s">
        <v>516</v>
      </c>
      <c r="B16" s="533" t="n">
        <v>0.06</v>
      </c>
      <c r="C16" s="564"/>
    </row>
    <row r="17" customFormat="false" ht="12.75" hidden="false" customHeight="false" outlineLevel="0" collapsed="false">
      <c r="A17" s="575" t="s">
        <v>517</v>
      </c>
      <c r="B17" s="575"/>
      <c r="C17" s="605" t="n">
        <f aca="false">ROUND((B14*(B15*2)-($B$6*B16)),2)</f>
        <v>0</v>
      </c>
    </row>
    <row r="19" customFormat="false" ht="12.75" hidden="false" customHeight="false" outlineLevel="0" collapsed="false">
      <c r="A19" s="602" t="s">
        <v>518</v>
      </c>
      <c r="B19" s="602"/>
      <c r="C19" s="602"/>
    </row>
    <row r="20" customFormat="false" ht="12.75" hidden="false" customHeight="false" outlineLevel="0" collapsed="false">
      <c r="A20" s="522" t="s">
        <v>511</v>
      </c>
      <c r="B20" s="522" t="n">
        <f aca="false">+$B$4</f>
        <v>365.25</v>
      </c>
      <c r="C20" s="564"/>
    </row>
    <row r="21" customFormat="false" ht="12.75" hidden="false" customHeight="false" outlineLevel="0" collapsed="false">
      <c r="A21" s="522" t="s">
        <v>512</v>
      </c>
      <c r="B21" s="543" t="n">
        <v>12</v>
      </c>
      <c r="C21" s="564"/>
    </row>
    <row r="22" customFormat="false" ht="12.75" hidden="false" customHeight="false" outlineLevel="0" collapsed="false">
      <c r="A22" s="522" t="s">
        <v>513</v>
      </c>
      <c r="B22" s="533" t="n">
        <v>1</v>
      </c>
      <c r="C22" s="564"/>
    </row>
    <row r="23" customFormat="false" ht="12.75" hidden="false" customHeight="false" outlineLevel="0" collapsed="false">
      <c r="A23" s="543" t="s">
        <v>514</v>
      </c>
      <c r="B23" s="601" t="n">
        <f aca="false">(365.25/12)/(7/5)</f>
        <v>21.7410714285714</v>
      </c>
      <c r="C23" s="564"/>
    </row>
    <row r="24" customFormat="false" ht="12.75" hidden="false" customHeight="false" outlineLevel="0" collapsed="false">
      <c r="A24" s="548" t="s">
        <v>519</v>
      </c>
      <c r="B24" s="604"/>
      <c r="C24" s="564"/>
    </row>
    <row r="25" customFormat="false" ht="12.75" hidden="false" customHeight="false" outlineLevel="0" collapsed="false">
      <c r="A25" s="522" t="s">
        <v>520</v>
      </c>
      <c r="B25" s="533" t="n">
        <v>0.1</v>
      </c>
      <c r="C25" s="564"/>
    </row>
    <row r="26" customFormat="false" ht="12.75" hidden="false" customHeight="false" outlineLevel="0" collapsed="false">
      <c r="A26" s="575" t="s">
        <v>519</v>
      </c>
      <c r="B26" s="575"/>
      <c r="C26" s="605" t="n">
        <f aca="false">ROUND((B23*(B24)-((B23*B24)*B25)),2)</f>
        <v>0</v>
      </c>
    </row>
    <row r="28" customFormat="false" ht="12.75" hidden="false" customHeight="false" outlineLevel="0" collapsed="false">
      <c r="A28" s="602" t="s">
        <v>521</v>
      </c>
      <c r="B28" s="602"/>
      <c r="C28" s="602"/>
    </row>
    <row r="29" customFormat="false" ht="12.75" hidden="false" customHeight="false" outlineLevel="0" collapsed="false">
      <c r="A29" s="522" t="s">
        <v>522</v>
      </c>
      <c r="B29" s="534" t="n">
        <f aca="false">+B7</f>
        <v>0</v>
      </c>
      <c r="C29" s="564"/>
    </row>
    <row r="30" customFormat="false" ht="12.75" hidden="false" customHeight="false" outlineLevel="0" collapsed="false">
      <c r="A30" s="522" t="s">
        <v>523</v>
      </c>
      <c r="B30" s="522" t="n">
        <v>12</v>
      </c>
      <c r="C30" s="564"/>
    </row>
    <row r="31" customFormat="false" ht="12.75" hidden="false" customHeight="false" outlineLevel="0" collapsed="false">
      <c r="A31" s="546" t="s">
        <v>524</v>
      </c>
      <c r="B31" s="606"/>
      <c r="C31" s="564"/>
    </row>
    <row r="32" customFormat="false" ht="12.75" hidden="false" customHeight="false" outlineLevel="0" collapsed="false">
      <c r="A32" s="575" t="s">
        <v>525</v>
      </c>
      <c r="B32" s="575"/>
      <c r="C32" s="605" t="n">
        <f aca="false">ROUND(+(B29/B30)*B31,2)</f>
        <v>0</v>
      </c>
    </row>
    <row r="34" customFormat="false" ht="12.75" hidden="false" customHeight="true" outlineLevel="0" collapsed="false">
      <c r="A34" s="607" t="s">
        <v>526</v>
      </c>
      <c r="B34" s="607"/>
      <c r="C34" s="607"/>
    </row>
    <row r="35" s="46" customFormat="true" ht="12.75" hidden="false" customHeight="false" outlineLevel="0" collapsed="false">
      <c r="A35" s="608" t="s">
        <v>527</v>
      </c>
      <c r="B35" s="606" t="n">
        <f aca="false">+B31</f>
        <v>0</v>
      </c>
      <c r="C35" s="564"/>
    </row>
    <row r="36" customFormat="false" ht="12.75" hidden="false" customHeight="false" outlineLevel="0" collapsed="false">
      <c r="A36" s="522" t="s">
        <v>528</v>
      </c>
      <c r="B36" s="534" t="n">
        <f aca="false">+'Serv_44_Seg_a_Sab+insal'!$D$23</f>
        <v>0</v>
      </c>
      <c r="C36" s="564"/>
    </row>
    <row r="37" customFormat="false" ht="12.75" hidden="false" customHeight="false" outlineLevel="0" collapsed="false">
      <c r="A37" s="522" t="s">
        <v>411</v>
      </c>
      <c r="B37" s="534" t="n">
        <f aca="false">+'Serv_44_Seg_a_Sab+insal'!$D$29</f>
        <v>0</v>
      </c>
      <c r="C37" s="564"/>
    </row>
    <row r="38" customFormat="false" ht="12.75" hidden="false" customHeight="false" outlineLevel="0" collapsed="false">
      <c r="A38" s="522" t="s">
        <v>413</v>
      </c>
      <c r="B38" s="534" t="n">
        <f aca="false">+'Serv_44_Seg_a_Sab+insal'!$D$31</f>
        <v>0</v>
      </c>
      <c r="C38" s="564"/>
    </row>
    <row r="39" customFormat="false" ht="12.75" hidden="false" customHeight="false" outlineLevel="0" collapsed="false">
      <c r="A39" s="522" t="s">
        <v>414</v>
      </c>
      <c r="B39" s="534" t="n">
        <f aca="false">+'Serv_44_Seg_a_Sab+insal'!$D$32</f>
        <v>0</v>
      </c>
      <c r="C39" s="564"/>
    </row>
    <row r="40" customFormat="false" ht="12.75" hidden="false" customHeight="false" outlineLevel="0" collapsed="false">
      <c r="A40" s="609" t="s">
        <v>529</v>
      </c>
      <c r="B40" s="610" t="n">
        <f aca="false">SUM(B36:B39)</f>
        <v>0</v>
      </c>
      <c r="C40" s="564"/>
    </row>
    <row r="41" customFormat="false" ht="12.75" hidden="false" customHeight="false" outlineLevel="0" collapsed="false">
      <c r="A41" s="543" t="s">
        <v>530</v>
      </c>
      <c r="B41" s="533" t="n">
        <v>0.4</v>
      </c>
      <c r="C41" s="564"/>
    </row>
    <row r="42" customFormat="false" ht="12.75" hidden="false" customHeight="false" outlineLevel="0" collapsed="false">
      <c r="A42" s="543" t="s">
        <v>531</v>
      </c>
      <c r="B42" s="533" t="n">
        <f aca="false">+'Serv_44_Seg_a_Sab+insal'!$C$44</f>
        <v>0.08</v>
      </c>
      <c r="C42" s="564"/>
    </row>
    <row r="43" customFormat="false" ht="12.75" hidden="false" customHeight="false" outlineLevel="0" collapsed="false">
      <c r="A43" s="577" t="s">
        <v>532</v>
      </c>
      <c r="B43" s="577"/>
      <c r="C43" s="578" t="n">
        <f aca="false">ROUND(+B40*B41*B42*B35,2)</f>
        <v>0</v>
      </c>
    </row>
    <row r="44" customFormat="false" ht="12.75" hidden="false" customHeight="false" outlineLevel="0" collapsed="false">
      <c r="A44" s="575" t="s">
        <v>533</v>
      </c>
      <c r="B44" s="575"/>
      <c r="C44" s="579" t="n">
        <f aca="false">+C43</f>
        <v>0</v>
      </c>
    </row>
    <row r="46" customFormat="false" ht="12.75" hidden="false" customHeight="false" outlineLevel="0" collapsed="false">
      <c r="A46" s="602" t="s">
        <v>534</v>
      </c>
      <c r="B46" s="602"/>
      <c r="C46" s="602"/>
    </row>
    <row r="47" customFormat="false" ht="12.75" hidden="false" customHeight="false" outlineLevel="0" collapsed="false">
      <c r="A47" s="522" t="s">
        <v>522</v>
      </c>
      <c r="B47" s="534" t="n">
        <f aca="false">+B7</f>
        <v>0</v>
      </c>
      <c r="C47" s="564"/>
    </row>
    <row r="48" customFormat="false" ht="12.75" hidden="false" customHeight="false" outlineLevel="0" collapsed="false">
      <c r="A48" s="522" t="s">
        <v>535</v>
      </c>
      <c r="B48" s="611" t="n">
        <v>30</v>
      </c>
      <c r="C48" s="564"/>
    </row>
    <row r="49" customFormat="false" ht="12.75" hidden="false" customHeight="false" outlineLevel="0" collapsed="false">
      <c r="A49" s="522" t="s">
        <v>523</v>
      </c>
      <c r="B49" s="522" t="n">
        <v>12</v>
      </c>
      <c r="C49" s="564"/>
    </row>
    <row r="50" customFormat="false" ht="12.75" hidden="false" customHeight="false" outlineLevel="0" collapsed="false">
      <c r="A50" s="522" t="s">
        <v>536</v>
      </c>
      <c r="B50" s="522" t="n">
        <v>7</v>
      </c>
      <c r="C50" s="564"/>
    </row>
    <row r="51" customFormat="false" ht="12.75" hidden="false" customHeight="false" outlineLevel="0" collapsed="false">
      <c r="A51" s="546" t="s">
        <v>537</v>
      </c>
      <c r="B51" s="606"/>
      <c r="C51" s="564"/>
    </row>
    <row r="52" customFormat="false" ht="12.75" hidden="false" customHeight="false" outlineLevel="0" collapsed="false">
      <c r="A52" s="575" t="s">
        <v>538</v>
      </c>
      <c r="B52" s="575"/>
      <c r="C52" s="605" t="n">
        <f aca="false">+ROUND(((B47/B48/B49)*B50)*B51,2)</f>
        <v>0</v>
      </c>
    </row>
    <row r="54" customFormat="false" ht="12.75" hidden="false" customHeight="true" outlineLevel="0" collapsed="false">
      <c r="A54" s="607" t="s">
        <v>539</v>
      </c>
      <c r="B54" s="607"/>
      <c r="C54" s="607"/>
    </row>
    <row r="55" customFormat="false" ht="12.75" hidden="false" customHeight="false" outlineLevel="0" collapsed="false">
      <c r="A55" s="608" t="s">
        <v>540</v>
      </c>
      <c r="B55" s="606" t="n">
        <f aca="false">+B51</f>
        <v>0</v>
      </c>
      <c r="C55" s="564"/>
    </row>
    <row r="56" customFormat="false" ht="12.75" hidden="false" customHeight="false" outlineLevel="0" collapsed="false">
      <c r="A56" s="522" t="s">
        <v>528</v>
      </c>
      <c r="B56" s="534" t="n">
        <f aca="false">+'Serv_44_Seg_a_Sab+insal'!$D$23</f>
        <v>0</v>
      </c>
      <c r="C56" s="564"/>
    </row>
    <row r="57" customFormat="false" ht="12.75" hidden="false" customHeight="false" outlineLevel="0" collapsed="false">
      <c r="A57" s="522" t="s">
        <v>411</v>
      </c>
      <c r="B57" s="534" t="n">
        <f aca="false">+'Serv_44_Seg_a_Sab+insal'!$D$29</f>
        <v>0</v>
      </c>
      <c r="C57" s="564"/>
    </row>
    <row r="58" customFormat="false" ht="12.75" hidden="false" customHeight="false" outlineLevel="0" collapsed="false">
      <c r="A58" s="522" t="s">
        <v>413</v>
      </c>
      <c r="B58" s="534" t="n">
        <f aca="false">+'Serv_44_Seg_a_Sab+insal'!$D$31</f>
        <v>0</v>
      </c>
      <c r="C58" s="564"/>
    </row>
    <row r="59" customFormat="false" ht="12.75" hidden="false" customHeight="false" outlineLevel="0" collapsed="false">
      <c r="A59" s="522" t="s">
        <v>414</v>
      </c>
      <c r="B59" s="534" t="n">
        <f aca="false">+'Serv_44_Seg_a_Sab+insal'!$D$32</f>
        <v>0</v>
      </c>
      <c r="C59" s="564"/>
    </row>
    <row r="60" customFormat="false" ht="12.75" hidden="false" customHeight="false" outlineLevel="0" collapsed="false">
      <c r="A60" s="609" t="s">
        <v>529</v>
      </c>
      <c r="B60" s="610" t="n">
        <f aca="false">SUM(B56:B59)</f>
        <v>0</v>
      </c>
      <c r="C60" s="564"/>
    </row>
    <row r="61" customFormat="false" ht="12.75" hidden="false" customHeight="false" outlineLevel="0" collapsed="false">
      <c r="A61" s="543" t="s">
        <v>530</v>
      </c>
      <c r="B61" s="533" t="n">
        <v>0.4</v>
      </c>
      <c r="C61" s="564"/>
    </row>
    <row r="62" customFormat="false" ht="12.75" hidden="false" customHeight="false" outlineLevel="0" collapsed="false">
      <c r="A62" s="543" t="s">
        <v>531</v>
      </c>
      <c r="B62" s="533" t="n">
        <f aca="false">+'Serv_44_Seg_a_Sab+insal'!$C$44</f>
        <v>0.08</v>
      </c>
      <c r="C62" s="564"/>
    </row>
    <row r="63" customFormat="false" ht="12.75" hidden="false" customHeight="false" outlineLevel="0" collapsed="false">
      <c r="A63" s="577" t="s">
        <v>532</v>
      </c>
      <c r="B63" s="577"/>
      <c r="C63" s="578" t="n">
        <f aca="false">ROUND(+B60*B61*B62*B55,2)</f>
        <v>0</v>
      </c>
    </row>
    <row r="64" customFormat="false" ht="12.75" hidden="false" customHeight="false" outlineLevel="0" collapsed="false">
      <c r="A64" s="575" t="s">
        <v>541</v>
      </c>
      <c r="B64" s="575"/>
      <c r="C64" s="579" t="n">
        <f aca="false">+C63</f>
        <v>0</v>
      </c>
    </row>
    <row r="66" customFormat="false" ht="12.75" hidden="false" customHeight="true" outlineLevel="0" collapsed="false">
      <c r="A66" s="607" t="s">
        <v>542</v>
      </c>
      <c r="B66" s="607"/>
      <c r="C66" s="607"/>
    </row>
    <row r="67" customFormat="false" ht="12.75" hidden="false" customHeight="true" outlineLevel="0" collapsed="false">
      <c r="A67" s="612" t="s">
        <v>543</v>
      </c>
      <c r="B67" s="612"/>
      <c r="C67" s="612"/>
    </row>
    <row r="68" customFormat="false" ht="12.75" hidden="false" customHeight="false" outlineLevel="0" collapsed="false">
      <c r="A68" s="612"/>
      <c r="B68" s="612"/>
      <c r="C68" s="612"/>
    </row>
    <row r="69" customFormat="false" ht="12.75" hidden="false" customHeight="false" outlineLevel="0" collapsed="false">
      <c r="A69" s="612"/>
      <c r="B69" s="612"/>
      <c r="C69" s="612"/>
    </row>
    <row r="70" customFormat="false" ht="12.75" hidden="false" customHeight="false" outlineLevel="0" collapsed="false">
      <c r="A70" s="612"/>
      <c r="B70" s="612"/>
      <c r="C70" s="612"/>
    </row>
    <row r="71" customFormat="false" ht="12.75" hidden="false" customHeight="false" outlineLevel="0" collapsed="false">
      <c r="A71" s="613"/>
      <c r="B71" s="613"/>
      <c r="C71" s="613"/>
    </row>
    <row r="72" customFormat="false" ht="12.75" hidden="false" customHeight="true" outlineLevel="0" collapsed="false">
      <c r="A72" s="607" t="s">
        <v>544</v>
      </c>
      <c r="B72" s="607"/>
      <c r="C72" s="607"/>
    </row>
    <row r="73" customFormat="false" ht="12.75" hidden="false" customHeight="false" outlineLevel="0" collapsed="false">
      <c r="A73" s="522" t="s">
        <v>545</v>
      </c>
      <c r="B73" s="534" t="n">
        <f aca="false">+$B$7</f>
        <v>0</v>
      </c>
      <c r="C73" s="564"/>
    </row>
    <row r="74" customFormat="false" ht="12.75" hidden="false" customHeight="false" outlineLevel="0" collapsed="false">
      <c r="A74" s="522" t="s">
        <v>512</v>
      </c>
      <c r="B74" s="522" t="n">
        <v>30</v>
      </c>
      <c r="C74" s="564"/>
    </row>
    <row r="75" customFormat="false" ht="12.75" hidden="false" customHeight="false" outlineLevel="0" collapsed="false">
      <c r="A75" s="522" t="s">
        <v>546</v>
      </c>
      <c r="B75" s="522" t="n">
        <v>12</v>
      </c>
      <c r="C75" s="564"/>
    </row>
    <row r="76" customFormat="false" ht="12.75" hidden="false" customHeight="false" outlineLevel="0" collapsed="false">
      <c r="A76" s="546" t="s">
        <v>547</v>
      </c>
      <c r="B76" s="546"/>
      <c r="C76" s="564"/>
    </row>
    <row r="77" customFormat="false" ht="12.75" hidden="false" customHeight="false" outlineLevel="0" collapsed="false">
      <c r="A77" s="575" t="s">
        <v>548</v>
      </c>
      <c r="B77" s="575"/>
      <c r="C77" s="556" t="n">
        <f aca="false">+ROUND((B73/B74/B75)*B76,2)</f>
        <v>0</v>
      </c>
    </row>
    <row r="79" customFormat="false" ht="12.75" hidden="false" customHeight="true" outlineLevel="0" collapsed="false">
      <c r="A79" s="607" t="s">
        <v>549</v>
      </c>
      <c r="B79" s="607"/>
      <c r="C79" s="607"/>
    </row>
    <row r="80" customFormat="false" ht="12.75" hidden="false" customHeight="false" outlineLevel="0" collapsed="false">
      <c r="A80" s="522" t="s">
        <v>545</v>
      </c>
      <c r="B80" s="534" t="n">
        <f aca="false">+$B$7</f>
        <v>0</v>
      </c>
      <c r="C80" s="564"/>
    </row>
    <row r="81" customFormat="false" ht="12.75" hidden="false" customHeight="false" outlineLevel="0" collapsed="false">
      <c r="A81" s="522" t="s">
        <v>512</v>
      </c>
      <c r="B81" s="522" t="n">
        <v>30</v>
      </c>
      <c r="C81" s="564"/>
    </row>
    <row r="82" customFormat="false" ht="12.75" hidden="false" customHeight="false" outlineLevel="0" collapsed="false">
      <c r="A82" s="522" t="s">
        <v>546</v>
      </c>
      <c r="B82" s="522" t="n">
        <v>12</v>
      </c>
      <c r="C82" s="564"/>
    </row>
    <row r="83" customFormat="false" ht="12.75" hidden="false" customHeight="false" outlineLevel="0" collapsed="false">
      <c r="A83" s="543" t="s">
        <v>550</v>
      </c>
      <c r="B83" s="522" t="n">
        <v>5</v>
      </c>
      <c r="C83" s="564"/>
    </row>
    <row r="84" customFormat="false" ht="12.75" hidden="false" customHeight="false" outlineLevel="0" collapsed="false">
      <c r="A84" s="546" t="s">
        <v>551</v>
      </c>
      <c r="B84" s="606"/>
      <c r="C84" s="564"/>
    </row>
    <row r="85" customFormat="false" ht="12.75" hidden="false" customHeight="false" outlineLevel="0" collapsed="false">
      <c r="A85" s="546" t="s">
        <v>552</v>
      </c>
      <c r="B85" s="606"/>
      <c r="C85" s="564"/>
    </row>
    <row r="86" customFormat="false" ht="12.75" hidden="false" customHeight="false" outlineLevel="0" collapsed="false">
      <c r="A86" s="575" t="s">
        <v>553</v>
      </c>
      <c r="B86" s="575"/>
      <c r="C86" s="605" t="n">
        <f aca="false">ROUND(+B80/B81/B82*B83*B84*B85,2)</f>
        <v>0</v>
      </c>
    </row>
    <row r="88" customFormat="false" ht="12.75" hidden="false" customHeight="true" outlineLevel="0" collapsed="false">
      <c r="A88" s="607" t="s">
        <v>554</v>
      </c>
      <c r="B88" s="607"/>
      <c r="C88" s="607"/>
    </row>
    <row r="89" customFormat="false" ht="12.75" hidden="false" customHeight="false" outlineLevel="0" collapsed="false">
      <c r="A89" s="522" t="s">
        <v>545</v>
      </c>
      <c r="B89" s="534" t="n">
        <f aca="false">+$B$7</f>
        <v>0</v>
      </c>
      <c r="C89" s="564"/>
    </row>
    <row r="90" customFormat="false" ht="12.75" hidden="false" customHeight="false" outlineLevel="0" collapsed="false">
      <c r="A90" s="522" t="s">
        <v>512</v>
      </c>
      <c r="B90" s="522" t="n">
        <v>30</v>
      </c>
      <c r="C90" s="564"/>
    </row>
    <row r="91" customFormat="false" ht="12.75" hidden="false" customHeight="false" outlineLevel="0" collapsed="false">
      <c r="A91" s="522" t="s">
        <v>546</v>
      </c>
      <c r="B91" s="522" t="n">
        <v>12</v>
      </c>
      <c r="C91" s="564"/>
    </row>
    <row r="92" customFormat="false" ht="12.75" hidden="false" customHeight="false" outlineLevel="0" collapsed="false">
      <c r="A92" s="543" t="s">
        <v>555</v>
      </c>
      <c r="B92" s="522" t="n">
        <v>15</v>
      </c>
      <c r="C92" s="564"/>
    </row>
    <row r="93" customFormat="false" ht="12.75" hidden="false" customHeight="false" outlineLevel="0" collapsed="false">
      <c r="A93" s="546" t="s">
        <v>556</v>
      </c>
      <c r="B93" s="606"/>
      <c r="C93" s="564"/>
    </row>
    <row r="94" customFormat="false" ht="12.75" hidden="false" customHeight="false" outlineLevel="0" collapsed="false">
      <c r="A94" s="575" t="s">
        <v>557</v>
      </c>
      <c r="B94" s="575"/>
      <c r="C94" s="605" t="n">
        <f aca="false">ROUND(+B89/B90/B91*B92*B93,2)</f>
        <v>0</v>
      </c>
    </row>
    <row r="96" customFormat="false" ht="12.75" hidden="false" customHeight="true" outlineLevel="0" collapsed="false">
      <c r="A96" s="607" t="s">
        <v>558</v>
      </c>
      <c r="B96" s="607"/>
      <c r="C96" s="607"/>
    </row>
    <row r="97" customFormat="false" ht="12.75" hidden="false" customHeight="false" outlineLevel="0" collapsed="false">
      <c r="A97" s="522" t="s">
        <v>545</v>
      </c>
      <c r="B97" s="534" t="n">
        <f aca="false">+$B$7</f>
        <v>0</v>
      </c>
      <c r="C97" s="564"/>
    </row>
    <row r="98" customFormat="false" ht="12.75" hidden="false" customHeight="false" outlineLevel="0" collapsed="false">
      <c r="A98" s="522" t="s">
        <v>512</v>
      </c>
      <c r="B98" s="522" t="n">
        <v>30</v>
      </c>
      <c r="C98" s="564"/>
    </row>
    <row r="99" customFormat="false" ht="12.75" hidden="false" customHeight="false" outlineLevel="0" collapsed="false">
      <c r="A99" s="522" t="s">
        <v>546</v>
      </c>
      <c r="B99" s="522" t="n">
        <v>12</v>
      </c>
      <c r="C99" s="564"/>
    </row>
    <row r="100" customFormat="false" ht="12.75" hidden="false" customHeight="false" outlineLevel="0" collapsed="false">
      <c r="A100" s="543" t="s">
        <v>555</v>
      </c>
      <c r="B100" s="522" t="n">
        <v>5</v>
      </c>
      <c r="C100" s="564"/>
    </row>
    <row r="101" customFormat="false" ht="12.75" hidden="false" customHeight="false" outlineLevel="0" collapsed="false">
      <c r="A101" s="546" t="s">
        <v>559</v>
      </c>
      <c r="B101" s="606"/>
      <c r="C101" s="564"/>
    </row>
    <row r="102" customFormat="false" ht="12.75" hidden="false" customHeight="false" outlineLevel="0" collapsed="false">
      <c r="A102" s="575" t="s">
        <v>560</v>
      </c>
      <c r="B102" s="575"/>
      <c r="C102" s="605" t="n">
        <f aca="false">ROUND(+B97/B98/B99*B100*B101,2)</f>
        <v>0</v>
      </c>
    </row>
    <row r="104" customFormat="false" ht="12.75" hidden="false" customHeight="true" outlineLevel="0" collapsed="false">
      <c r="A104" s="607" t="s">
        <v>562</v>
      </c>
      <c r="B104" s="607"/>
      <c r="C104" s="607"/>
    </row>
    <row r="105" customFormat="false" ht="12.75" hidden="false" customHeight="true" outlineLevel="0" collapsed="false">
      <c r="A105" s="614" t="s">
        <v>563</v>
      </c>
      <c r="B105" s="614"/>
      <c r="C105" s="614"/>
    </row>
    <row r="106" customFormat="false" ht="12.75" hidden="false" customHeight="false" outlineLevel="0" collapsed="false">
      <c r="A106" s="522" t="s">
        <v>545</v>
      </c>
      <c r="B106" s="534" t="n">
        <f aca="false">+$B$7</f>
        <v>0</v>
      </c>
      <c r="C106" s="564"/>
    </row>
    <row r="107" customFormat="false" ht="12.75" hidden="false" customHeight="false" outlineLevel="0" collapsed="false">
      <c r="A107" s="522" t="s">
        <v>564</v>
      </c>
      <c r="B107" s="534" t="n">
        <f aca="false">+B106*(1/3)</f>
        <v>0</v>
      </c>
      <c r="C107" s="564"/>
    </row>
    <row r="108" customFormat="false" ht="12.75" hidden="false" customHeight="false" outlineLevel="0" collapsed="false">
      <c r="A108" s="609" t="s">
        <v>529</v>
      </c>
      <c r="B108" s="610" t="n">
        <f aca="false">SUM(B106:B107)</f>
        <v>0</v>
      </c>
      <c r="C108" s="564"/>
    </row>
    <row r="109" customFormat="false" ht="12.75" hidden="false" customHeight="false" outlineLevel="0" collapsed="false">
      <c r="A109" s="522" t="s">
        <v>565</v>
      </c>
      <c r="B109" s="522" t="n">
        <v>4</v>
      </c>
      <c r="C109" s="564"/>
    </row>
    <row r="110" customFormat="false" ht="12.75" hidden="false" customHeight="false" outlineLevel="0" collapsed="false">
      <c r="A110" s="522" t="s">
        <v>546</v>
      </c>
      <c r="B110" s="522" t="n">
        <v>12</v>
      </c>
      <c r="C110" s="564"/>
    </row>
    <row r="111" customFormat="false" ht="12.75" hidden="false" customHeight="false" outlineLevel="0" collapsed="false">
      <c r="A111" s="546" t="s">
        <v>566</v>
      </c>
      <c r="B111" s="606"/>
      <c r="C111" s="564"/>
    </row>
    <row r="112" customFormat="false" ht="12.75" hidden="false" customHeight="false" outlineLevel="0" collapsed="false">
      <c r="A112" s="546" t="s">
        <v>567</v>
      </c>
      <c r="B112" s="606"/>
      <c r="C112" s="564"/>
    </row>
    <row r="113" customFormat="false" ht="12.75" hidden="false" customHeight="false" outlineLevel="0" collapsed="false">
      <c r="A113" s="575" t="s">
        <v>568</v>
      </c>
      <c r="B113" s="575"/>
      <c r="C113" s="605" t="n">
        <f aca="false">ROUND((((+B108*(B109/B110)/B110)*B111)*B112),2)</f>
        <v>0</v>
      </c>
    </row>
    <row r="114" customFormat="false" ht="12.75" hidden="false" customHeight="false" outlineLevel="0" collapsed="false">
      <c r="A114" s="575" t="s">
        <v>569</v>
      </c>
      <c r="B114" s="575"/>
      <c r="C114" s="575"/>
    </row>
    <row r="115" customFormat="false" ht="12.75" hidden="false" customHeight="false" outlineLevel="0" collapsed="false">
      <c r="A115" s="522" t="s">
        <v>545</v>
      </c>
      <c r="B115" s="534" t="n">
        <f aca="false">+'Serv_44_Seg_a_Sab+insal'!D23</f>
        <v>0</v>
      </c>
      <c r="C115" s="564"/>
    </row>
    <row r="116" customFormat="false" ht="12.75" hidden="false" customHeight="false" outlineLevel="0" collapsed="false">
      <c r="A116" s="522" t="s">
        <v>411</v>
      </c>
      <c r="B116" s="534" t="n">
        <f aca="false">+'Serv_44_Seg_a_Sab+insal'!D29</f>
        <v>0</v>
      </c>
      <c r="C116" s="564"/>
    </row>
    <row r="117" customFormat="false" ht="12.75" hidden="false" customHeight="false" outlineLevel="0" collapsed="false">
      <c r="A117" s="609" t="s">
        <v>529</v>
      </c>
      <c r="B117" s="610" t="n">
        <f aca="false">SUM(B115:B116)</f>
        <v>0</v>
      </c>
      <c r="C117" s="564"/>
    </row>
    <row r="118" customFormat="false" ht="12.75" hidden="false" customHeight="false" outlineLevel="0" collapsed="false">
      <c r="A118" s="522" t="s">
        <v>565</v>
      </c>
      <c r="B118" s="522" t="n">
        <v>4</v>
      </c>
      <c r="C118" s="564"/>
    </row>
    <row r="119" customFormat="false" ht="12.75" hidden="false" customHeight="false" outlineLevel="0" collapsed="false">
      <c r="A119" s="522" t="s">
        <v>546</v>
      </c>
      <c r="B119" s="522" t="n">
        <v>12</v>
      </c>
      <c r="C119" s="564"/>
    </row>
    <row r="120" customFormat="false" ht="12.75" hidden="false" customHeight="false" outlineLevel="0" collapsed="false">
      <c r="A120" s="546" t="s">
        <v>566</v>
      </c>
      <c r="B120" s="606" t="n">
        <f aca="false">+B111</f>
        <v>0</v>
      </c>
      <c r="C120" s="564"/>
    </row>
    <row r="121" customFormat="false" ht="12.75" hidden="false" customHeight="false" outlineLevel="0" collapsed="false">
      <c r="A121" s="546" t="s">
        <v>567</v>
      </c>
      <c r="B121" s="606" t="n">
        <f aca="false">+B112</f>
        <v>0</v>
      </c>
      <c r="C121" s="564"/>
    </row>
    <row r="122" customFormat="false" ht="12.75" hidden="false" customHeight="false" outlineLevel="0" collapsed="false">
      <c r="A122" s="543" t="s">
        <v>570</v>
      </c>
      <c r="B122" s="533" t="n">
        <f aca="false">+'Serv_44_Seg_a_Sab+insal'!C45</f>
        <v>0.368</v>
      </c>
      <c r="C122" s="564"/>
    </row>
    <row r="123" customFormat="false" ht="12.75" hidden="false" customHeight="false" outlineLevel="0" collapsed="false">
      <c r="A123" s="575" t="s">
        <v>571</v>
      </c>
      <c r="B123" s="575"/>
      <c r="C123" s="579" t="n">
        <f aca="false">ROUND((((B117*(B118/B119)*B120)*B121)*B122),2)</f>
        <v>0</v>
      </c>
    </row>
    <row r="125" customFormat="false" ht="31.5" hidden="false" customHeight="true" outlineLevel="0" collapsed="false">
      <c r="A125" s="615" t="s">
        <v>575</v>
      </c>
      <c r="B125" s="615"/>
      <c r="C125" s="615"/>
    </row>
  </sheetData>
  <mergeCells count="31">
    <mergeCell ref="A1:C1"/>
    <mergeCell ref="A10:C10"/>
    <mergeCell ref="A17:B17"/>
    <mergeCell ref="A19:C19"/>
    <mergeCell ref="A26:B26"/>
    <mergeCell ref="A28:C28"/>
    <mergeCell ref="A32:B32"/>
    <mergeCell ref="A34:C34"/>
    <mergeCell ref="A43:B43"/>
    <mergeCell ref="A44:B44"/>
    <mergeCell ref="A46:C46"/>
    <mergeCell ref="A52:B52"/>
    <mergeCell ref="A54:C54"/>
    <mergeCell ref="A63:B63"/>
    <mergeCell ref="A64:B64"/>
    <mergeCell ref="A66:C66"/>
    <mergeCell ref="A67:C70"/>
    <mergeCell ref="A72:C72"/>
    <mergeCell ref="A77:B77"/>
    <mergeCell ref="A79:C79"/>
    <mergeCell ref="A86:B86"/>
    <mergeCell ref="A88:C88"/>
    <mergeCell ref="A94:B94"/>
    <mergeCell ref="A96:C96"/>
    <mergeCell ref="A102:B102"/>
    <mergeCell ref="A104:C104"/>
    <mergeCell ref="A105:C105"/>
    <mergeCell ref="A113:B113"/>
    <mergeCell ref="A114:C114"/>
    <mergeCell ref="A123:B123"/>
    <mergeCell ref="A125:C125"/>
  </mergeCells>
  <printOptions headings="false" gridLines="false" gridLinesSet="true" horizontalCentered="false" verticalCentered="false"/>
  <pageMargins left="1.10208333333333" right="0.0784722222222222"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AF194"/>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zeroHeight="false" outlineLevelRow="0" outlineLevelCol="0"/>
  <cols>
    <col collapsed="false" customWidth="true" hidden="false" outlineLevel="0" max="1" min="1" style="1" width="20.38"/>
    <col collapsed="false" customWidth="true" hidden="false" outlineLevel="0" max="2" min="2" style="1" width="10.66"/>
    <col collapsed="false" customWidth="true" hidden="false" outlineLevel="0" max="3" min="3" style="1" width="22.55"/>
    <col collapsed="false" customWidth="true" hidden="false" outlineLevel="0" max="4" min="4" style="1" width="19.04"/>
    <col collapsed="false" customWidth="true" hidden="false" outlineLevel="0" max="5" min="5" style="1" width="20.79"/>
    <col collapsed="false" customWidth="true" hidden="false" outlineLevel="0" max="6" min="6" style="1" width="10.26"/>
    <col collapsed="false" customWidth="true" hidden="false" outlineLevel="0" max="7" min="7" style="1" width="8.64"/>
    <col collapsed="false" customWidth="true" hidden="false" outlineLevel="0" max="8" min="8" style="1" width="40.77"/>
    <col collapsed="false" customWidth="true" hidden="false" outlineLevel="0" max="9" min="9" style="1" width="13.09"/>
    <col collapsed="false" customWidth="true" hidden="false" outlineLevel="0" max="10" min="10" style="1" width="15.12"/>
    <col collapsed="false" customWidth="true" hidden="false" outlineLevel="0" max="12" min="11" style="1" width="14.44"/>
    <col collapsed="false" customWidth="true" hidden="false" outlineLevel="0" max="13" min="13" style="1" width="15.26"/>
    <col collapsed="false" customWidth="true" hidden="false" outlineLevel="0" max="14" min="14" style="1" width="14.44"/>
    <col collapsed="false" customWidth="true" hidden="false" outlineLevel="0" max="15" min="15" style="1" width="15.8"/>
    <col collapsed="false" customWidth="true" hidden="false" outlineLevel="0" max="18" min="16" style="1" width="14.44"/>
    <col collapsed="false" customWidth="true" hidden="false" outlineLevel="0" max="19" min="19" style="1" width="12.96"/>
    <col collapsed="false" customWidth="true" hidden="false" outlineLevel="0" max="20" min="20" style="1" width="16.87"/>
    <col collapsed="false" customWidth="true" hidden="false" outlineLevel="0" max="21" min="21" style="1" width="16.07"/>
    <col collapsed="false" customWidth="true" hidden="false" outlineLevel="0" max="22" min="22" style="58" width="14.85"/>
    <col collapsed="false" customWidth="true" hidden="false" outlineLevel="0" max="23" min="23" style="59" width="18.36"/>
    <col collapsed="false" customWidth="true" hidden="false" outlineLevel="0" max="24" min="24" style="1" width="15.8"/>
    <col collapsed="false" customWidth="false" hidden="false" outlineLevel="0" max="25" min="25" style="58" width="11.47"/>
    <col collapsed="false" customWidth="false" hidden="false" outlineLevel="0" max="32" min="26" style="1" width="11.47"/>
    <col collapsed="false" customWidth="true" hidden="false" outlineLevel="0" max="1025" min="33" style="1" width="8.64"/>
  </cols>
  <sheetData>
    <row r="1" customFormat="false" ht="24" hidden="false" customHeight="true" outlineLevel="0" collapsed="false">
      <c r="A1" s="60" t="s">
        <v>44</v>
      </c>
      <c r="B1" s="61" t="s">
        <v>45</v>
      </c>
      <c r="C1" s="61" t="s">
        <v>46</v>
      </c>
      <c r="D1" s="61" t="s">
        <v>47</v>
      </c>
      <c r="E1" s="61" t="s">
        <v>48</v>
      </c>
      <c r="F1" s="62" t="s">
        <v>49</v>
      </c>
      <c r="H1" s="63" t="s">
        <v>50</v>
      </c>
      <c r="I1" s="63"/>
      <c r="J1" s="63"/>
      <c r="K1" s="63"/>
      <c r="L1" s="63"/>
      <c r="M1" s="63"/>
      <c r="N1" s="63"/>
      <c r="O1" s="63"/>
      <c r="P1" s="63"/>
      <c r="Q1" s="63"/>
      <c r="R1" s="63"/>
      <c r="S1" s="63"/>
      <c r="T1" s="63"/>
      <c r="U1" s="64"/>
      <c r="V1" s="65"/>
    </row>
    <row r="2" customFormat="false" ht="15.75" hidden="false" customHeight="true" outlineLevel="0" collapsed="false">
      <c r="A2" s="66" t="s">
        <v>51</v>
      </c>
      <c r="B2" s="67" t="s">
        <v>52</v>
      </c>
      <c r="C2" s="68" t="s">
        <v>53</v>
      </c>
      <c r="D2" s="69" t="n">
        <v>1400</v>
      </c>
      <c r="E2" s="69" t="n">
        <f aca="false">+J26+J40+J53</f>
        <v>68003</v>
      </c>
      <c r="F2" s="70" t="n">
        <f aca="false">600/D2</f>
        <v>0.428571428571429</v>
      </c>
      <c r="H2" s="71"/>
      <c r="I2" s="71"/>
      <c r="J2" s="71"/>
      <c r="K2" s="71"/>
      <c r="L2" s="71"/>
      <c r="M2" s="71"/>
      <c r="N2" s="71"/>
      <c r="O2" s="71"/>
      <c r="P2" s="71"/>
      <c r="Q2" s="71"/>
      <c r="R2" s="71"/>
      <c r="S2" s="71"/>
      <c r="T2" s="71"/>
      <c r="U2" s="64"/>
      <c r="V2" s="65"/>
    </row>
    <row r="3" customFormat="false" ht="15" hidden="false" customHeight="true" outlineLevel="0" collapsed="false">
      <c r="A3" s="66"/>
      <c r="B3" s="72" t="s">
        <v>54</v>
      </c>
      <c r="C3" s="73" t="s">
        <v>55</v>
      </c>
      <c r="D3" s="74" t="n">
        <v>2000</v>
      </c>
      <c r="E3" s="74" t="n">
        <f aca="false">+K26+K40+K53</f>
        <v>29588</v>
      </c>
      <c r="F3" s="70" t="n">
        <f aca="false">600/D3</f>
        <v>0.3</v>
      </c>
      <c r="H3" s="75" t="s">
        <v>56</v>
      </c>
      <c r="I3" s="76" t="s">
        <v>57</v>
      </c>
      <c r="J3" s="76"/>
      <c r="K3" s="76"/>
      <c r="L3" s="76"/>
      <c r="M3" s="76"/>
      <c r="N3" s="76"/>
      <c r="O3" s="76"/>
      <c r="P3" s="76"/>
      <c r="Q3" s="76"/>
      <c r="R3" s="76"/>
      <c r="S3" s="76"/>
      <c r="T3" s="76"/>
      <c r="U3" s="64"/>
      <c r="V3" s="65"/>
    </row>
    <row r="4" customFormat="false" ht="15" hidden="false" customHeight="true" outlineLevel="0" collapsed="false">
      <c r="A4" s="66"/>
      <c r="B4" s="72" t="s">
        <v>58</v>
      </c>
      <c r="C4" s="73" t="s">
        <v>59</v>
      </c>
      <c r="D4" s="74" t="n">
        <v>10000</v>
      </c>
      <c r="E4" s="74" t="n">
        <f aca="false">+L26+L40+L53</f>
        <v>5401</v>
      </c>
      <c r="F4" s="70" t="n">
        <f aca="false">600/D4</f>
        <v>0.06</v>
      </c>
      <c r="H4" s="77" t="s">
        <v>60</v>
      </c>
      <c r="I4" s="78" t="s">
        <v>61</v>
      </c>
      <c r="J4" s="78"/>
      <c r="K4" s="78"/>
      <c r="L4" s="78"/>
      <c r="M4" s="78"/>
      <c r="N4" s="78"/>
      <c r="O4" s="78"/>
      <c r="P4" s="78"/>
      <c r="Q4" s="78"/>
      <c r="R4" s="78"/>
      <c r="S4" s="78"/>
      <c r="T4" s="78"/>
      <c r="U4" s="64"/>
      <c r="V4" s="65"/>
    </row>
    <row r="5" customFormat="false" ht="15.75" hidden="false" customHeight="true" outlineLevel="0" collapsed="false">
      <c r="A5" s="66"/>
      <c r="B5" s="72" t="s">
        <v>62</v>
      </c>
      <c r="C5" s="73" t="s">
        <v>63</v>
      </c>
      <c r="D5" s="74" t="n">
        <v>900</v>
      </c>
      <c r="E5" s="74" t="n">
        <f aca="false">+M26+M40+M52</f>
        <v>32268</v>
      </c>
      <c r="F5" s="70" t="n">
        <f aca="false">600/D5</f>
        <v>0.666666666666667</v>
      </c>
      <c r="H5" s="79" t="s">
        <v>64</v>
      </c>
      <c r="I5" s="80" t="s">
        <v>65</v>
      </c>
      <c r="J5" s="80"/>
      <c r="K5" s="80"/>
      <c r="L5" s="80"/>
      <c r="M5" s="80"/>
      <c r="N5" s="80"/>
      <c r="O5" s="80"/>
      <c r="P5" s="80"/>
      <c r="Q5" s="80"/>
      <c r="R5" s="80"/>
      <c r="S5" s="80"/>
      <c r="T5" s="80"/>
      <c r="U5" s="64"/>
      <c r="V5" s="65"/>
    </row>
    <row r="6" customFormat="false" ht="15" hidden="false" customHeight="true" outlineLevel="0" collapsed="false">
      <c r="A6" s="66"/>
      <c r="B6" s="72" t="s">
        <v>66</v>
      </c>
      <c r="C6" s="73" t="s">
        <v>67</v>
      </c>
      <c r="D6" s="74" t="n">
        <v>10000</v>
      </c>
      <c r="E6" s="74" t="n">
        <f aca="false">+N26+N40++N53</f>
        <v>153</v>
      </c>
      <c r="F6" s="70" t="n">
        <f aca="false">600/D6</f>
        <v>0.06</v>
      </c>
      <c r="H6" s="81"/>
      <c r="I6" s="81"/>
      <c r="J6" s="82" t="s">
        <v>68</v>
      </c>
      <c r="K6" s="82" t="s">
        <v>68</v>
      </c>
      <c r="L6" s="82" t="s">
        <v>68</v>
      </c>
      <c r="M6" s="82" t="s">
        <v>68</v>
      </c>
      <c r="N6" s="82" t="s">
        <v>68</v>
      </c>
      <c r="O6" s="82" t="s">
        <v>68</v>
      </c>
      <c r="P6" s="82" t="s">
        <v>68</v>
      </c>
      <c r="Q6" s="82" t="s">
        <v>68</v>
      </c>
      <c r="R6" s="82" t="s">
        <v>68</v>
      </c>
      <c r="S6" s="82" t="s">
        <v>68</v>
      </c>
      <c r="T6" s="62" t="s">
        <v>69</v>
      </c>
      <c r="U6" s="64"/>
      <c r="V6" s="65"/>
      <c r="W6" s="83"/>
      <c r="X6" s="84"/>
      <c r="Y6" s="85"/>
      <c r="Z6" s="11"/>
      <c r="AA6" s="11"/>
      <c r="AB6" s="11"/>
      <c r="AC6" s="11"/>
      <c r="AD6" s="11"/>
      <c r="AE6" s="11"/>
      <c r="AF6" s="11"/>
    </row>
    <row r="7" customFormat="false" ht="15" hidden="false" customHeight="false" outlineLevel="0" collapsed="false">
      <c r="A7" s="66"/>
      <c r="B7" s="72" t="s">
        <v>70</v>
      </c>
      <c r="C7" s="73" t="s">
        <v>71</v>
      </c>
      <c r="D7" s="74" t="n">
        <v>200</v>
      </c>
      <c r="E7" s="74" t="n">
        <f aca="false">+O26+O40+O53</f>
        <v>4089</v>
      </c>
      <c r="F7" s="70" t="n">
        <f aca="false">600/D7</f>
        <v>3</v>
      </c>
      <c r="H7" s="86" t="s">
        <v>72</v>
      </c>
      <c r="I7" s="86"/>
      <c r="J7" s="87" t="n">
        <f aca="false">+M63</f>
        <v>0</v>
      </c>
      <c r="K7" s="88" t="n">
        <f aca="false">+M68</f>
        <v>0</v>
      </c>
      <c r="L7" s="87" t="n">
        <f aca="false">+M73</f>
        <v>0</v>
      </c>
      <c r="M7" s="87" t="n">
        <f aca="false">+M78</f>
        <v>0</v>
      </c>
      <c r="N7" s="87" t="n">
        <f aca="false">+M83</f>
        <v>0</v>
      </c>
      <c r="O7" s="87"/>
      <c r="P7" s="87" t="n">
        <f aca="false">+M98</f>
        <v>0</v>
      </c>
      <c r="Q7" s="87" t="n">
        <f aca="false">+M103</f>
        <v>0</v>
      </c>
      <c r="R7" s="87" t="n">
        <f aca="false">+M108</f>
        <v>0</v>
      </c>
      <c r="S7" s="87" t="n">
        <f aca="false">+M113</f>
        <v>0</v>
      </c>
      <c r="T7" s="62"/>
      <c r="U7" s="64"/>
      <c r="V7" s="65"/>
      <c r="W7" s="83"/>
      <c r="X7" s="84"/>
      <c r="Y7" s="85"/>
      <c r="Z7" s="11"/>
      <c r="AA7" s="11"/>
      <c r="AB7" s="11"/>
      <c r="AC7" s="11"/>
      <c r="AD7" s="11"/>
      <c r="AE7" s="11"/>
      <c r="AF7" s="11"/>
    </row>
    <row r="8" customFormat="false" ht="15" hidden="false" customHeight="false" outlineLevel="0" collapsed="false">
      <c r="A8" s="66"/>
      <c r="B8" s="72" t="s">
        <v>73</v>
      </c>
      <c r="C8" s="73" t="s">
        <v>74</v>
      </c>
      <c r="D8" s="74" t="n">
        <v>600</v>
      </c>
      <c r="E8" s="74" t="n">
        <f aca="false">+M51</f>
        <v>2819</v>
      </c>
      <c r="F8" s="70" t="n">
        <f aca="false">600/D8</f>
        <v>1</v>
      </c>
      <c r="H8" s="86" t="s">
        <v>75</v>
      </c>
      <c r="I8" s="86"/>
      <c r="J8" s="89"/>
      <c r="K8" s="90"/>
      <c r="L8" s="89"/>
      <c r="M8" s="89"/>
      <c r="N8" s="89"/>
      <c r="O8" s="87" t="n">
        <f aca="false">+M89</f>
        <v>0.01</v>
      </c>
      <c r="P8" s="89"/>
      <c r="Q8" s="89"/>
      <c r="R8" s="89"/>
      <c r="S8" s="89"/>
      <c r="T8" s="62"/>
      <c r="U8" s="64"/>
      <c r="V8" s="65"/>
      <c r="W8" s="83"/>
      <c r="X8" s="84"/>
      <c r="Y8" s="85"/>
      <c r="Z8" s="11"/>
      <c r="AA8" s="11"/>
      <c r="AB8" s="11"/>
      <c r="AC8" s="11"/>
      <c r="AD8" s="11"/>
      <c r="AE8" s="11"/>
      <c r="AF8" s="11"/>
    </row>
    <row r="9" customFormat="false" ht="24" hidden="false" customHeight="true" outlineLevel="0" collapsed="false">
      <c r="A9" s="66" t="s">
        <v>76</v>
      </c>
      <c r="B9" s="72" t="s">
        <v>77</v>
      </c>
      <c r="C9" s="91" t="s">
        <v>78</v>
      </c>
      <c r="D9" s="74" t="n">
        <v>10000</v>
      </c>
      <c r="E9" s="74" t="n">
        <f aca="false">+P26+P40+P53</f>
        <v>40179</v>
      </c>
      <c r="F9" s="70" t="n">
        <f aca="false">600/D9</f>
        <v>0.06</v>
      </c>
      <c r="H9" s="92" t="s">
        <v>79</v>
      </c>
      <c r="I9" s="93" t="s">
        <v>80</v>
      </c>
      <c r="J9" s="94" t="s">
        <v>81</v>
      </c>
      <c r="K9" s="94" t="s">
        <v>82</v>
      </c>
      <c r="L9" s="94" t="s">
        <v>83</v>
      </c>
      <c r="M9" s="94" t="s">
        <v>84</v>
      </c>
      <c r="N9" s="94" t="s">
        <v>85</v>
      </c>
      <c r="O9" s="94" t="s">
        <v>86</v>
      </c>
      <c r="P9" s="94" t="s">
        <v>87</v>
      </c>
      <c r="Q9" s="94" t="s">
        <v>88</v>
      </c>
      <c r="R9" s="94" t="s">
        <v>89</v>
      </c>
      <c r="S9" s="94" t="s">
        <v>90</v>
      </c>
      <c r="T9" s="62"/>
      <c r="U9" s="95"/>
      <c r="V9" s="95"/>
      <c r="W9" s="83"/>
      <c r="X9" s="96"/>
      <c r="Y9" s="85"/>
      <c r="Z9" s="11"/>
      <c r="AA9" s="11"/>
      <c r="AB9" s="11"/>
      <c r="AC9" s="11"/>
      <c r="AD9" s="11"/>
      <c r="AE9" s="11"/>
      <c r="AF9" s="11"/>
    </row>
    <row r="10" customFormat="false" ht="15" hidden="false" customHeight="false" outlineLevel="0" collapsed="false">
      <c r="A10" s="66"/>
      <c r="B10" s="97" t="s">
        <v>91</v>
      </c>
      <c r="C10" s="73" t="s">
        <v>92</v>
      </c>
      <c r="D10" s="74" t="n">
        <v>10000</v>
      </c>
      <c r="E10" s="74" t="n">
        <f aca="false">+Q26+Q40+Q53</f>
        <v>37727</v>
      </c>
      <c r="F10" s="70" t="n">
        <f aca="false">600/D10</f>
        <v>0.06</v>
      </c>
      <c r="H10" s="98" t="s">
        <v>93</v>
      </c>
      <c r="I10" s="91" t="s">
        <v>94</v>
      </c>
      <c r="J10" s="99" t="n">
        <v>4549</v>
      </c>
      <c r="K10" s="99" t="n">
        <v>245</v>
      </c>
      <c r="L10" s="99"/>
      <c r="M10" s="99" t="n">
        <v>1822</v>
      </c>
      <c r="N10" s="99"/>
      <c r="O10" s="99" t="n">
        <v>118</v>
      </c>
      <c r="P10" s="99"/>
      <c r="Q10" s="99"/>
      <c r="R10" s="99" t="n">
        <v>1225</v>
      </c>
      <c r="S10" s="99" t="n">
        <v>1040</v>
      </c>
      <c r="T10" s="100" t="n">
        <f aca="false">+(J10*$J$7)+(K10*$K$7)+(L10*$L$7)+(M10*$M$7)+(N10*$N$7)+(P10*$P$7)+(R10*$R$7)+(S10*$S$7)+(Q10*$Q$7)+(O10*$O$8)</f>
        <v>1.18</v>
      </c>
      <c r="U10" s="101"/>
      <c r="V10" s="95"/>
      <c r="W10" s="83"/>
      <c r="X10" s="96"/>
      <c r="Y10" s="85"/>
      <c r="Z10" s="11"/>
      <c r="AA10" s="11"/>
      <c r="AB10" s="11"/>
      <c r="AC10" s="11"/>
      <c r="AD10" s="11"/>
      <c r="AE10" s="11"/>
      <c r="AF10" s="11"/>
    </row>
    <row r="11" customFormat="false" ht="15" hidden="false" customHeight="false" outlineLevel="0" collapsed="false">
      <c r="A11" s="102" t="s">
        <v>95</v>
      </c>
      <c r="B11" s="97" t="s">
        <v>96</v>
      </c>
      <c r="C11" s="73" t="s">
        <v>97</v>
      </c>
      <c r="D11" s="74" t="n">
        <v>380</v>
      </c>
      <c r="E11" s="74" t="n">
        <f aca="false">+R26+R40+R53</f>
        <v>15311</v>
      </c>
      <c r="F11" s="70"/>
      <c r="H11" s="98" t="s">
        <v>93</v>
      </c>
      <c r="I11" s="91" t="s">
        <v>98</v>
      </c>
      <c r="J11" s="99" t="n">
        <v>678</v>
      </c>
      <c r="K11" s="99"/>
      <c r="L11" s="99"/>
      <c r="M11" s="99" t="n">
        <v>911</v>
      </c>
      <c r="N11" s="99"/>
      <c r="O11" s="99" t="n">
        <v>118</v>
      </c>
      <c r="P11" s="99"/>
      <c r="Q11" s="99"/>
      <c r="R11" s="99"/>
      <c r="S11" s="99"/>
      <c r="T11" s="100" t="n">
        <f aca="false">+(J11*$J$7)+(K11*$K$7)+(L11*$L$7)+(M11*$M$7)+(N11*$N$7)+(P11*$P$7)+(R11*$R$7)+(S11*$S$7)+(Q11*$Q$7)+(O11*$O$8)</f>
        <v>1.18</v>
      </c>
      <c r="U11" s="101"/>
      <c r="V11" s="95"/>
      <c r="W11" s="83"/>
      <c r="X11" s="96"/>
      <c r="Y11" s="85"/>
      <c r="Z11" s="11"/>
      <c r="AA11" s="11"/>
      <c r="AB11" s="11"/>
      <c r="AC11" s="11"/>
      <c r="AD11" s="11"/>
      <c r="AE11" s="11"/>
      <c r="AF11" s="11"/>
    </row>
    <row r="12" customFormat="false" ht="15.75" hidden="false" customHeight="false" outlineLevel="0" collapsed="false">
      <c r="A12" s="102"/>
      <c r="B12" s="103" t="s">
        <v>96</v>
      </c>
      <c r="C12" s="104" t="s">
        <v>99</v>
      </c>
      <c r="D12" s="105" t="n">
        <v>380</v>
      </c>
      <c r="E12" s="105" t="n">
        <f aca="false">+S26+S53+S40</f>
        <v>13694</v>
      </c>
      <c r="F12" s="106"/>
      <c r="H12" s="98" t="s">
        <v>100</v>
      </c>
      <c r="I12" s="91" t="s">
        <v>94</v>
      </c>
      <c r="J12" s="99" t="n">
        <v>3710</v>
      </c>
      <c r="K12" s="99" t="n">
        <v>62</v>
      </c>
      <c r="L12" s="99"/>
      <c r="M12" s="99" t="n">
        <v>5130</v>
      </c>
      <c r="N12" s="99"/>
      <c r="O12" s="99" t="n">
        <v>225</v>
      </c>
      <c r="P12" s="99"/>
      <c r="Q12" s="99"/>
      <c r="R12" s="99" t="n">
        <v>1421</v>
      </c>
      <c r="S12" s="99" t="n">
        <v>1286</v>
      </c>
      <c r="T12" s="100" t="n">
        <f aca="false">+(J12*$J$7)+(K12*$K$7)+(L12*$L$7)+(M12*$M$7)+(N12*$N$7)+(P12*$P$7)+(R12*$R$7)+(S12*$S$7)+(Q12*$Q$7)+(O12*$O$8)</f>
        <v>2.25</v>
      </c>
      <c r="U12" s="101"/>
      <c r="V12" s="95"/>
      <c r="W12" s="83"/>
      <c r="X12" s="96"/>
      <c r="Y12" s="85"/>
      <c r="Z12" s="11"/>
      <c r="AA12" s="11"/>
      <c r="AB12" s="11"/>
      <c r="AC12" s="11"/>
      <c r="AD12" s="11"/>
      <c r="AE12" s="11"/>
      <c r="AF12" s="11"/>
    </row>
    <row r="13" customFormat="false" ht="15.75" hidden="false" customHeight="false" outlineLevel="0" collapsed="false">
      <c r="A13" s="59"/>
      <c r="C13" s="107" t="s">
        <v>101</v>
      </c>
      <c r="D13" s="108"/>
      <c r="E13" s="109" t="n">
        <f aca="false">SUM(E2:E12)</f>
        <v>249232</v>
      </c>
      <c r="H13" s="98" t="s">
        <v>102</v>
      </c>
      <c r="I13" s="91" t="s">
        <v>94</v>
      </c>
      <c r="J13" s="99" t="n">
        <v>2086</v>
      </c>
      <c r="K13" s="99"/>
      <c r="L13" s="99" t="n">
        <v>30</v>
      </c>
      <c r="M13" s="99" t="n">
        <v>3145</v>
      </c>
      <c r="N13" s="99"/>
      <c r="O13" s="99" t="n">
        <v>148</v>
      </c>
      <c r="P13" s="99"/>
      <c r="Q13" s="99"/>
      <c r="R13" s="99" t="n">
        <v>1245</v>
      </c>
      <c r="S13" s="99" t="n">
        <v>1040</v>
      </c>
      <c r="T13" s="100" t="n">
        <f aca="false">+(J13*$J$7)+(K13*$K$7)+(L13*$L$7)+(M13*$M$7)+(N13*$N$7)+(P13*$P$7)+(R13*$R$7)+(S13*$S$7)+(Q13*$Q$7)+(O13*$O$8)</f>
        <v>1.48</v>
      </c>
      <c r="W13" s="83"/>
      <c r="X13" s="96"/>
      <c r="Y13" s="85"/>
      <c r="Z13" s="11"/>
      <c r="AA13" s="11"/>
      <c r="AB13" s="11"/>
      <c r="AC13" s="11"/>
      <c r="AD13" s="11"/>
      <c r="AE13" s="11"/>
      <c r="AF13" s="11"/>
    </row>
    <row r="14" customFormat="false" ht="14.45" hidden="false" customHeight="true" outlineLevel="0" collapsed="false">
      <c r="H14" s="98" t="s">
        <v>102</v>
      </c>
      <c r="I14" s="91" t="s">
        <v>98</v>
      </c>
      <c r="J14" s="99" t="n">
        <v>1043</v>
      </c>
      <c r="K14" s="99"/>
      <c r="L14" s="99"/>
      <c r="M14" s="99"/>
      <c r="N14" s="99"/>
      <c r="O14" s="99" t="n">
        <v>148</v>
      </c>
      <c r="P14" s="99"/>
      <c r="Q14" s="99"/>
      <c r="R14" s="99" t="n">
        <v>1225</v>
      </c>
      <c r="S14" s="99" t="n">
        <v>1039</v>
      </c>
      <c r="T14" s="100" t="n">
        <f aca="false">+(J14*$J$7)+(K14*$K$7)+(L14*$L$7)+(M14*$M$7)+(N14*$N$7)+(P14*$P$7)+(R14*$R$7)+(S14*$S$7)+(Q14*$Q$7)+(O14*$O$8)</f>
        <v>1.48</v>
      </c>
      <c r="W14" s="83"/>
      <c r="X14" s="11"/>
      <c r="Y14" s="85"/>
      <c r="Z14" s="11"/>
      <c r="AA14" s="11"/>
      <c r="AB14" s="11"/>
      <c r="AC14" s="11"/>
      <c r="AD14" s="11"/>
      <c r="AE14" s="11"/>
      <c r="AF14" s="11"/>
    </row>
    <row r="15" customFormat="false" ht="23.25" hidden="false" customHeight="false" outlineLevel="0" collapsed="false">
      <c r="A15" s="110" t="s">
        <v>103</v>
      </c>
      <c r="B15" s="110"/>
      <c r="C15" s="110"/>
      <c r="D15" s="110"/>
      <c r="E15" s="111"/>
      <c r="F15" s="2"/>
      <c r="H15" s="98" t="s">
        <v>104</v>
      </c>
      <c r="I15" s="91" t="s">
        <v>94</v>
      </c>
      <c r="J15" s="99" t="n">
        <v>230</v>
      </c>
      <c r="K15" s="99" t="n">
        <v>69</v>
      </c>
      <c r="L15" s="99"/>
      <c r="M15" s="99" t="n">
        <v>206</v>
      </c>
      <c r="N15" s="99" t="n">
        <v>28</v>
      </c>
      <c r="O15" s="99" t="n">
        <v>28</v>
      </c>
      <c r="P15" s="99" t="n">
        <v>158</v>
      </c>
      <c r="Q15" s="99" t="n">
        <v>56</v>
      </c>
      <c r="R15" s="99" t="n">
        <v>264</v>
      </c>
      <c r="S15" s="99" t="n">
        <v>48</v>
      </c>
      <c r="T15" s="100" t="n">
        <f aca="false">+(J15*$J$7)+(K15*$K$7)+(L15*$L$7)+(M15*$M$7)+(N15*$N$7)+(P15*$P$7)+(R15*$R$7)+(S15*$S$7)+(Q15*$Q$7)+(O15*$O$8)</f>
        <v>0.28</v>
      </c>
      <c r="W15" s="83"/>
      <c r="X15" s="11"/>
      <c r="Y15" s="85"/>
      <c r="Z15" s="11"/>
      <c r="AA15" s="11"/>
      <c r="AB15" s="11"/>
      <c r="AC15" s="11"/>
      <c r="AD15" s="11"/>
      <c r="AE15" s="11"/>
      <c r="AF15" s="11"/>
    </row>
    <row r="16" customFormat="false" ht="15" hidden="false" customHeight="false" outlineLevel="0" collapsed="false">
      <c r="A16" s="112" t="s">
        <v>105</v>
      </c>
      <c r="B16" s="113"/>
      <c r="C16" s="113"/>
      <c r="D16" s="114"/>
      <c r="E16" s="111"/>
      <c r="F16" s="2"/>
      <c r="H16" s="98" t="s">
        <v>106</v>
      </c>
      <c r="I16" s="91" t="s">
        <v>94</v>
      </c>
      <c r="J16" s="99" t="n">
        <v>590</v>
      </c>
      <c r="K16" s="99" t="n">
        <v>1242</v>
      </c>
      <c r="L16" s="99"/>
      <c r="M16" s="99" t="n">
        <v>3389</v>
      </c>
      <c r="N16" s="99"/>
      <c r="O16" s="99" t="n">
        <v>25</v>
      </c>
      <c r="P16" s="99"/>
      <c r="Q16" s="99"/>
      <c r="R16" s="99" t="n">
        <v>517</v>
      </c>
      <c r="S16" s="99" t="n">
        <v>529</v>
      </c>
      <c r="T16" s="100" t="n">
        <f aca="false">+(J16*$J$7)+(K16*$K$7)+(L16*$L$7)+(M16*$M$7)+(N16*$N$7)+(P16*$P$7)+(R16*$R$7)+(S16*$S$7)+(Q16*$Q$7)+(O16*$O$8)</f>
        <v>0.25</v>
      </c>
      <c r="W16" s="83"/>
      <c r="X16" s="11"/>
      <c r="Y16" s="85"/>
      <c r="Z16" s="11"/>
      <c r="AA16" s="11"/>
      <c r="AB16" s="11"/>
      <c r="AC16" s="11"/>
      <c r="AD16" s="11"/>
      <c r="AE16" s="11"/>
      <c r="AF16" s="11"/>
    </row>
    <row r="17" customFormat="false" ht="23.25" hidden="false" customHeight="false" outlineLevel="0" collapsed="false">
      <c r="A17" s="115" t="s">
        <v>107</v>
      </c>
      <c r="B17" s="59"/>
      <c r="C17" s="59"/>
      <c r="D17" s="116"/>
      <c r="E17" s="50"/>
      <c r="F17" s="2"/>
      <c r="H17" s="98" t="s">
        <v>108</v>
      </c>
      <c r="I17" s="91" t="s">
        <v>94</v>
      </c>
      <c r="J17" s="99" t="n">
        <v>171</v>
      </c>
      <c r="K17" s="99" t="n">
        <v>1036</v>
      </c>
      <c r="L17" s="99" t="n">
        <v>1775</v>
      </c>
      <c r="M17" s="99" t="n">
        <v>1273</v>
      </c>
      <c r="N17" s="99"/>
      <c r="O17" s="99" t="n">
        <v>194</v>
      </c>
      <c r="P17" s="99" t="n">
        <v>3151</v>
      </c>
      <c r="Q17" s="99" t="n">
        <v>1525</v>
      </c>
      <c r="R17" s="99" t="n">
        <v>300</v>
      </c>
      <c r="S17" s="99" t="n">
        <v>300</v>
      </c>
      <c r="T17" s="100" t="n">
        <f aca="false">+(J17*$J$7)+(K17*$K$7)+(L17*$L$7)+(M17*$M$7)+(N17*$N$7)+(P17*$P$7)+(R17*$R$7)+(S17*$S$7)+(Q17*$Q$7)+(O17*$O$8)</f>
        <v>1.94</v>
      </c>
      <c r="W17" s="83"/>
      <c r="X17" s="11"/>
      <c r="Y17" s="85"/>
      <c r="Z17" s="11"/>
      <c r="AA17" s="11"/>
      <c r="AB17" s="11"/>
      <c r="AC17" s="11"/>
      <c r="AD17" s="11"/>
      <c r="AE17" s="11"/>
      <c r="AF17" s="11"/>
    </row>
    <row r="18" customFormat="false" ht="15" hidden="false" customHeight="false" outlineLevel="0" collapsed="false">
      <c r="A18" s="115" t="s">
        <v>109</v>
      </c>
      <c r="B18" s="59"/>
      <c r="C18" s="59"/>
      <c r="D18" s="116"/>
      <c r="E18" s="50"/>
      <c r="F18" s="117"/>
      <c r="H18" s="98" t="s">
        <v>110</v>
      </c>
      <c r="I18" s="91" t="s">
        <v>94</v>
      </c>
      <c r="J18" s="99" t="n">
        <v>2119</v>
      </c>
      <c r="K18" s="99"/>
      <c r="L18" s="99"/>
      <c r="M18" s="99" t="n">
        <v>2476</v>
      </c>
      <c r="N18" s="99"/>
      <c r="O18" s="99" t="n">
        <v>110</v>
      </c>
      <c r="P18" s="99"/>
      <c r="Q18" s="99"/>
      <c r="R18" s="99" t="n">
        <v>776</v>
      </c>
      <c r="S18" s="99" t="n">
        <v>664</v>
      </c>
      <c r="T18" s="100" t="n">
        <f aca="false">+(J18*$J$7)+(K18*$K$7)+(L18*$L$7)+(M18*$M$7)+(N18*$N$7)+(P18*$P$7)+(R18*$R$7)+(S18*$S$7)+(Q18*$Q$7)+(O18*$O$8)</f>
        <v>1.1</v>
      </c>
      <c r="W18" s="83"/>
      <c r="X18" s="11"/>
      <c r="Y18" s="85"/>
      <c r="Z18" s="11"/>
      <c r="AA18" s="11"/>
      <c r="AB18" s="11"/>
      <c r="AC18" s="11"/>
      <c r="AD18" s="11"/>
      <c r="AE18" s="11"/>
      <c r="AF18" s="11"/>
    </row>
    <row r="19" customFormat="false" ht="15.75" hidden="false" customHeight="false" outlineLevel="0" collapsed="false">
      <c r="A19" s="118" t="s">
        <v>111</v>
      </c>
      <c r="B19" s="119"/>
      <c r="C19" s="119"/>
      <c r="D19" s="120"/>
      <c r="E19" s="50"/>
      <c r="F19" s="117"/>
      <c r="H19" s="98" t="s">
        <v>112</v>
      </c>
      <c r="I19" s="91" t="s">
        <v>94</v>
      </c>
      <c r="J19" s="99" t="n">
        <v>2883</v>
      </c>
      <c r="K19" s="99"/>
      <c r="L19" s="99"/>
      <c r="M19" s="99" t="n">
        <v>4230</v>
      </c>
      <c r="N19" s="99"/>
      <c r="O19" s="99" t="n">
        <v>233</v>
      </c>
      <c r="P19" s="99"/>
      <c r="Q19" s="99"/>
      <c r="R19" s="99" t="n">
        <v>1064</v>
      </c>
      <c r="S19" s="99" t="n">
        <v>928</v>
      </c>
      <c r="T19" s="100" t="n">
        <f aca="false">+(J19*$J$7)+(K19*$K$7)+(L19*$L$7)+(M19*$M$7)+(N19*$N$7)+(P19*$P$7)+(R19*$R$7)+(S19*$S$7)+(Q19*$Q$7)+(O19*$O$8)</f>
        <v>2.33</v>
      </c>
      <c r="W19" s="83"/>
      <c r="X19" s="11"/>
      <c r="Y19" s="85"/>
      <c r="Z19" s="11"/>
      <c r="AA19" s="11"/>
      <c r="AB19" s="11"/>
      <c r="AC19" s="11"/>
      <c r="AD19" s="11"/>
      <c r="AE19" s="11"/>
      <c r="AF19" s="11"/>
    </row>
    <row r="20" customFormat="false" ht="15.75" hidden="false" customHeight="false" outlineLevel="0" collapsed="false">
      <c r="A20" s="121"/>
      <c r="B20" s="122"/>
      <c r="E20" s="50"/>
      <c r="F20" s="2"/>
      <c r="H20" s="98" t="s">
        <v>113</v>
      </c>
      <c r="I20" s="91" t="s">
        <v>94</v>
      </c>
      <c r="J20" s="99" t="n">
        <v>865</v>
      </c>
      <c r="K20" s="99"/>
      <c r="L20" s="99" t="n">
        <v>26</v>
      </c>
      <c r="M20" s="99" t="n">
        <v>1288</v>
      </c>
      <c r="N20" s="99"/>
      <c r="O20" s="99" t="n">
        <v>95</v>
      </c>
      <c r="P20" s="99"/>
      <c r="Q20" s="99"/>
      <c r="R20" s="99" t="n">
        <v>346</v>
      </c>
      <c r="S20" s="99" t="n">
        <v>341</v>
      </c>
      <c r="T20" s="100" t="n">
        <f aca="false">+(J20*$J$7)+(K20*$K$7)+(L20*$L$7)+(M20*$M$7)+(N20*$N$7)+(P20*$P$7)+(R20*$R$7)+(S20*$S$7)+(Q20*$Q$7)+(O20*$O$8)</f>
        <v>0.95</v>
      </c>
      <c r="W20" s="83"/>
      <c r="X20" s="11"/>
      <c r="Y20" s="85"/>
      <c r="Z20" s="11"/>
      <c r="AA20" s="11"/>
      <c r="AB20" s="11"/>
      <c r="AC20" s="11"/>
      <c r="AD20" s="11"/>
      <c r="AE20" s="11"/>
      <c r="AF20" s="11"/>
    </row>
    <row r="21" customFormat="false" ht="15" hidden="false" customHeight="false" outlineLevel="0" collapsed="false">
      <c r="A21" s="121"/>
      <c r="B21" s="122"/>
      <c r="C21" s="123" t="s">
        <v>114</v>
      </c>
      <c r="D21" s="123"/>
      <c r="E21" s="50"/>
      <c r="F21" s="2"/>
      <c r="H21" s="98" t="s">
        <v>113</v>
      </c>
      <c r="I21" s="91" t="s">
        <v>98</v>
      </c>
      <c r="J21" s="99" t="n">
        <v>532</v>
      </c>
      <c r="K21" s="99"/>
      <c r="L21" s="99"/>
      <c r="M21" s="99" t="n">
        <v>644</v>
      </c>
      <c r="N21" s="99"/>
      <c r="O21" s="99" t="n">
        <v>95</v>
      </c>
      <c r="P21" s="99"/>
      <c r="Q21" s="99"/>
      <c r="R21" s="99" t="n">
        <v>600</v>
      </c>
      <c r="S21" s="99" t="n">
        <v>600</v>
      </c>
      <c r="T21" s="100" t="n">
        <f aca="false">+(J21*$J$7)+(K21*$K$7)+(L21*$L$7)+(M21*$M$7)+(N21*$N$7)+(P21*$P$7)+(R21*$R$7)+(S21*$S$7)+(Q21*$Q$7)+(O21*$O$8)</f>
        <v>0.95</v>
      </c>
      <c r="W21" s="83"/>
      <c r="X21" s="11"/>
      <c r="Y21" s="85"/>
      <c r="Z21" s="11"/>
      <c r="AA21" s="11"/>
      <c r="AB21" s="11"/>
      <c r="AC21" s="11"/>
      <c r="AD21" s="11"/>
      <c r="AE21" s="11"/>
      <c r="AF21" s="11"/>
    </row>
    <row r="22" customFormat="false" ht="26.25" hidden="false" customHeight="true" outlineLevel="0" collapsed="false">
      <c r="A22" s="121"/>
      <c r="B22" s="122"/>
      <c r="C22" s="124" t="s">
        <v>115</v>
      </c>
      <c r="D22" s="124"/>
      <c r="E22" s="50"/>
      <c r="F22" s="2"/>
      <c r="H22" s="98" t="s">
        <v>116</v>
      </c>
      <c r="I22" s="91" t="s">
        <v>94</v>
      </c>
      <c r="J22" s="99" t="n">
        <v>743</v>
      </c>
      <c r="K22" s="99"/>
      <c r="L22" s="99"/>
      <c r="M22" s="99" t="n">
        <v>1092</v>
      </c>
      <c r="N22" s="99"/>
      <c r="O22" s="99" t="n">
        <v>63</v>
      </c>
      <c r="P22" s="99"/>
      <c r="Q22" s="99"/>
      <c r="R22" s="99" t="n">
        <v>361</v>
      </c>
      <c r="S22" s="99" t="n">
        <v>195</v>
      </c>
      <c r="T22" s="100" t="n">
        <f aca="false">+(J22*$J$7)+(K22*$K$7)+(L22*$L$7)+(M22*$M$7)+(N22*$N$7)+(P22*$P$7)+(R22*$R$7)+(S22*$S$7)+(Q22*$Q$7)+(O22*$O$8)</f>
        <v>0.63</v>
      </c>
      <c r="W22" s="83"/>
      <c r="X22" s="11"/>
      <c r="Y22" s="85"/>
      <c r="Z22" s="11"/>
      <c r="AA22" s="11"/>
      <c r="AB22" s="11"/>
      <c r="AC22" s="11"/>
      <c r="AD22" s="11"/>
      <c r="AE22" s="11"/>
      <c r="AF22" s="11"/>
    </row>
    <row r="23" customFormat="false" ht="23.25" hidden="false" customHeight="false" outlineLevel="0" collapsed="false">
      <c r="A23" s="125"/>
      <c r="B23" s="122"/>
      <c r="C23" s="126" t="s">
        <v>117</v>
      </c>
      <c r="D23" s="127" t="n">
        <f aca="false">1/D11</f>
        <v>0.00263157894736842</v>
      </c>
      <c r="E23" s="50"/>
      <c r="H23" s="98" t="s">
        <v>118</v>
      </c>
      <c r="I23" s="91" t="s">
        <v>94</v>
      </c>
      <c r="J23" s="99" t="n">
        <v>956</v>
      </c>
      <c r="K23" s="99"/>
      <c r="L23" s="99"/>
      <c r="M23" s="99" t="n">
        <v>1092</v>
      </c>
      <c r="N23" s="99"/>
      <c r="O23" s="99" t="n">
        <v>0</v>
      </c>
      <c r="P23" s="99"/>
      <c r="Q23" s="99"/>
      <c r="R23" s="99" t="n">
        <v>361</v>
      </c>
      <c r="S23" s="99" t="n">
        <v>195</v>
      </c>
      <c r="T23" s="100" t="n">
        <f aca="false">+(J23*$J$7)+(K23*$K$7)+(L23*$L$7)+(M23*$M$7)+(N23*$N$7)+(P23*$P$7)+(R23*$R$7)+(S23*$S$7)+(Q23*$Q$7)+(O23*$O$8)</f>
        <v>0</v>
      </c>
      <c r="W23" s="83"/>
      <c r="X23" s="11"/>
      <c r="Y23" s="128"/>
      <c r="Z23" s="129"/>
      <c r="AA23" s="129"/>
      <c r="AB23" s="129"/>
      <c r="AC23" s="129"/>
      <c r="AD23" s="129"/>
      <c r="AE23" s="129"/>
      <c r="AF23" s="129"/>
    </row>
    <row r="24" customFormat="false" ht="13.9" hidden="false" customHeight="true" outlineLevel="0" collapsed="false">
      <c r="A24" s="121"/>
      <c r="B24" s="122"/>
      <c r="C24" s="126" t="s">
        <v>119</v>
      </c>
      <c r="D24" s="127" t="n">
        <v>16</v>
      </c>
      <c r="E24" s="130"/>
      <c r="H24" s="98" t="s">
        <v>120</v>
      </c>
      <c r="I24" s="91" t="s">
        <v>94</v>
      </c>
      <c r="J24" s="99" t="n">
        <v>452</v>
      </c>
      <c r="K24" s="99"/>
      <c r="L24" s="99"/>
      <c r="M24" s="99"/>
      <c r="N24" s="99"/>
      <c r="O24" s="99" t="n">
        <v>0</v>
      </c>
      <c r="P24" s="99"/>
      <c r="Q24" s="99"/>
      <c r="R24" s="99" t="n">
        <v>37</v>
      </c>
      <c r="S24" s="99" t="n">
        <v>51</v>
      </c>
      <c r="T24" s="100" t="n">
        <f aca="false">+(J24*$J$7)+(K24*$K$7)+(L24*$L$7)+(M24*$M$7)+(N24*$N$7)+(P24*$P$7)+(R24*$R$7)+(S24*$S$7)+(Q24*$Q$7)+(O24*$O$8)</f>
        <v>0</v>
      </c>
      <c r="W24" s="83"/>
      <c r="X24" s="11"/>
      <c r="Y24" s="128"/>
      <c r="Z24" s="129"/>
      <c r="AA24" s="129"/>
      <c r="AB24" s="129"/>
      <c r="AC24" s="129"/>
      <c r="AD24" s="129"/>
      <c r="AE24" s="129"/>
      <c r="AF24" s="129"/>
    </row>
    <row r="25" customFormat="false" ht="23.25" hidden="false" customHeight="false" outlineLevel="0" collapsed="false">
      <c r="A25" s="131"/>
      <c r="B25" s="132"/>
      <c r="C25" s="126" t="s">
        <v>121</v>
      </c>
      <c r="D25" s="127" t="n">
        <f aca="false">1/188.76</f>
        <v>0.00529773257045984</v>
      </c>
      <c r="H25" s="98" t="s">
        <v>122</v>
      </c>
      <c r="I25" s="91" t="s">
        <v>94</v>
      </c>
      <c r="J25" s="99" t="n">
        <v>240</v>
      </c>
      <c r="K25" s="99" t="n">
        <v>600</v>
      </c>
      <c r="L25" s="99"/>
      <c r="M25" s="99" t="n">
        <v>4200</v>
      </c>
      <c r="N25" s="99"/>
      <c r="O25" s="99" t="n">
        <v>69</v>
      </c>
      <c r="P25" s="99"/>
      <c r="Q25" s="99"/>
      <c r="R25" s="99" t="n">
        <v>200</v>
      </c>
      <c r="S25" s="99" t="n">
        <v>200</v>
      </c>
      <c r="T25" s="100" t="n">
        <f aca="false">+(J25*$J$7)+(K25*$K$7)+(L25*$L$7)+(M25*$M$7)+(N25*$N$7)+(P25*$P$7)+(R25*$R$7)+(S25*$S$7)+(Q25*$Q$7)+(O25*$O$8)</f>
        <v>0.69</v>
      </c>
      <c r="W25" s="83"/>
      <c r="X25" s="11"/>
      <c r="Y25" s="128"/>
      <c r="Z25" s="129"/>
      <c r="AA25" s="129"/>
      <c r="AB25" s="129"/>
      <c r="AC25" s="129"/>
      <c r="AD25" s="129"/>
      <c r="AE25" s="129"/>
      <c r="AF25" s="129"/>
    </row>
    <row r="26" customFormat="false" ht="15" hidden="false" customHeight="false" outlineLevel="0" collapsed="false">
      <c r="C26" s="126" t="s">
        <v>123</v>
      </c>
      <c r="D26" s="127" t="n">
        <f aca="false">+D25*D24*D23</f>
        <v>0.000223062424019362</v>
      </c>
      <c r="H26" s="86" t="s">
        <v>124</v>
      </c>
      <c r="I26" s="133"/>
      <c r="J26" s="134" t="n">
        <f aca="false">SUM(J10:J25)</f>
        <v>21847</v>
      </c>
      <c r="K26" s="134" t="n">
        <f aca="false">SUM(K10:K25)</f>
        <v>3254</v>
      </c>
      <c r="L26" s="134" t="n">
        <f aca="false">SUM(L10:L25)</f>
        <v>1831</v>
      </c>
      <c r="M26" s="134" t="n">
        <f aca="false">SUM(M10:M25)</f>
        <v>30898</v>
      </c>
      <c r="N26" s="134" t="n">
        <f aca="false">SUM(N10:N25)</f>
        <v>28</v>
      </c>
      <c r="O26" s="134" t="n">
        <f aca="false">SUM(O10:O25)</f>
        <v>1669</v>
      </c>
      <c r="P26" s="134" t="n">
        <f aca="false">SUM(P10:P25)</f>
        <v>3309</v>
      </c>
      <c r="Q26" s="134" t="n">
        <f aca="false">SUM(Q10:Q25)</f>
        <v>1581</v>
      </c>
      <c r="R26" s="134" t="n">
        <f aca="false">SUM(R10:R25)</f>
        <v>9942</v>
      </c>
      <c r="S26" s="134" t="n">
        <f aca="false">SUM(S10:S25)</f>
        <v>8456</v>
      </c>
      <c r="T26" s="135" t="n">
        <f aca="false">SUM(T10:T25)</f>
        <v>16.69</v>
      </c>
      <c r="W26" s="83"/>
      <c r="X26" s="11"/>
      <c r="Y26" s="128"/>
      <c r="Z26" s="129"/>
      <c r="AA26" s="129"/>
      <c r="AB26" s="129"/>
      <c r="AC26" s="129"/>
      <c r="AD26" s="129"/>
      <c r="AE26" s="129"/>
      <c r="AF26" s="129"/>
    </row>
    <row r="27" customFormat="false" ht="15.75" hidden="false" customHeight="false" outlineLevel="0" collapsed="false">
      <c r="C27" s="136"/>
      <c r="D27" s="137"/>
      <c r="H27" s="138" t="s">
        <v>125</v>
      </c>
      <c r="I27" s="139"/>
      <c r="J27" s="140" t="n">
        <f aca="false">+J26*J7</f>
        <v>0</v>
      </c>
      <c r="K27" s="140" t="n">
        <f aca="false">+K26*K7</f>
        <v>0</v>
      </c>
      <c r="L27" s="140" t="n">
        <f aca="false">+L26*L7</f>
        <v>0</v>
      </c>
      <c r="M27" s="140" t="n">
        <f aca="false">+M26*M7</f>
        <v>0</v>
      </c>
      <c r="N27" s="140" t="n">
        <f aca="false">+N26*N7</f>
        <v>0</v>
      </c>
      <c r="O27" s="140" t="n">
        <f aca="false">+O26*O8</f>
        <v>16.69</v>
      </c>
      <c r="P27" s="140" t="n">
        <f aca="false">+P26*P7</f>
        <v>0</v>
      </c>
      <c r="Q27" s="140" t="n">
        <f aca="false">+Q26*Q7</f>
        <v>0</v>
      </c>
      <c r="R27" s="140" t="n">
        <f aca="false">+R26*R7</f>
        <v>0</v>
      </c>
      <c r="S27" s="140" t="n">
        <f aca="false">+S26*S7</f>
        <v>0</v>
      </c>
      <c r="T27" s="135"/>
      <c r="U27" s="111"/>
      <c r="W27" s="83"/>
      <c r="X27" s="11"/>
      <c r="Y27" s="128"/>
      <c r="Z27" s="129"/>
      <c r="AA27" s="129"/>
      <c r="AB27" s="129"/>
      <c r="AC27" s="129"/>
      <c r="AD27" s="129"/>
      <c r="AE27" s="129"/>
      <c r="AF27" s="129"/>
    </row>
    <row r="28" customFormat="false" ht="15" hidden="false" customHeight="false" outlineLevel="0" collapsed="false">
      <c r="C28" s="141"/>
      <c r="D28" s="137"/>
      <c r="H28" s="59"/>
      <c r="J28" s="142"/>
      <c r="K28" s="142"/>
      <c r="L28" s="142"/>
      <c r="M28" s="142"/>
      <c r="N28" s="142"/>
      <c r="O28" s="142"/>
      <c r="P28" s="142"/>
      <c r="Q28" s="142"/>
      <c r="R28" s="142"/>
      <c r="S28" s="142"/>
      <c r="T28" s="143"/>
      <c r="U28" s="142"/>
      <c r="W28" s="83"/>
      <c r="X28" s="11"/>
      <c r="Y28" s="128"/>
      <c r="Z28" s="129"/>
      <c r="AA28" s="129"/>
      <c r="AB28" s="129"/>
      <c r="AC28" s="129"/>
      <c r="AD28" s="129"/>
      <c r="AE28" s="129"/>
      <c r="AF28" s="129"/>
    </row>
    <row r="29" customFormat="false" ht="15.75" hidden="false" customHeight="false" outlineLevel="0" collapsed="false">
      <c r="C29" s="124" t="s">
        <v>126</v>
      </c>
      <c r="D29" s="124"/>
      <c r="J29" s="142"/>
      <c r="K29" s="142"/>
      <c r="L29" s="142"/>
      <c r="M29" s="142"/>
      <c r="N29" s="142"/>
      <c r="O29" s="142"/>
      <c r="P29" s="142"/>
      <c r="Q29" s="142"/>
      <c r="R29" s="142"/>
      <c r="S29" s="142"/>
      <c r="T29" s="142"/>
      <c r="U29" s="142"/>
      <c r="W29" s="83"/>
      <c r="X29" s="11"/>
      <c r="Y29" s="144"/>
      <c r="Z29" s="11"/>
      <c r="AA29" s="11"/>
      <c r="AB29" s="11"/>
      <c r="AC29" s="11"/>
      <c r="AD29" s="11"/>
      <c r="AE29" s="11"/>
      <c r="AF29" s="11"/>
    </row>
    <row r="30" customFormat="false" ht="15" hidden="false" customHeight="true" outlineLevel="0" collapsed="false">
      <c r="A30" s="8"/>
      <c r="C30" s="126" t="s">
        <v>127</v>
      </c>
      <c r="D30" s="145" t="n">
        <f aca="false">1/(+D11*30)</f>
        <v>8.7719298245614E-005</v>
      </c>
      <c r="H30" s="75" t="s">
        <v>56</v>
      </c>
      <c r="I30" s="76" t="s">
        <v>57</v>
      </c>
      <c r="J30" s="76"/>
      <c r="K30" s="76"/>
      <c r="L30" s="76"/>
      <c r="M30" s="76"/>
      <c r="N30" s="76"/>
      <c r="O30" s="76"/>
      <c r="P30" s="76"/>
      <c r="Q30" s="76"/>
      <c r="R30" s="76"/>
      <c r="S30" s="76"/>
      <c r="T30" s="76"/>
      <c r="W30" s="146"/>
      <c r="X30" s="85"/>
      <c r="Y30" s="85"/>
      <c r="Z30" s="85"/>
      <c r="AA30" s="85"/>
      <c r="AB30" s="85"/>
      <c r="AC30" s="85"/>
      <c r="AD30" s="85"/>
      <c r="AE30" s="85"/>
      <c r="AF30" s="85"/>
    </row>
    <row r="31" customFormat="false" ht="15" hidden="false" customHeight="true" outlineLevel="0" collapsed="false">
      <c r="A31" s="8"/>
      <c r="B31" s="8"/>
      <c r="C31" s="126" t="s">
        <v>119</v>
      </c>
      <c r="D31" s="127" t="n">
        <v>16</v>
      </c>
      <c r="H31" s="77" t="s">
        <v>60</v>
      </c>
      <c r="I31" s="78" t="s">
        <v>128</v>
      </c>
      <c r="J31" s="78"/>
      <c r="K31" s="78"/>
      <c r="L31" s="78"/>
      <c r="M31" s="78"/>
      <c r="N31" s="78"/>
      <c r="O31" s="78"/>
      <c r="P31" s="78"/>
      <c r="Q31" s="78"/>
      <c r="R31" s="78"/>
      <c r="S31" s="78"/>
      <c r="T31" s="78"/>
      <c r="W31" s="146"/>
      <c r="X31" s="85"/>
      <c r="Y31" s="85"/>
      <c r="Z31" s="85"/>
      <c r="AA31" s="85"/>
      <c r="AB31" s="85"/>
      <c r="AC31" s="85"/>
      <c r="AD31" s="85"/>
      <c r="AE31" s="85"/>
      <c r="AF31" s="85"/>
    </row>
    <row r="32" customFormat="false" ht="15.75" hidden="false" customHeight="true" outlineLevel="0" collapsed="false">
      <c r="A32" s="8"/>
      <c r="B32" s="8"/>
      <c r="C32" s="126" t="s">
        <v>121</v>
      </c>
      <c r="D32" s="127" t="n">
        <f aca="false">1/188.76</f>
        <v>0.00529773257045984</v>
      </c>
      <c r="F32" s="8"/>
      <c r="H32" s="79" t="s">
        <v>64</v>
      </c>
      <c r="I32" s="80" t="s">
        <v>65</v>
      </c>
      <c r="J32" s="80"/>
      <c r="K32" s="80"/>
      <c r="L32" s="80"/>
      <c r="M32" s="80"/>
      <c r="N32" s="80"/>
      <c r="O32" s="80"/>
      <c r="P32" s="80"/>
      <c r="Q32" s="80"/>
      <c r="R32" s="80"/>
      <c r="S32" s="80"/>
      <c r="T32" s="80"/>
      <c r="W32" s="146"/>
      <c r="X32" s="85"/>
      <c r="Y32" s="85"/>
      <c r="Z32" s="85"/>
      <c r="AA32" s="85"/>
      <c r="AB32" s="85"/>
      <c r="AC32" s="85"/>
      <c r="AD32" s="85"/>
      <c r="AE32" s="85"/>
      <c r="AF32" s="85"/>
    </row>
    <row r="33" customFormat="false" ht="15.75" hidden="false" customHeight="true" outlineLevel="0" collapsed="false">
      <c r="A33" s="8"/>
      <c r="B33" s="8"/>
      <c r="C33" s="147" t="s">
        <v>123</v>
      </c>
      <c r="D33" s="148" t="n">
        <f aca="false">+D32*D31*D30</f>
        <v>7.43541413397873E-006</v>
      </c>
      <c r="F33" s="8"/>
      <c r="H33" s="81"/>
      <c r="I33" s="81"/>
      <c r="J33" s="82" t="s">
        <v>68</v>
      </c>
      <c r="K33" s="82" t="s">
        <v>68</v>
      </c>
      <c r="L33" s="82" t="s">
        <v>68</v>
      </c>
      <c r="M33" s="82" t="s">
        <v>68</v>
      </c>
      <c r="N33" s="82" t="s">
        <v>68</v>
      </c>
      <c r="O33" s="82" t="s">
        <v>68</v>
      </c>
      <c r="P33" s="82" t="s">
        <v>68</v>
      </c>
      <c r="Q33" s="82" t="s">
        <v>68</v>
      </c>
      <c r="R33" s="82" t="s">
        <v>68</v>
      </c>
      <c r="S33" s="82" t="s">
        <v>68</v>
      </c>
      <c r="T33" s="62" t="s">
        <v>69</v>
      </c>
      <c r="W33" s="146"/>
      <c r="X33" s="11"/>
      <c r="Y33" s="85"/>
      <c r="Z33" s="85"/>
      <c r="AA33" s="149"/>
      <c r="AB33" s="149"/>
      <c r="AC33" s="149"/>
      <c r="AD33" s="149"/>
      <c r="AE33" s="149"/>
      <c r="AF33" s="149"/>
    </row>
    <row r="34" customFormat="false" ht="15.75" hidden="false" customHeight="false" outlineLevel="0" collapsed="false">
      <c r="A34" s="8"/>
      <c r="B34" s="8"/>
      <c r="F34" s="8"/>
      <c r="H34" s="86" t="s">
        <v>72</v>
      </c>
      <c r="I34" s="86"/>
      <c r="J34" s="150" t="n">
        <f aca="false">+T63</f>
        <v>0</v>
      </c>
      <c r="K34" s="150" t="n">
        <f aca="false">+T68</f>
        <v>0</v>
      </c>
      <c r="L34" s="150" t="n">
        <f aca="false">+T73</f>
        <v>0</v>
      </c>
      <c r="M34" s="150" t="n">
        <f aca="false">+T78</f>
        <v>0</v>
      </c>
      <c r="N34" s="150" t="n">
        <f aca="false">+T83</f>
        <v>0</v>
      </c>
      <c r="O34" s="150"/>
      <c r="P34" s="150" t="n">
        <f aca="false">+T98</f>
        <v>0</v>
      </c>
      <c r="Q34" s="150" t="n">
        <f aca="false">+T103</f>
        <v>0</v>
      </c>
      <c r="R34" s="150" t="n">
        <f aca="false">+T108</f>
        <v>0</v>
      </c>
      <c r="S34" s="150" t="n">
        <f aca="false">+T113</f>
        <v>0</v>
      </c>
      <c r="T34" s="62"/>
      <c r="W34" s="83"/>
      <c r="X34" s="85"/>
      <c r="Y34" s="85"/>
      <c r="Z34" s="11"/>
      <c r="AA34" s="11"/>
      <c r="AB34" s="11"/>
      <c r="AC34" s="11"/>
      <c r="AD34" s="11"/>
      <c r="AE34" s="11"/>
      <c r="AF34" s="11"/>
    </row>
    <row r="35" customFormat="false" ht="15" hidden="false" customHeight="false" outlineLevel="0" collapsed="false">
      <c r="A35" s="8"/>
      <c r="B35" s="8"/>
      <c r="C35" s="123" t="s">
        <v>129</v>
      </c>
      <c r="D35" s="123"/>
      <c r="F35" s="8"/>
      <c r="H35" s="86" t="s">
        <v>75</v>
      </c>
      <c r="I35" s="86"/>
      <c r="J35" s="150"/>
      <c r="K35" s="150"/>
      <c r="L35" s="150"/>
      <c r="M35" s="150"/>
      <c r="N35" s="150"/>
      <c r="O35" s="150" t="n">
        <f aca="false">+T89</f>
        <v>0.01</v>
      </c>
      <c r="P35" s="150"/>
      <c r="Q35" s="150"/>
      <c r="R35" s="150"/>
      <c r="S35" s="150"/>
      <c r="T35" s="62"/>
      <c r="W35" s="83"/>
      <c r="X35" s="85"/>
      <c r="Y35" s="85"/>
      <c r="Z35" s="11"/>
      <c r="AA35" s="11"/>
      <c r="AB35" s="11"/>
      <c r="AC35" s="11"/>
      <c r="AD35" s="11"/>
      <c r="AE35" s="11"/>
      <c r="AF35" s="11"/>
    </row>
    <row r="36" customFormat="false" ht="24" hidden="false" customHeight="false" outlineLevel="0" collapsed="false">
      <c r="A36" s="8"/>
      <c r="B36" s="8"/>
      <c r="C36" s="124" t="s">
        <v>130</v>
      </c>
      <c r="D36" s="124"/>
      <c r="F36" s="8"/>
      <c r="H36" s="92" t="s">
        <v>79</v>
      </c>
      <c r="I36" s="93" t="s">
        <v>80</v>
      </c>
      <c r="J36" s="94" t="s">
        <v>81</v>
      </c>
      <c r="K36" s="94" t="s">
        <v>82</v>
      </c>
      <c r="L36" s="94" t="s">
        <v>83</v>
      </c>
      <c r="M36" s="94" t="s">
        <v>84</v>
      </c>
      <c r="N36" s="94" t="s">
        <v>85</v>
      </c>
      <c r="O36" s="94" t="s">
        <v>86</v>
      </c>
      <c r="P36" s="94" t="s">
        <v>87</v>
      </c>
      <c r="Q36" s="94" t="s">
        <v>88</v>
      </c>
      <c r="R36" s="94" t="s">
        <v>89</v>
      </c>
      <c r="S36" s="94" t="s">
        <v>90</v>
      </c>
      <c r="T36" s="62"/>
      <c r="W36" s="83"/>
      <c r="X36" s="11"/>
      <c r="Y36" s="85"/>
      <c r="Z36" s="11"/>
      <c r="AA36" s="11"/>
      <c r="AB36" s="11"/>
      <c r="AC36" s="11"/>
      <c r="AD36" s="11"/>
      <c r="AE36" s="11"/>
      <c r="AF36" s="11"/>
    </row>
    <row r="37" customFormat="false" ht="15" hidden="false" customHeight="false" outlineLevel="0" collapsed="false">
      <c r="B37" s="8"/>
      <c r="C37" s="126" t="s">
        <v>117</v>
      </c>
      <c r="D37" s="127" t="n">
        <f aca="false">1/D12</f>
        <v>0.00263157894736842</v>
      </c>
      <c r="F37" s="8"/>
      <c r="H37" s="98" t="s">
        <v>131</v>
      </c>
      <c r="I37" s="91" t="s">
        <v>94</v>
      </c>
      <c r="J37" s="99" t="n">
        <v>34371</v>
      </c>
      <c r="K37" s="99" t="n">
        <v>15878</v>
      </c>
      <c r="L37" s="99" t="n">
        <v>2800</v>
      </c>
      <c r="M37" s="99" t="n">
        <v>924</v>
      </c>
      <c r="N37" s="99" t="n">
        <v>60</v>
      </c>
      <c r="O37" s="99" t="n">
        <v>1110</v>
      </c>
      <c r="P37" s="99" t="n">
        <v>35000</v>
      </c>
      <c r="Q37" s="99" t="n">
        <v>32683</v>
      </c>
      <c r="R37" s="99" t="n">
        <v>1829</v>
      </c>
      <c r="S37" s="99" t="n">
        <v>1698</v>
      </c>
      <c r="T37" s="100" t="n">
        <f aca="false">+(J37*$J$34)+(K37*$K$34)+(L37*$L$34)+(M37*$M$34)+(N37*$N$34)+(P37*$P$34)+(R37*$R$34)+(S37*$S$34)+(Q37*$Q$34)+(O37*$O$35)</f>
        <v>11.1</v>
      </c>
      <c r="W37" s="83"/>
      <c r="X37" s="11"/>
      <c r="Y37" s="85"/>
      <c r="Z37" s="11"/>
      <c r="AA37" s="11"/>
      <c r="AB37" s="11"/>
      <c r="AC37" s="11"/>
      <c r="AD37" s="11"/>
      <c r="AE37" s="11"/>
      <c r="AF37" s="11"/>
    </row>
    <row r="38" customFormat="false" ht="15" hidden="false" customHeight="false" outlineLevel="0" collapsed="false">
      <c r="C38" s="126" t="s">
        <v>119</v>
      </c>
      <c r="D38" s="127" t="n">
        <v>16</v>
      </c>
      <c r="F38" s="8"/>
      <c r="H38" s="98" t="s">
        <v>131</v>
      </c>
      <c r="I38" s="91" t="s">
        <v>98</v>
      </c>
      <c r="J38" s="151" t="n">
        <v>10000</v>
      </c>
      <c r="K38" s="151" t="n">
        <v>8546</v>
      </c>
      <c r="L38" s="151"/>
      <c r="M38" s="151"/>
      <c r="N38" s="151"/>
      <c r="O38" s="151" t="n">
        <v>1110</v>
      </c>
      <c r="P38" s="151"/>
      <c r="Q38" s="151"/>
      <c r="R38" s="151"/>
      <c r="S38" s="151"/>
      <c r="T38" s="100" t="n">
        <f aca="false">+(J38*$J$34)+(K38*$K$34)+(L38*$L$34)+(M38*$M$34)+(N38*$N$34)+(P38*$P$34)+(R38*$R$34)+(S38*$S$34)+(Q38*$Q$34)+(O38*$O$35)</f>
        <v>11.1</v>
      </c>
      <c r="W38" s="152"/>
      <c r="X38" s="85"/>
      <c r="Y38" s="85"/>
      <c r="Z38" s="85"/>
      <c r="AA38" s="85"/>
      <c r="AB38" s="85"/>
      <c r="AC38" s="85"/>
      <c r="AD38" s="85"/>
      <c r="AE38" s="85"/>
      <c r="AF38" s="85"/>
    </row>
    <row r="39" customFormat="false" ht="15" hidden="false" customHeight="false" outlineLevel="0" collapsed="false">
      <c r="C39" s="126" t="s">
        <v>121</v>
      </c>
      <c r="D39" s="127" t="n">
        <f aca="false">1/188.76</f>
        <v>0.00529773257045984</v>
      </c>
      <c r="H39" s="98"/>
      <c r="I39" s="153"/>
      <c r="J39" s="151"/>
      <c r="K39" s="151"/>
      <c r="L39" s="151"/>
      <c r="M39" s="151"/>
      <c r="N39" s="151"/>
      <c r="O39" s="151"/>
      <c r="P39" s="151"/>
      <c r="Q39" s="151"/>
      <c r="R39" s="151"/>
      <c r="S39" s="151"/>
      <c r="T39" s="100"/>
      <c r="W39" s="152"/>
      <c r="X39" s="11"/>
      <c r="Y39" s="85"/>
      <c r="Z39" s="85"/>
      <c r="AA39" s="149"/>
      <c r="AB39" s="149"/>
      <c r="AC39" s="149"/>
      <c r="AD39" s="149"/>
      <c r="AE39" s="149"/>
      <c r="AF39" s="149"/>
    </row>
    <row r="40" customFormat="false" ht="15" hidden="false" customHeight="false" outlineLevel="0" collapsed="false">
      <c r="C40" s="126" t="s">
        <v>123</v>
      </c>
      <c r="D40" s="127" t="n">
        <f aca="false">+D39*D38*D37</f>
        <v>0.000223062424019362</v>
      </c>
      <c r="H40" s="86" t="s">
        <v>124</v>
      </c>
      <c r="I40" s="133"/>
      <c r="J40" s="134" t="n">
        <f aca="false">SUM(J37:J39)</f>
        <v>44371</v>
      </c>
      <c r="K40" s="134" t="n">
        <f aca="false">SUM(K37:K39)</f>
        <v>24424</v>
      </c>
      <c r="L40" s="134" t="n">
        <f aca="false">SUM(L37:L39)</f>
        <v>2800</v>
      </c>
      <c r="M40" s="134" t="n">
        <f aca="false">SUM(M37:M39)</f>
        <v>924</v>
      </c>
      <c r="N40" s="134" t="n">
        <f aca="false">SUM(N37:N39)</f>
        <v>60</v>
      </c>
      <c r="O40" s="134" t="n">
        <f aca="false">SUM(O37:O39)</f>
        <v>2220</v>
      </c>
      <c r="P40" s="134" t="n">
        <f aca="false">SUM(P37:P39)</f>
        <v>35000</v>
      </c>
      <c r="Q40" s="134" t="n">
        <f aca="false">SUM(Q37:Q39)</f>
        <v>32683</v>
      </c>
      <c r="R40" s="134" t="n">
        <f aca="false">SUM(R37:R39)</f>
        <v>1829</v>
      </c>
      <c r="S40" s="134" t="n">
        <f aca="false">SUM(S37:S39)</f>
        <v>1698</v>
      </c>
      <c r="T40" s="154" t="n">
        <f aca="false">SUM(T37:T39)</f>
        <v>22.2</v>
      </c>
      <c r="X40" s="11"/>
      <c r="Y40" s="85"/>
      <c r="Z40" s="11"/>
      <c r="AA40" s="11"/>
      <c r="AB40" s="11"/>
      <c r="AC40" s="11"/>
      <c r="AD40" s="11"/>
      <c r="AE40" s="11"/>
      <c r="AF40" s="11"/>
    </row>
    <row r="41" customFormat="false" ht="15.75" hidden="false" customHeight="false" outlineLevel="0" collapsed="false">
      <c r="C41" s="124" t="s">
        <v>132</v>
      </c>
      <c r="D41" s="124"/>
      <c r="H41" s="138" t="s">
        <v>125</v>
      </c>
      <c r="I41" s="139"/>
      <c r="J41" s="140" t="n">
        <f aca="false">+J40*J34</f>
        <v>0</v>
      </c>
      <c r="K41" s="140" t="n">
        <f aca="false">+K40*K34</f>
        <v>0</v>
      </c>
      <c r="L41" s="140" t="n">
        <f aca="false">+L40*L34</f>
        <v>0</v>
      </c>
      <c r="M41" s="140" t="n">
        <f aca="false">+M40*M34</f>
        <v>0</v>
      </c>
      <c r="N41" s="140" t="n">
        <f aca="false">+N40*N34</f>
        <v>0</v>
      </c>
      <c r="O41" s="140" t="n">
        <f aca="false">+O40*O35</f>
        <v>22.2</v>
      </c>
      <c r="P41" s="140" t="n">
        <f aca="false">+P40*P34</f>
        <v>0</v>
      </c>
      <c r="Q41" s="140" t="n">
        <f aca="false">+Q40*Q34</f>
        <v>0</v>
      </c>
      <c r="R41" s="140" t="n">
        <f aca="false">+R40*R34</f>
        <v>0</v>
      </c>
      <c r="S41" s="140" t="n">
        <f aca="false">+S40*S34</f>
        <v>0</v>
      </c>
      <c r="T41" s="154"/>
      <c r="U41" s="111"/>
      <c r="W41" s="152"/>
      <c r="X41" s="85"/>
      <c r="Y41" s="65"/>
      <c r="Z41" s="65"/>
      <c r="AA41" s="65"/>
      <c r="AB41" s="65"/>
      <c r="AC41" s="65"/>
      <c r="AD41" s="65"/>
      <c r="AE41" s="65"/>
      <c r="AF41" s="65"/>
    </row>
    <row r="42" customFormat="false" ht="25.5" hidden="false" customHeight="false" outlineLevel="0" collapsed="false">
      <c r="C42" s="155" t="s">
        <v>133</v>
      </c>
      <c r="D42" s="145" t="n">
        <f aca="false">1/(+D12*30)</f>
        <v>8.7719298245614E-005</v>
      </c>
      <c r="P42" s="156"/>
      <c r="Q42" s="157"/>
      <c r="R42" s="158"/>
      <c r="S42" s="158"/>
      <c r="T42" s="159"/>
      <c r="W42" s="152"/>
      <c r="X42" s="85"/>
      <c r="Y42" s="65"/>
      <c r="Z42" s="65"/>
      <c r="AA42" s="65"/>
      <c r="AB42" s="65"/>
      <c r="AC42" s="65"/>
      <c r="AD42" s="65"/>
      <c r="AE42" s="65"/>
      <c r="AF42" s="65"/>
    </row>
    <row r="43" customFormat="false" ht="15" hidden="false" customHeight="true" outlineLevel="0" collapsed="false">
      <c r="C43" s="126" t="s">
        <v>119</v>
      </c>
      <c r="D43" s="127" t="n">
        <v>16</v>
      </c>
      <c r="H43" s="75" t="s">
        <v>56</v>
      </c>
      <c r="I43" s="76" t="s">
        <v>57</v>
      </c>
      <c r="J43" s="76"/>
      <c r="K43" s="76"/>
      <c r="L43" s="76"/>
      <c r="M43" s="76"/>
      <c r="N43" s="76"/>
      <c r="O43" s="76"/>
      <c r="P43" s="76"/>
      <c r="Q43" s="76"/>
      <c r="R43" s="76"/>
      <c r="S43" s="76"/>
      <c r="T43" s="76"/>
      <c r="W43" s="152"/>
      <c r="X43" s="85"/>
      <c r="Y43" s="65"/>
      <c r="Z43" s="65"/>
      <c r="AA43" s="65"/>
      <c r="AB43" s="65"/>
      <c r="AC43" s="65"/>
      <c r="AD43" s="65"/>
      <c r="AE43" s="65"/>
      <c r="AF43" s="65"/>
    </row>
    <row r="44" customFormat="false" ht="13.9" hidden="false" customHeight="true" outlineLevel="0" collapsed="false">
      <c r="C44" s="126" t="s">
        <v>121</v>
      </c>
      <c r="D44" s="127" t="n">
        <f aca="false">1/188.76</f>
        <v>0.00529773257045984</v>
      </c>
      <c r="H44" s="77" t="s">
        <v>60</v>
      </c>
      <c r="I44" s="78" t="s">
        <v>61</v>
      </c>
      <c r="J44" s="78"/>
      <c r="K44" s="78"/>
      <c r="L44" s="78"/>
      <c r="M44" s="78"/>
      <c r="N44" s="78"/>
      <c r="O44" s="78"/>
      <c r="P44" s="78"/>
      <c r="Q44" s="78"/>
      <c r="R44" s="78"/>
      <c r="S44" s="78"/>
      <c r="T44" s="78"/>
      <c r="W44" s="152"/>
      <c r="X44" s="85"/>
      <c r="Y44" s="65"/>
      <c r="Z44" s="65"/>
      <c r="AA44" s="65"/>
      <c r="AB44" s="65"/>
      <c r="AC44" s="65"/>
      <c r="AD44" s="65"/>
      <c r="AE44" s="65"/>
      <c r="AF44" s="65"/>
    </row>
    <row r="45" customFormat="false" ht="15.75" hidden="false" customHeight="true" outlineLevel="0" collapsed="false">
      <c r="C45" s="147" t="s">
        <v>123</v>
      </c>
      <c r="D45" s="148" t="n">
        <f aca="false">+D44*D43*D42</f>
        <v>7.43541413397873E-006</v>
      </c>
      <c r="H45" s="79" t="s">
        <v>64</v>
      </c>
      <c r="I45" s="80" t="s">
        <v>134</v>
      </c>
      <c r="J45" s="80"/>
      <c r="K45" s="80"/>
      <c r="L45" s="80"/>
      <c r="M45" s="80"/>
      <c r="N45" s="80"/>
      <c r="O45" s="80"/>
      <c r="P45" s="80"/>
      <c r="Q45" s="80"/>
      <c r="R45" s="80"/>
      <c r="S45" s="80"/>
      <c r="T45" s="80"/>
      <c r="W45" s="152"/>
      <c r="X45" s="85"/>
      <c r="Y45" s="65"/>
      <c r="Z45" s="65"/>
      <c r="AA45" s="65"/>
      <c r="AB45" s="65"/>
      <c r="AC45" s="65"/>
      <c r="AD45" s="65"/>
      <c r="AE45" s="65"/>
      <c r="AF45" s="65"/>
    </row>
    <row r="46" customFormat="false" ht="15" hidden="false" customHeight="true" outlineLevel="0" collapsed="false">
      <c r="H46" s="81"/>
      <c r="I46" s="81"/>
      <c r="J46" s="82" t="s">
        <v>68</v>
      </c>
      <c r="K46" s="82" t="s">
        <v>68</v>
      </c>
      <c r="L46" s="82" t="s">
        <v>68</v>
      </c>
      <c r="M46" s="82" t="s">
        <v>68</v>
      </c>
      <c r="N46" s="82" t="s">
        <v>68</v>
      </c>
      <c r="O46" s="82" t="s">
        <v>68</v>
      </c>
      <c r="P46" s="82" t="s">
        <v>68</v>
      </c>
      <c r="Q46" s="82" t="s">
        <v>68</v>
      </c>
      <c r="R46" s="82" t="s">
        <v>68</v>
      </c>
      <c r="S46" s="82" t="s">
        <v>68</v>
      </c>
      <c r="T46" s="62" t="s">
        <v>69</v>
      </c>
      <c r="W46" s="152"/>
      <c r="X46" s="85"/>
      <c r="Y46" s="65"/>
      <c r="Z46" s="65"/>
      <c r="AA46" s="65"/>
      <c r="AB46" s="65"/>
      <c r="AC46" s="65"/>
      <c r="AD46" s="65"/>
      <c r="AE46" s="65"/>
      <c r="AF46" s="65"/>
    </row>
    <row r="47" customFormat="false" ht="15" hidden="false" customHeight="false" outlineLevel="0" collapsed="false">
      <c r="H47" s="86" t="s">
        <v>72</v>
      </c>
      <c r="I47" s="86"/>
      <c r="J47" s="150" t="n">
        <f aca="false">+M63</f>
        <v>0</v>
      </c>
      <c r="K47" s="150" t="n">
        <f aca="false">+M68</f>
        <v>0</v>
      </c>
      <c r="L47" s="150" t="n">
        <f aca="false">+M73</f>
        <v>0</v>
      </c>
      <c r="M47" s="160"/>
      <c r="N47" s="150" t="n">
        <f aca="false">+M83</f>
        <v>0</v>
      </c>
      <c r="O47" s="150" t="n">
        <f aca="false">+M89</f>
        <v>0.01</v>
      </c>
      <c r="P47" s="150" t="n">
        <f aca="false">+M98</f>
        <v>0</v>
      </c>
      <c r="Q47" s="150" t="n">
        <f aca="false">+M103</f>
        <v>0</v>
      </c>
      <c r="R47" s="150" t="n">
        <f aca="false">+M108</f>
        <v>0</v>
      </c>
      <c r="S47" s="150" t="n">
        <f aca="false">+M113</f>
        <v>0</v>
      </c>
      <c r="T47" s="62"/>
      <c r="W47" s="152"/>
      <c r="X47" s="85"/>
      <c r="Y47" s="65"/>
      <c r="Z47" s="65"/>
      <c r="AA47" s="65"/>
      <c r="AB47" s="65"/>
      <c r="AC47" s="65"/>
      <c r="AD47" s="65"/>
      <c r="AE47" s="65"/>
      <c r="AF47" s="65"/>
    </row>
    <row r="48" customFormat="false" ht="15" hidden="false" customHeight="false" outlineLevel="0" collapsed="false">
      <c r="H48" s="86" t="s">
        <v>75</v>
      </c>
      <c r="I48" s="86"/>
      <c r="J48" s="161"/>
      <c r="K48" s="161"/>
      <c r="L48" s="161"/>
      <c r="M48" s="161" t="n">
        <f aca="false">+M93</f>
        <v>0</v>
      </c>
      <c r="N48" s="161"/>
      <c r="O48" s="161"/>
      <c r="P48" s="161"/>
      <c r="Q48" s="161"/>
      <c r="R48" s="161"/>
      <c r="S48" s="161"/>
      <c r="T48" s="62"/>
      <c r="W48" s="152"/>
      <c r="X48" s="162"/>
      <c r="Y48" s="144"/>
      <c r="Z48" s="11"/>
      <c r="AA48" s="11"/>
      <c r="AB48" s="11"/>
      <c r="AC48" s="11"/>
      <c r="AD48" s="11"/>
      <c r="AE48" s="11"/>
      <c r="AF48" s="11"/>
    </row>
    <row r="49" customFormat="false" ht="24" hidden="false" customHeight="false" outlineLevel="0" collapsed="false">
      <c r="H49" s="92" t="s">
        <v>79</v>
      </c>
      <c r="I49" s="93" t="s">
        <v>80</v>
      </c>
      <c r="J49" s="94" t="s">
        <v>81</v>
      </c>
      <c r="K49" s="94" t="s">
        <v>82</v>
      </c>
      <c r="L49" s="94" t="s">
        <v>83</v>
      </c>
      <c r="M49" s="94" t="s">
        <v>135</v>
      </c>
      <c r="N49" s="94" t="s">
        <v>85</v>
      </c>
      <c r="O49" s="94" t="s">
        <v>86</v>
      </c>
      <c r="P49" s="94" t="s">
        <v>87</v>
      </c>
      <c r="Q49" s="94" t="s">
        <v>88</v>
      </c>
      <c r="R49" s="94" t="s">
        <v>89</v>
      </c>
      <c r="S49" s="94" t="s">
        <v>90</v>
      </c>
      <c r="T49" s="62"/>
      <c r="W49" s="152"/>
      <c r="X49" s="163"/>
      <c r="Y49" s="164"/>
      <c r="Z49" s="164"/>
      <c r="AA49" s="164"/>
      <c r="AB49" s="164"/>
      <c r="AC49" s="164"/>
      <c r="AD49" s="164"/>
      <c r="AE49" s="164"/>
      <c r="AF49" s="164"/>
    </row>
    <row r="50" customFormat="false" ht="15" hidden="false" customHeight="false" outlineLevel="0" collapsed="false">
      <c r="H50" s="98" t="s">
        <v>136</v>
      </c>
      <c r="I50" s="153" t="s">
        <v>94</v>
      </c>
      <c r="J50" s="99" t="n">
        <v>200</v>
      </c>
      <c r="K50" s="99"/>
      <c r="L50" s="99"/>
      <c r="M50" s="165"/>
      <c r="N50" s="99"/>
      <c r="O50" s="99"/>
      <c r="P50" s="99"/>
      <c r="Q50" s="99"/>
      <c r="R50" s="99"/>
      <c r="S50" s="99"/>
      <c r="T50" s="100" t="n">
        <f aca="false">+(J50*$J$47)+(K50*$K$47)+(L50*$L$47)+(M50*$M$47)+(N50*$N$47)+(P50*$P$47)+(R50*$R$47)+(S50*$S$47)+(Q50*$Q$47)+(O50*$O$47)</f>
        <v>0</v>
      </c>
      <c r="X50" s="162"/>
      <c r="Y50" s="166"/>
      <c r="Z50" s="167"/>
      <c r="AA50" s="149"/>
      <c r="AB50" s="149"/>
      <c r="AC50" s="149"/>
      <c r="AD50" s="149"/>
      <c r="AE50" s="149"/>
      <c r="AF50" s="149"/>
    </row>
    <row r="51" customFormat="false" ht="23.25" hidden="false" customHeight="false" outlineLevel="0" collapsed="false">
      <c r="H51" s="98" t="s">
        <v>137</v>
      </c>
      <c r="I51" s="153" t="s">
        <v>94</v>
      </c>
      <c r="J51" s="151" t="n">
        <v>1585</v>
      </c>
      <c r="K51" s="151" t="n">
        <v>1910</v>
      </c>
      <c r="L51" s="151" t="n">
        <v>770</v>
      </c>
      <c r="M51" s="165" t="n">
        <v>2819</v>
      </c>
      <c r="N51" s="151" t="n">
        <v>65</v>
      </c>
      <c r="O51" s="151" t="n">
        <v>200</v>
      </c>
      <c r="P51" s="151" t="n">
        <v>1870</v>
      </c>
      <c r="Q51" s="151" t="n">
        <v>3463</v>
      </c>
      <c r="R51" s="151" t="n">
        <v>3540</v>
      </c>
      <c r="S51" s="151" t="n">
        <v>3540</v>
      </c>
      <c r="T51" s="100" t="n">
        <f aca="false">+(J51*$J$47)+(K51*$K$47)+(L51*$L$47)+(M51*$M$48)+(N51*$N$47)+(P51*$P$47)+(R51*$R$47)+(S51*$S$47)+(Q51*$Q$47)+(O51*$O$47)</f>
        <v>2</v>
      </c>
      <c r="X51" s="162"/>
      <c r="Y51" s="166"/>
      <c r="Z51" s="167"/>
      <c r="AA51" s="149"/>
      <c r="AB51" s="149"/>
      <c r="AC51" s="149"/>
      <c r="AD51" s="149"/>
      <c r="AE51" s="149"/>
      <c r="AF51" s="149"/>
    </row>
    <row r="52" customFormat="false" ht="23.25" hidden="false" customHeight="false" outlineLevel="0" collapsed="false">
      <c r="H52" s="98" t="s">
        <v>138</v>
      </c>
      <c r="I52" s="153" t="s">
        <v>94</v>
      </c>
      <c r="J52" s="151"/>
      <c r="K52" s="151"/>
      <c r="L52" s="151"/>
      <c r="M52" s="151" t="n">
        <v>446</v>
      </c>
      <c r="N52" s="151"/>
      <c r="O52" s="151"/>
      <c r="P52" s="151"/>
      <c r="Q52" s="151"/>
      <c r="R52" s="151"/>
      <c r="S52" s="151"/>
      <c r="T52" s="100" t="n">
        <f aca="false">+M52*M48</f>
        <v>0</v>
      </c>
      <c r="X52" s="162"/>
      <c r="Y52" s="166"/>
      <c r="Z52" s="167"/>
      <c r="AA52" s="149"/>
      <c r="AB52" s="149"/>
      <c r="AC52" s="149"/>
      <c r="AD52" s="149"/>
      <c r="AE52" s="149"/>
      <c r="AF52" s="149"/>
    </row>
    <row r="53" customFormat="false" ht="15" hidden="false" customHeight="false" outlineLevel="0" collapsed="false">
      <c r="H53" s="86" t="s">
        <v>124</v>
      </c>
      <c r="I53" s="133"/>
      <c r="J53" s="134" t="n">
        <f aca="false">SUM(J50:J52)</f>
        <v>1785</v>
      </c>
      <c r="K53" s="134" t="n">
        <f aca="false">SUM(K50:K52)</f>
        <v>1910</v>
      </c>
      <c r="L53" s="134" t="n">
        <f aca="false">SUM(L50:L52)</f>
        <v>770</v>
      </c>
      <c r="M53" s="134" t="n">
        <f aca="false">SUM(M50:M52)</f>
        <v>3265</v>
      </c>
      <c r="N53" s="134" t="n">
        <f aca="false">SUM(N50:N52)</f>
        <v>65</v>
      </c>
      <c r="O53" s="134" t="n">
        <f aca="false">SUM(O50:O52)</f>
        <v>200</v>
      </c>
      <c r="P53" s="134" t="n">
        <f aca="false">SUM(P50:P52)</f>
        <v>1870</v>
      </c>
      <c r="Q53" s="134" t="n">
        <f aca="false">SUM(Q50:Q52)</f>
        <v>3463</v>
      </c>
      <c r="R53" s="134" t="n">
        <f aca="false">SUM(R50:R52)</f>
        <v>3540</v>
      </c>
      <c r="S53" s="134" t="n">
        <f aca="false">SUM(S50:S52)</f>
        <v>3540</v>
      </c>
      <c r="T53" s="154" t="n">
        <f aca="false">SUM(T50:T52)</f>
        <v>2</v>
      </c>
      <c r="U53" s="130"/>
      <c r="X53" s="162"/>
      <c r="Y53" s="166"/>
      <c r="Z53" s="167"/>
      <c r="AA53" s="149"/>
      <c r="AB53" s="149"/>
      <c r="AC53" s="149"/>
      <c r="AD53" s="149"/>
      <c r="AE53" s="149"/>
      <c r="AF53" s="149"/>
    </row>
    <row r="54" customFormat="false" ht="15.75" hidden="false" customHeight="false" outlineLevel="0" collapsed="false">
      <c r="H54" s="138" t="s">
        <v>125</v>
      </c>
      <c r="I54" s="139"/>
      <c r="J54" s="140" t="n">
        <f aca="false">+J53*J47</f>
        <v>0</v>
      </c>
      <c r="K54" s="140" t="n">
        <f aca="false">+K53*K47</f>
        <v>0</v>
      </c>
      <c r="L54" s="140" t="n">
        <f aca="false">+L53*L47</f>
        <v>0</v>
      </c>
      <c r="M54" s="140" t="n">
        <f aca="false">+M53*M48</f>
        <v>0</v>
      </c>
      <c r="N54" s="140" t="n">
        <f aca="false">+N53*N47</f>
        <v>0</v>
      </c>
      <c r="O54" s="140" t="n">
        <f aca="false">+O53*O47</f>
        <v>2</v>
      </c>
      <c r="P54" s="140" t="n">
        <f aca="false">+P53*P47</f>
        <v>0</v>
      </c>
      <c r="Q54" s="140" t="n">
        <f aca="false">+Q53*Q47</f>
        <v>0</v>
      </c>
      <c r="R54" s="140" t="n">
        <f aca="false">+R53*R47</f>
        <v>0</v>
      </c>
      <c r="S54" s="140" t="n">
        <f aca="false">+S53*S47</f>
        <v>0</v>
      </c>
      <c r="T54" s="154"/>
      <c r="U54" s="111"/>
      <c r="X54" s="162"/>
      <c r="Y54" s="166"/>
      <c r="Z54" s="167"/>
      <c r="AA54" s="149"/>
      <c r="AB54" s="149"/>
      <c r="AC54" s="149"/>
      <c r="AD54" s="149"/>
      <c r="AE54" s="149"/>
      <c r="AF54" s="149"/>
    </row>
    <row r="55" customFormat="false" ht="15.75" hidden="false" customHeight="false" outlineLevel="0" collapsed="false">
      <c r="P55" s="156"/>
      <c r="Q55" s="168" t="s">
        <v>139</v>
      </c>
      <c r="R55" s="168"/>
      <c r="S55" s="168"/>
      <c r="T55" s="169" t="n">
        <f aca="false">+T53+T40+T26</f>
        <v>40.89</v>
      </c>
      <c r="X55" s="162"/>
      <c r="Y55" s="166"/>
      <c r="Z55" s="167"/>
      <c r="AA55" s="149"/>
      <c r="AB55" s="149"/>
      <c r="AC55" s="149"/>
      <c r="AD55" s="149"/>
      <c r="AE55" s="149"/>
      <c r="AF55" s="149"/>
    </row>
    <row r="56" customFormat="false" ht="23.25" hidden="false" customHeight="false" outlineLevel="0" collapsed="false">
      <c r="H56" s="59"/>
      <c r="I56" s="59"/>
      <c r="J56" s="59"/>
      <c r="K56" s="59"/>
      <c r="L56" s="170" t="s">
        <v>140</v>
      </c>
      <c r="M56" s="171" t="s">
        <v>141</v>
      </c>
      <c r="N56" s="59"/>
      <c r="P56" s="156"/>
      <c r="Q56" s="168" t="s">
        <v>142</v>
      </c>
      <c r="R56" s="168"/>
      <c r="S56" s="168"/>
      <c r="T56" s="169" t="n">
        <f aca="false">+T55*APRESENTACAO!$G$20</f>
        <v>490.68</v>
      </c>
      <c r="X56" s="162"/>
      <c r="Y56" s="166"/>
      <c r="Z56" s="167"/>
      <c r="AA56" s="149"/>
      <c r="AB56" s="149"/>
      <c r="AC56" s="149"/>
      <c r="AD56" s="149"/>
      <c r="AE56" s="149"/>
      <c r="AF56" s="149"/>
    </row>
    <row r="57" customFormat="false" ht="15.75" hidden="false" customHeight="false" outlineLevel="0" collapsed="false">
      <c r="H57" s="172" t="s">
        <v>143</v>
      </c>
      <c r="I57" s="172"/>
      <c r="J57" s="172"/>
      <c r="K57" s="172"/>
      <c r="L57" s="173" t="n">
        <v>8</v>
      </c>
      <c r="M57" s="174" t="n">
        <f aca="false">+Coletor_de_Residuo_Seg_a_Sex!$D$152</f>
        <v>1.21</v>
      </c>
      <c r="N57" s="175"/>
      <c r="P57" s="156"/>
      <c r="Q57" s="168" t="s">
        <v>144</v>
      </c>
      <c r="R57" s="168"/>
      <c r="S57" s="168"/>
      <c r="T57" s="169" t="n">
        <f aca="false">+M57*L57</f>
        <v>9.68</v>
      </c>
      <c r="X57" s="162"/>
      <c r="Y57" s="166"/>
      <c r="Z57" s="167"/>
      <c r="AA57" s="149"/>
      <c r="AB57" s="149"/>
      <c r="AC57" s="149"/>
      <c r="AD57" s="149"/>
      <c r="AE57" s="149"/>
      <c r="AF57" s="149"/>
    </row>
    <row r="58" customFormat="false" ht="15.75" hidden="false" customHeight="false" outlineLevel="0" collapsed="false">
      <c r="H58" s="59"/>
      <c r="I58" s="59"/>
      <c r="J58" s="59"/>
      <c r="K58" s="59"/>
      <c r="L58" s="59"/>
      <c r="M58" s="175"/>
      <c r="N58" s="175"/>
      <c r="P58" s="156"/>
      <c r="Q58" s="168" t="s">
        <v>145</v>
      </c>
      <c r="R58" s="168"/>
      <c r="S58" s="168"/>
      <c r="T58" s="169" t="n">
        <f aca="false">+T57*APRESENTACAO!$G$20</f>
        <v>116.16</v>
      </c>
      <c r="X58" s="162"/>
      <c r="Y58" s="166"/>
      <c r="Z58" s="167"/>
      <c r="AA58" s="149"/>
      <c r="AB58" s="149"/>
      <c r="AC58" s="149"/>
      <c r="AD58" s="149"/>
      <c r="AE58" s="149"/>
      <c r="AF58" s="149"/>
    </row>
    <row r="59" customFormat="false" ht="15.75" hidden="false" customHeight="false" outlineLevel="0" collapsed="false">
      <c r="P59" s="156"/>
      <c r="Q59" s="176" t="s">
        <v>146</v>
      </c>
      <c r="R59" s="176"/>
      <c r="S59" s="176"/>
      <c r="T59" s="169" t="n">
        <f aca="false">+T58+T56</f>
        <v>606.84</v>
      </c>
    </row>
    <row r="60" customFormat="false" ht="15.75" hidden="false" customHeight="false" outlineLevel="0" collapsed="false">
      <c r="T60" s="177"/>
    </row>
    <row r="61" customFormat="false" ht="26.1" hidden="false" customHeight="true" outlineLevel="0" collapsed="false">
      <c r="H61" s="178" t="s">
        <v>147</v>
      </c>
      <c r="I61" s="179" t="s">
        <v>148</v>
      </c>
      <c r="J61" s="179" t="s">
        <v>149</v>
      </c>
      <c r="K61" s="179" t="s">
        <v>150</v>
      </c>
      <c r="L61" s="179" t="s">
        <v>151</v>
      </c>
      <c r="M61" s="180" t="s">
        <v>152</v>
      </c>
      <c r="N61" s="181" t="s">
        <v>147</v>
      </c>
      <c r="O61" s="181"/>
      <c r="P61" s="182" t="s">
        <v>148</v>
      </c>
      <c r="Q61" s="182" t="s">
        <v>149</v>
      </c>
      <c r="R61" s="182" t="s">
        <v>150</v>
      </c>
      <c r="S61" s="182" t="s">
        <v>151</v>
      </c>
      <c r="T61" s="183" t="s">
        <v>152</v>
      </c>
    </row>
    <row r="62" customFormat="false" ht="26.1" hidden="false" customHeight="true" outlineLevel="0" collapsed="false">
      <c r="H62" s="184" t="s">
        <v>153</v>
      </c>
      <c r="I62" s="185" t="n">
        <f aca="false">+$D$2</f>
        <v>1400</v>
      </c>
      <c r="J62" s="186" t="n">
        <f aca="false">+Encarregado_44h_seg_a_sab!$D$153</f>
        <v>1.21</v>
      </c>
      <c r="K62" s="186"/>
      <c r="L62" s="186" t="n">
        <f aca="false">+J62/($D$2*30)</f>
        <v>2.88095238095238E-005</v>
      </c>
      <c r="M62" s="187"/>
      <c r="N62" s="188" t="s">
        <v>153</v>
      </c>
      <c r="O62" s="188"/>
      <c r="P62" s="189" t="n">
        <f aca="false">+$D$2</f>
        <v>1400</v>
      </c>
      <c r="Q62" s="190" t="n">
        <f aca="false">+Encarregado_44h_seg_a_sab!$D$153</f>
        <v>1.21</v>
      </c>
      <c r="R62" s="190"/>
      <c r="S62" s="190" t="n">
        <f aca="false">+Q62/($D$2*30)</f>
        <v>2.88095238095238E-005</v>
      </c>
      <c r="T62" s="191"/>
    </row>
    <row r="63" customFormat="false" ht="26.1" hidden="false" customHeight="true" outlineLevel="0" collapsed="false">
      <c r="H63" s="184" t="s">
        <v>154</v>
      </c>
      <c r="I63" s="185" t="n">
        <f aca="false">+$D$2</f>
        <v>1400</v>
      </c>
      <c r="J63" s="186" t="n">
        <f aca="false">+Servente_44_seg_a_sex!$D$152</f>
        <v>1.21</v>
      </c>
      <c r="K63" s="186" t="n">
        <f aca="false">+$U$167</f>
        <v>0</v>
      </c>
      <c r="L63" s="186" t="n">
        <f aca="false">ROUND((J63+K63)/$D$2,2)</f>
        <v>0</v>
      </c>
      <c r="M63" s="187" t="n">
        <f aca="false">ROUND(L63+L62,2)</f>
        <v>0</v>
      </c>
      <c r="N63" s="188" t="s">
        <v>155</v>
      </c>
      <c r="O63" s="188"/>
      <c r="P63" s="189" t="n">
        <f aca="false">+$D$2</f>
        <v>1400</v>
      </c>
      <c r="Q63" s="190" t="n">
        <f aca="false">+Serv_44_seg_a_sab!$D$152</f>
        <v>1.21</v>
      </c>
      <c r="R63" s="190" t="n">
        <f aca="false">+$U$167</f>
        <v>0</v>
      </c>
      <c r="S63" s="190" t="n">
        <f aca="false">ROUND((Q63+R63)/$D$2,2)</f>
        <v>0</v>
      </c>
      <c r="T63" s="191" t="n">
        <f aca="false">ROUND(S63+S62,2)</f>
        <v>0</v>
      </c>
    </row>
    <row r="64" customFormat="false" ht="26.1" hidden="false" customHeight="true" outlineLevel="0" collapsed="false">
      <c r="H64" s="192" t="s">
        <v>156</v>
      </c>
      <c r="I64" s="193" t="n">
        <f aca="false">+$D$2</f>
        <v>1400</v>
      </c>
      <c r="J64" s="194"/>
      <c r="K64" s="194"/>
      <c r="L64" s="194"/>
      <c r="M64" s="195"/>
      <c r="N64" s="196" t="s">
        <v>157</v>
      </c>
      <c r="O64" s="196"/>
      <c r="P64" s="197" t="n">
        <f aca="false">+$D$2</f>
        <v>1400</v>
      </c>
      <c r="Q64" s="198"/>
      <c r="R64" s="198"/>
      <c r="S64" s="198"/>
      <c r="T64" s="199"/>
    </row>
    <row r="65" customFormat="false" ht="26.1" hidden="false" customHeight="true" outlineLevel="0" collapsed="false">
      <c r="H65" s="200"/>
      <c r="I65" s="201"/>
      <c r="J65" s="201"/>
      <c r="K65" s="201"/>
      <c r="L65" s="201"/>
      <c r="M65" s="201"/>
      <c r="N65" s="202"/>
      <c r="O65" s="200"/>
      <c r="P65" s="201"/>
      <c r="Q65" s="201"/>
      <c r="R65" s="201"/>
      <c r="S65" s="201"/>
      <c r="T65" s="201"/>
    </row>
    <row r="66" customFormat="false" ht="26.1" hidden="false" customHeight="true" outlineLevel="0" collapsed="false">
      <c r="H66" s="178" t="s">
        <v>158</v>
      </c>
      <c r="I66" s="179" t="s">
        <v>148</v>
      </c>
      <c r="J66" s="179" t="s">
        <v>149</v>
      </c>
      <c r="K66" s="179" t="s">
        <v>150</v>
      </c>
      <c r="L66" s="179" t="s">
        <v>151</v>
      </c>
      <c r="M66" s="180" t="s">
        <v>152</v>
      </c>
      <c r="N66" s="181" t="s">
        <v>158</v>
      </c>
      <c r="O66" s="181"/>
      <c r="P66" s="182" t="s">
        <v>148</v>
      </c>
      <c r="Q66" s="182" t="s">
        <v>149</v>
      </c>
      <c r="R66" s="182" t="s">
        <v>150</v>
      </c>
      <c r="S66" s="182" t="s">
        <v>151</v>
      </c>
      <c r="T66" s="183" t="s">
        <v>152</v>
      </c>
    </row>
    <row r="67" customFormat="false" ht="26.1" hidden="false" customHeight="true" outlineLevel="0" collapsed="false">
      <c r="H67" s="184" t="s">
        <v>153</v>
      </c>
      <c r="I67" s="185" t="n">
        <f aca="false">+$D$3</f>
        <v>2000</v>
      </c>
      <c r="J67" s="186" t="n">
        <f aca="false">+Encarregado_44h_seg_a_sab!$D$153</f>
        <v>1.21</v>
      </c>
      <c r="K67" s="186"/>
      <c r="L67" s="186" t="n">
        <f aca="false">+J67/($D$3*30)</f>
        <v>2.01666666666667E-005</v>
      </c>
      <c r="M67" s="187"/>
      <c r="N67" s="188" t="s">
        <v>153</v>
      </c>
      <c r="O67" s="188"/>
      <c r="P67" s="189" t="n">
        <f aca="false">+$D$3</f>
        <v>2000</v>
      </c>
      <c r="Q67" s="190" t="n">
        <f aca="false">+Encarregado_44h_seg_a_sab!$D$153</f>
        <v>1.21</v>
      </c>
      <c r="R67" s="190"/>
      <c r="S67" s="190" t="n">
        <f aca="false">+Q67/($D$3*30)</f>
        <v>2.01666666666667E-005</v>
      </c>
      <c r="T67" s="191"/>
    </row>
    <row r="68" customFormat="false" ht="26.1" hidden="false" customHeight="true" outlineLevel="0" collapsed="false">
      <c r="H68" s="184" t="s">
        <v>154</v>
      </c>
      <c r="I68" s="185" t="n">
        <f aca="false">+$D$3</f>
        <v>2000</v>
      </c>
      <c r="J68" s="186" t="n">
        <f aca="false">+Servente_44_seg_a_sex!$D$152</f>
        <v>1.21</v>
      </c>
      <c r="K68" s="186" t="n">
        <f aca="false">+$U$167</f>
        <v>0</v>
      </c>
      <c r="L68" s="186" t="n">
        <f aca="false">ROUND((J68+K68)/$D$3,2)</f>
        <v>0</v>
      </c>
      <c r="M68" s="187" t="n">
        <f aca="false">ROUND(L68+L67,2)</f>
        <v>0</v>
      </c>
      <c r="N68" s="188" t="s">
        <v>155</v>
      </c>
      <c r="O68" s="188"/>
      <c r="P68" s="189" t="n">
        <f aca="false">+$D$3</f>
        <v>2000</v>
      </c>
      <c r="Q68" s="190" t="n">
        <f aca="false">+Serv_44_seg_a_sab!$D$152</f>
        <v>1.21</v>
      </c>
      <c r="R68" s="190" t="n">
        <f aca="false">+$U$167</f>
        <v>0</v>
      </c>
      <c r="S68" s="190" t="n">
        <f aca="false">ROUND((Q68+R68)/$D$3,2)</f>
        <v>0</v>
      </c>
      <c r="T68" s="191" t="n">
        <f aca="false">ROUND(S68+S67,2)</f>
        <v>0</v>
      </c>
    </row>
    <row r="69" customFormat="false" ht="26.1" hidden="false" customHeight="true" outlineLevel="0" collapsed="false">
      <c r="H69" s="192" t="s">
        <v>156</v>
      </c>
      <c r="I69" s="193" t="n">
        <f aca="false">+$D$3</f>
        <v>2000</v>
      </c>
      <c r="J69" s="194"/>
      <c r="K69" s="194"/>
      <c r="L69" s="194"/>
      <c r="M69" s="195"/>
      <c r="N69" s="196" t="s">
        <v>157</v>
      </c>
      <c r="O69" s="196"/>
      <c r="P69" s="197" t="n">
        <f aca="false">+$D$3</f>
        <v>2000</v>
      </c>
      <c r="Q69" s="198"/>
      <c r="R69" s="198"/>
      <c r="S69" s="198"/>
      <c r="T69" s="199"/>
    </row>
    <row r="70" customFormat="false" ht="26.1" hidden="false" customHeight="true" outlineLevel="0" collapsed="false">
      <c r="H70" s="200"/>
      <c r="I70" s="201"/>
      <c r="J70" s="201"/>
      <c r="K70" s="201"/>
      <c r="L70" s="201"/>
      <c r="M70" s="201"/>
      <c r="N70" s="11"/>
      <c r="O70" s="201"/>
      <c r="P70" s="201"/>
      <c r="Q70" s="201"/>
      <c r="R70" s="201"/>
      <c r="S70" s="201"/>
      <c r="T70" s="201"/>
    </row>
    <row r="71" customFormat="false" ht="26.1" hidden="false" customHeight="true" outlineLevel="0" collapsed="false">
      <c r="H71" s="178" t="s">
        <v>159</v>
      </c>
      <c r="I71" s="179" t="s">
        <v>148</v>
      </c>
      <c r="J71" s="179" t="s">
        <v>149</v>
      </c>
      <c r="K71" s="179" t="s">
        <v>150</v>
      </c>
      <c r="L71" s="179" t="s">
        <v>151</v>
      </c>
      <c r="M71" s="180" t="s">
        <v>152</v>
      </c>
      <c r="N71" s="203" t="s">
        <v>159</v>
      </c>
      <c r="O71" s="203"/>
      <c r="P71" s="182" t="s">
        <v>148</v>
      </c>
      <c r="Q71" s="182" t="s">
        <v>149</v>
      </c>
      <c r="R71" s="182" t="s">
        <v>150</v>
      </c>
      <c r="S71" s="182" t="s">
        <v>151</v>
      </c>
      <c r="T71" s="183" t="s">
        <v>152</v>
      </c>
    </row>
    <row r="72" customFormat="false" ht="26.1" hidden="false" customHeight="true" outlineLevel="0" collapsed="false">
      <c r="H72" s="184" t="s">
        <v>153</v>
      </c>
      <c r="I72" s="185" t="n">
        <f aca="false">+$D$4</f>
        <v>10000</v>
      </c>
      <c r="J72" s="186" t="n">
        <f aca="false">+Encarregado_44h_seg_a_sab!$D$153</f>
        <v>1.21</v>
      </c>
      <c r="K72" s="186"/>
      <c r="L72" s="186" t="n">
        <f aca="false">+J72/($D$4*30)</f>
        <v>4.03333333333333E-006</v>
      </c>
      <c r="M72" s="187"/>
      <c r="N72" s="188" t="s">
        <v>153</v>
      </c>
      <c r="O72" s="188"/>
      <c r="P72" s="189" t="n">
        <f aca="false">+$D$4</f>
        <v>10000</v>
      </c>
      <c r="Q72" s="190" t="n">
        <f aca="false">+Encarregado_44h_seg_a_sab!$D$153</f>
        <v>1.21</v>
      </c>
      <c r="R72" s="190"/>
      <c r="S72" s="190" t="n">
        <f aca="false">+Q72/($D$4*30)</f>
        <v>4.03333333333333E-006</v>
      </c>
      <c r="T72" s="191"/>
      <c r="W72" s="204"/>
    </row>
    <row r="73" customFormat="false" ht="26.1" hidden="false" customHeight="true" outlineLevel="0" collapsed="false">
      <c r="E73" s="59"/>
      <c r="F73" s="204"/>
      <c r="G73" s="59"/>
      <c r="H73" s="184" t="s">
        <v>154</v>
      </c>
      <c r="I73" s="185" t="n">
        <f aca="false">+$D$4</f>
        <v>10000</v>
      </c>
      <c r="J73" s="186" t="n">
        <f aca="false">+Servente_44_seg_a_sex!$D$152</f>
        <v>1.21</v>
      </c>
      <c r="K73" s="186" t="n">
        <f aca="false">+$U$167</f>
        <v>0</v>
      </c>
      <c r="L73" s="186" t="n">
        <f aca="false">ROUND((J73+K73)/$D$4,2)</f>
        <v>0</v>
      </c>
      <c r="M73" s="187" t="n">
        <f aca="false">ROUND(L73+L72,2)</f>
        <v>0</v>
      </c>
      <c r="N73" s="188" t="s">
        <v>155</v>
      </c>
      <c r="O73" s="188"/>
      <c r="P73" s="189" t="n">
        <f aca="false">+$D$4</f>
        <v>10000</v>
      </c>
      <c r="Q73" s="190" t="n">
        <f aca="false">+Serv_44_seg_a_sab!$D$152</f>
        <v>1.21</v>
      </c>
      <c r="R73" s="190" t="n">
        <f aca="false">+$U$167</f>
        <v>0</v>
      </c>
      <c r="S73" s="190" t="n">
        <f aca="false">ROUND((Q73+R73)/$D$4,2)</f>
        <v>0</v>
      </c>
      <c r="T73" s="191" t="n">
        <f aca="false">ROUND(S73+S72,2)</f>
        <v>0</v>
      </c>
      <c r="W73" s="111"/>
      <c r="X73" s="59"/>
      <c r="Y73" s="205"/>
      <c r="Z73" s="59"/>
      <c r="AA73" s="59"/>
    </row>
    <row r="74" customFormat="false" ht="26.1" hidden="false" customHeight="true" outlineLevel="0" collapsed="false">
      <c r="E74" s="59"/>
      <c r="F74" s="59"/>
      <c r="G74" s="59"/>
      <c r="H74" s="192" t="s">
        <v>156</v>
      </c>
      <c r="I74" s="193" t="n">
        <f aca="false">+$D$4</f>
        <v>10000</v>
      </c>
      <c r="J74" s="194"/>
      <c r="K74" s="194"/>
      <c r="L74" s="194"/>
      <c r="M74" s="195"/>
      <c r="N74" s="196" t="s">
        <v>157</v>
      </c>
      <c r="O74" s="196"/>
      <c r="P74" s="197" t="n">
        <f aca="false">+$D$4</f>
        <v>10000</v>
      </c>
      <c r="Q74" s="198"/>
      <c r="R74" s="198"/>
      <c r="S74" s="198"/>
      <c r="T74" s="199"/>
      <c r="W74" s="205"/>
      <c r="X74" s="59"/>
      <c r="Y74" s="205"/>
      <c r="Z74" s="59"/>
      <c r="AA74" s="59"/>
    </row>
    <row r="75" customFormat="false" ht="26.1" hidden="false" customHeight="true" outlineLevel="0" collapsed="false">
      <c r="E75" s="59"/>
      <c r="F75" s="59"/>
      <c r="G75" s="59"/>
      <c r="H75" s="200"/>
      <c r="I75" s="201"/>
      <c r="J75" s="201"/>
      <c r="K75" s="201"/>
      <c r="L75" s="201"/>
      <c r="M75" s="201"/>
      <c r="N75" s="11"/>
      <c r="O75" s="201"/>
      <c r="P75" s="201"/>
      <c r="Q75" s="201"/>
      <c r="R75" s="201"/>
      <c r="S75" s="201"/>
      <c r="T75" s="201"/>
      <c r="W75" s="205"/>
      <c r="X75" s="59"/>
      <c r="Y75" s="205"/>
      <c r="Z75" s="59"/>
      <c r="AA75" s="59"/>
    </row>
    <row r="76" customFormat="false" ht="26.1" hidden="false" customHeight="true" outlineLevel="0" collapsed="false">
      <c r="E76" s="59"/>
      <c r="F76" s="59"/>
      <c r="G76" s="59"/>
      <c r="H76" s="178" t="s">
        <v>160</v>
      </c>
      <c r="I76" s="179" t="s">
        <v>148</v>
      </c>
      <c r="J76" s="179" t="s">
        <v>149</v>
      </c>
      <c r="K76" s="179" t="s">
        <v>150</v>
      </c>
      <c r="L76" s="179" t="s">
        <v>151</v>
      </c>
      <c r="M76" s="206" t="s">
        <v>152</v>
      </c>
      <c r="N76" s="181" t="s">
        <v>160</v>
      </c>
      <c r="O76" s="181"/>
      <c r="P76" s="182" t="s">
        <v>148</v>
      </c>
      <c r="Q76" s="182" t="s">
        <v>149</v>
      </c>
      <c r="R76" s="182" t="s">
        <v>150</v>
      </c>
      <c r="S76" s="182" t="s">
        <v>151</v>
      </c>
      <c r="T76" s="183" t="s">
        <v>152</v>
      </c>
      <c r="W76" s="205"/>
      <c r="X76" s="59"/>
      <c r="Y76" s="205"/>
      <c r="Z76" s="59"/>
      <c r="AA76" s="59"/>
    </row>
    <row r="77" customFormat="false" ht="26.1" hidden="false" customHeight="true" outlineLevel="0" collapsed="false">
      <c r="E77" s="59"/>
      <c r="F77" s="59"/>
      <c r="G77" s="59"/>
      <c r="H77" s="184" t="s">
        <v>153</v>
      </c>
      <c r="I77" s="185" t="n">
        <f aca="false">+$D$5</f>
        <v>900</v>
      </c>
      <c r="J77" s="186" t="n">
        <f aca="false">+Encarregado_44h_seg_a_sab!$D$153</f>
        <v>1.21</v>
      </c>
      <c r="K77" s="186"/>
      <c r="L77" s="186" t="n">
        <f aca="false">+J77/($D$5*30)</f>
        <v>4.48148148148148E-005</v>
      </c>
      <c r="M77" s="207"/>
      <c r="N77" s="188" t="s">
        <v>153</v>
      </c>
      <c r="O77" s="188"/>
      <c r="P77" s="189" t="n">
        <f aca="false">+$D$5</f>
        <v>900</v>
      </c>
      <c r="Q77" s="190" t="n">
        <f aca="false">+Encarregado_44h_seg_a_sab!$D$153</f>
        <v>1.21</v>
      </c>
      <c r="R77" s="190"/>
      <c r="S77" s="190" t="n">
        <f aca="false">+Q77/($D$5*30)</f>
        <v>4.48148148148148E-005</v>
      </c>
      <c r="T77" s="191"/>
      <c r="W77" s="167"/>
      <c r="X77" s="59"/>
      <c r="Y77" s="205"/>
      <c r="Z77" s="59"/>
      <c r="AA77" s="59"/>
    </row>
    <row r="78" customFormat="false" ht="26.1" hidden="false" customHeight="true" outlineLevel="0" collapsed="false">
      <c r="E78" s="59"/>
      <c r="F78" s="59"/>
      <c r="G78" s="59"/>
      <c r="H78" s="184" t="s">
        <v>154</v>
      </c>
      <c r="I78" s="185" t="n">
        <f aca="false">+$D$5</f>
        <v>900</v>
      </c>
      <c r="J78" s="186" t="n">
        <f aca="false">+Servente_44_seg_a_sex!$D$152</f>
        <v>1.21</v>
      </c>
      <c r="K78" s="186" t="n">
        <f aca="false">+$U$167</f>
        <v>0</v>
      </c>
      <c r="L78" s="186" t="n">
        <f aca="false">ROUND((J78+K78)/$D$5,2)</f>
        <v>0</v>
      </c>
      <c r="M78" s="207" t="n">
        <f aca="false">ROUND(L78+L77,2)</f>
        <v>0</v>
      </c>
      <c r="N78" s="188" t="s">
        <v>155</v>
      </c>
      <c r="O78" s="188"/>
      <c r="P78" s="189" t="n">
        <f aca="false">+$D$5</f>
        <v>900</v>
      </c>
      <c r="Q78" s="190" t="n">
        <f aca="false">+Serv_44_seg_a_sab!$D$152</f>
        <v>1.21</v>
      </c>
      <c r="R78" s="190" t="n">
        <f aca="false">+$U$167</f>
        <v>0</v>
      </c>
      <c r="S78" s="190" t="n">
        <f aca="false">ROUND((Q78+R78)/$D$5,2)</f>
        <v>0</v>
      </c>
      <c r="T78" s="191" t="n">
        <f aca="false">ROUND(S78+S77,2)</f>
        <v>0</v>
      </c>
      <c r="W78" s="167"/>
      <c r="X78" s="59"/>
      <c r="Y78" s="205"/>
      <c r="Z78" s="59"/>
      <c r="AA78" s="59"/>
    </row>
    <row r="79" customFormat="false" ht="26.1" hidden="false" customHeight="true" outlineLevel="0" collapsed="false">
      <c r="E79" s="59"/>
      <c r="F79" s="59"/>
      <c r="G79" s="59"/>
      <c r="H79" s="192" t="s">
        <v>156</v>
      </c>
      <c r="I79" s="193" t="n">
        <f aca="false">+$D$5</f>
        <v>900</v>
      </c>
      <c r="J79" s="194"/>
      <c r="K79" s="194"/>
      <c r="L79" s="194"/>
      <c r="M79" s="208"/>
      <c r="N79" s="196" t="s">
        <v>157</v>
      </c>
      <c r="O79" s="196"/>
      <c r="P79" s="197" t="n">
        <f aca="false">+$D$5</f>
        <v>900</v>
      </c>
      <c r="Q79" s="198"/>
      <c r="R79" s="198"/>
      <c r="S79" s="198"/>
      <c r="T79" s="199"/>
      <c r="W79" s="167"/>
      <c r="X79" s="59"/>
      <c r="Y79" s="205"/>
      <c r="Z79" s="59"/>
      <c r="AA79" s="59"/>
    </row>
    <row r="80" customFormat="false" ht="26.1" hidden="false" customHeight="true" outlineLevel="0" collapsed="false">
      <c r="E80" s="59"/>
      <c r="F80" s="59"/>
      <c r="G80" s="59"/>
      <c r="H80" s="200"/>
      <c r="I80" s="201"/>
      <c r="J80" s="201"/>
      <c r="K80" s="201"/>
      <c r="L80" s="201"/>
      <c r="M80" s="201"/>
      <c r="N80" s="11"/>
      <c r="O80" s="201"/>
      <c r="P80" s="201"/>
      <c r="Q80" s="201"/>
      <c r="R80" s="201"/>
      <c r="S80" s="201"/>
      <c r="T80" s="201"/>
      <c r="W80" s="167"/>
      <c r="X80" s="59"/>
      <c r="Y80" s="205"/>
      <c r="Z80" s="59"/>
      <c r="AA80" s="59"/>
    </row>
    <row r="81" customFormat="false" ht="26.1" hidden="false" customHeight="true" outlineLevel="0" collapsed="false">
      <c r="E81" s="59"/>
      <c r="F81" s="59"/>
      <c r="G81" s="59"/>
      <c r="H81" s="178" t="s">
        <v>161</v>
      </c>
      <c r="I81" s="179" t="s">
        <v>148</v>
      </c>
      <c r="J81" s="179" t="s">
        <v>149</v>
      </c>
      <c r="K81" s="179" t="s">
        <v>150</v>
      </c>
      <c r="L81" s="179" t="s">
        <v>151</v>
      </c>
      <c r="M81" s="180" t="s">
        <v>152</v>
      </c>
      <c r="N81" s="181" t="s">
        <v>161</v>
      </c>
      <c r="O81" s="181"/>
      <c r="P81" s="182" t="s">
        <v>148</v>
      </c>
      <c r="Q81" s="182" t="s">
        <v>149</v>
      </c>
      <c r="R81" s="182" t="s">
        <v>150</v>
      </c>
      <c r="S81" s="182" t="s">
        <v>151</v>
      </c>
      <c r="T81" s="183" t="s">
        <v>152</v>
      </c>
      <c r="W81" s="167"/>
      <c r="X81" s="59"/>
      <c r="Y81" s="205"/>
      <c r="Z81" s="59"/>
      <c r="AA81" s="59"/>
    </row>
    <row r="82" customFormat="false" ht="26.1" hidden="false" customHeight="true" outlineLevel="0" collapsed="false">
      <c r="E82" s="204"/>
      <c r="F82" s="59"/>
      <c r="G82" s="59"/>
      <c r="H82" s="184" t="s">
        <v>153</v>
      </c>
      <c r="I82" s="185" t="n">
        <f aca="false">+$D$6</f>
        <v>10000</v>
      </c>
      <c r="J82" s="186" t="n">
        <f aca="false">+Encarregado_44h_seg_a_sab!$D$153</f>
        <v>1.21</v>
      </c>
      <c r="K82" s="186"/>
      <c r="L82" s="186" t="n">
        <f aca="false">+J82/($D$6*30)</f>
        <v>4.03333333333333E-006</v>
      </c>
      <c r="M82" s="187"/>
      <c r="N82" s="188" t="s">
        <v>153</v>
      </c>
      <c r="O82" s="188"/>
      <c r="P82" s="189" t="n">
        <f aca="false">+$D$6</f>
        <v>10000</v>
      </c>
      <c r="Q82" s="190" t="n">
        <f aca="false">+Encarregado_44h_seg_a_sab!$D$153</f>
        <v>1.21</v>
      </c>
      <c r="R82" s="190"/>
      <c r="S82" s="190" t="n">
        <f aca="false">+Q82/($D$6*30)</f>
        <v>4.03333333333333E-006</v>
      </c>
      <c r="T82" s="191"/>
      <c r="W82" s="167"/>
      <c r="X82" s="59"/>
      <c r="Y82" s="205"/>
      <c r="Z82" s="59"/>
      <c r="AA82" s="59"/>
    </row>
    <row r="83" customFormat="false" ht="26.1" hidden="false" customHeight="true" outlineLevel="0" collapsed="false">
      <c r="E83" s="204"/>
      <c r="F83" s="59"/>
      <c r="G83" s="59"/>
      <c r="H83" s="184" t="s">
        <v>154</v>
      </c>
      <c r="I83" s="185" t="n">
        <f aca="false">+$D$6</f>
        <v>10000</v>
      </c>
      <c r="J83" s="186" t="n">
        <f aca="false">+Servente_44_seg_a_sex!$D$152</f>
        <v>1.21</v>
      </c>
      <c r="K83" s="186" t="n">
        <f aca="false">+$U$167</f>
        <v>0</v>
      </c>
      <c r="L83" s="186" t="n">
        <f aca="false">ROUND((J83+K83)/$D$6,2)</f>
        <v>0</v>
      </c>
      <c r="M83" s="187" t="n">
        <f aca="false">ROUND(L83+L82,2)</f>
        <v>0</v>
      </c>
      <c r="N83" s="188" t="s">
        <v>155</v>
      </c>
      <c r="O83" s="188"/>
      <c r="P83" s="189" t="n">
        <f aca="false">+$D$6</f>
        <v>10000</v>
      </c>
      <c r="Q83" s="190" t="n">
        <f aca="false">+Serv_44_seg_a_sab!$D$152</f>
        <v>1.21</v>
      </c>
      <c r="R83" s="190" t="n">
        <f aca="false">+$U$167</f>
        <v>0</v>
      </c>
      <c r="S83" s="190" t="n">
        <f aca="false">ROUND((Q83+R83)/$D$6,2)</f>
        <v>0</v>
      </c>
      <c r="T83" s="191" t="n">
        <f aca="false">ROUND(S83+S82,2)</f>
        <v>0</v>
      </c>
      <c r="W83" s="167"/>
      <c r="X83" s="59"/>
      <c r="Y83" s="205"/>
      <c r="Z83" s="59"/>
      <c r="AA83" s="59"/>
    </row>
    <row r="84" customFormat="false" ht="26.1" hidden="false" customHeight="true" outlineLevel="0" collapsed="false">
      <c r="E84" s="59"/>
      <c r="F84" s="59"/>
      <c r="G84" s="59"/>
      <c r="H84" s="192" t="s">
        <v>156</v>
      </c>
      <c r="I84" s="193" t="n">
        <f aca="false">+$D$6</f>
        <v>10000</v>
      </c>
      <c r="J84" s="194"/>
      <c r="K84" s="194"/>
      <c r="L84" s="194"/>
      <c r="M84" s="195"/>
      <c r="N84" s="196" t="s">
        <v>157</v>
      </c>
      <c r="O84" s="196"/>
      <c r="P84" s="197" t="n">
        <f aca="false">+$D$6</f>
        <v>10000</v>
      </c>
      <c r="Q84" s="198"/>
      <c r="R84" s="198"/>
      <c r="S84" s="198"/>
      <c r="T84" s="199"/>
      <c r="W84" s="204"/>
      <c r="X84" s="59"/>
      <c r="Y84" s="205"/>
      <c r="Z84" s="59"/>
      <c r="AA84" s="59"/>
    </row>
    <row r="85" customFormat="false" ht="26.1" hidden="false" customHeight="true" outlineLevel="0" collapsed="false">
      <c r="E85" s="59"/>
      <c r="F85" s="59"/>
      <c r="G85" s="59"/>
      <c r="H85" s="200"/>
      <c r="I85" s="201"/>
      <c r="J85" s="201"/>
      <c r="K85" s="201"/>
      <c r="L85" s="201"/>
      <c r="M85" s="201"/>
      <c r="N85" s="11"/>
      <c r="O85" s="201"/>
      <c r="P85" s="201"/>
      <c r="Q85" s="201"/>
      <c r="R85" s="201"/>
      <c r="S85" s="201"/>
      <c r="T85" s="201"/>
      <c r="W85" s="111"/>
      <c r="X85" s="59"/>
      <c r="Y85" s="205"/>
      <c r="Z85" s="59"/>
      <c r="AA85" s="59"/>
    </row>
    <row r="86" customFormat="false" ht="26.1" hidden="false" customHeight="true" outlineLevel="0" collapsed="false">
      <c r="E86" s="59"/>
      <c r="F86" s="59"/>
      <c r="G86" s="59"/>
      <c r="H86" s="178" t="s">
        <v>162</v>
      </c>
      <c r="I86" s="179" t="s">
        <v>148</v>
      </c>
      <c r="J86" s="179" t="s">
        <v>149</v>
      </c>
      <c r="K86" s="179" t="s">
        <v>150</v>
      </c>
      <c r="L86" s="179" t="s">
        <v>151</v>
      </c>
      <c r="M86" s="180" t="s">
        <v>152</v>
      </c>
      <c r="N86" s="181" t="s">
        <v>162</v>
      </c>
      <c r="O86" s="181"/>
      <c r="P86" s="182" t="s">
        <v>148</v>
      </c>
      <c r="Q86" s="182" t="s">
        <v>149</v>
      </c>
      <c r="R86" s="182" t="s">
        <v>150</v>
      </c>
      <c r="S86" s="182" t="s">
        <v>151</v>
      </c>
      <c r="T86" s="183" t="s">
        <v>152</v>
      </c>
      <c r="W86" s="111"/>
      <c r="X86" s="59"/>
      <c r="Y86" s="205"/>
      <c r="Z86" s="59"/>
      <c r="AA86" s="59"/>
    </row>
    <row r="87" customFormat="false" ht="26.1" hidden="false" customHeight="true" outlineLevel="0" collapsed="false">
      <c r="E87" s="59"/>
      <c r="F87" s="59"/>
      <c r="G87" s="59"/>
      <c r="H87" s="184" t="s">
        <v>153</v>
      </c>
      <c r="I87" s="185" t="n">
        <f aca="false">+$D$7</f>
        <v>200</v>
      </c>
      <c r="J87" s="186" t="n">
        <f aca="false">+Encarregado_44h_seg_a_sab!$D$153</f>
        <v>1.21</v>
      </c>
      <c r="K87" s="186"/>
      <c r="L87" s="186" t="n">
        <f aca="false">+J87/($D$7*30)</f>
        <v>0.000201666666666667</v>
      </c>
      <c r="M87" s="187"/>
      <c r="N87" s="188" t="s">
        <v>153</v>
      </c>
      <c r="O87" s="188"/>
      <c r="P87" s="189" t="n">
        <f aca="false">+$D$7</f>
        <v>200</v>
      </c>
      <c r="Q87" s="190" t="n">
        <f aca="false">+Encarregado_44h_seg_a_sab!$D$153</f>
        <v>1.21</v>
      </c>
      <c r="R87" s="190"/>
      <c r="S87" s="190" t="n">
        <f aca="false">+Q87/($D$7*30)</f>
        <v>0.000201666666666667</v>
      </c>
      <c r="T87" s="191"/>
      <c r="X87" s="59"/>
      <c r="Y87" s="205"/>
      <c r="Z87" s="59"/>
      <c r="AA87" s="59"/>
    </row>
    <row r="88" customFormat="false" ht="26.1" hidden="false" customHeight="true" outlineLevel="0" collapsed="false">
      <c r="A88" s="59"/>
      <c r="B88" s="59"/>
      <c r="C88" s="59"/>
      <c r="D88" s="59"/>
      <c r="E88" s="59"/>
      <c r="F88" s="59"/>
      <c r="G88" s="59"/>
      <c r="H88" s="184" t="s">
        <v>154</v>
      </c>
      <c r="I88" s="185" t="n">
        <f aca="false">+$D$7</f>
        <v>200</v>
      </c>
      <c r="J88" s="186"/>
      <c r="K88" s="186"/>
      <c r="L88" s="186"/>
      <c r="M88" s="187"/>
      <c r="N88" s="188" t="s">
        <v>155</v>
      </c>
      <c r="O88" s="188"/>
      <c r="P88" s="189" t="n">
        <f aca="false">+$D$7</f>
        <v>200</v>
      </c>
      <c r="Q88" s="190" t="n">
        <f aca="false">+Serv_44_seg_a_sab!$D$152</f>
        <v>1.21</v>
      </c>
      <c r="R88" s="190"/>
      <c r="S88" s="190"/>
      <c r="T88" s="191"/>
      <c r="X88" s="59"/>
      <c r="Y88" s="205"/>
      <c r="Z88" s="59"/>
      <c r="AA88" s="59"/>
    </row>
    <row r="89" customFormat="false" ht="26.1" hidden="false" customHeight="true" outlineLevel="0" collapsed="false">
      <c r="A89" s="59"/>
      <c r="B89" s="59"/>
      <c r="C89" s="59"/>
      <c r="D89" s="59"/>
      <c r="E89" s="59"/>
      <c r="F89" s="59"/>
      <c r="G89" s="59"/>
      <c r="H89" s="192" t="s">
        <v>156</v>
      </c>
      <c r="I89" s="193" t="n">
        <f aca="false">+$D$7</f>
        <v>200</v>
      </c>
      <c r="J89" s="194" t="n">
        <f aca="false">+'Servente_44_seg_a_sex+insal40'!$D$152</f>
        <v>1.21</v>
      </c>
      <c r="K89" s="194" t="n">
        <f aca="false">+$U$167</f>
        <v>0</v>
      </c>
      <c r="L89" s="194" t="n">
        <f aca="false">ROUND((J89+K89)/$D$7,2)</f>
        <v>0.01</v>
      </c>
      <c r="M89" s="195" t="n">
        <f aca="false">ROUND(L89+L87,2)</f>
        <v>0.01</v>
      </c>
      <c r="N89" s="196" t="s">
        <v>157</v>
      </c>
      <c r="O89" s="196"/>
      <c r="P89" s="197" t="n">
        <f aca="false">+$D$7</f>
        <v>200</v>
      </c>
      <c r="Q89" s="198" t="n">
        <f aca="false">+'Serv_44_Seg_a_Sab+insal'!D152</f>
        <v>1.21</v>
      </c>
      <c r="R89" s="198" t="n">
        <f aca="false">+$U$167</f>
        <v>0</v>
      </c>
      <c r="S89" s="198" t="n">
        <f aca="false">ROUND((Q89+R89)/$D$7,2)</f>
        <v>0.01</v>
      </c>
      <c r="T89" s="199" t="n">
        <f aca="false">ROUND(S89+S87,2)</f>
        <v>0.01</v>
      </c>
      <c r="X89" s="59"/>
      <c r="Y89" s="205"/>
      <c r="Z89" s="59"/>
      <c r="AA89" s="59"/>
    </row>
    <row r="90" customFormat="false" ht="26.1" hidden="false" customHeight="true" outlineLevel="0" collapsed="false">
      <c r="A90" s="59"/>
      <c r="B90" s="59"/>
      <c r="C90" s="59"/>
      <c r="D90" s="59"/>
      <c r="E90" s="59"/>
      <c r="F90" s="59"/>
      <c r="G90" s="59"/>
      <c r="H90" s="200"/>
      <c r="I90" s="201"/>
      <c r="J90" s="201"/>
      <c r="K90" s="201"/>
      <c r="L90" s="201"/>
      <c r="M90" s="201"/>
      <c r="N90" s="11"/>
      <c r="O90" s="201"/>
      <c r="P90" s="201"/>
      <c r="Q90" s="201"/>
      <c r="R90" s="201"/>
      <c r="S90" s="201"/>
      <c r="T90" s="201"/>
      <c r="X90" s="59"/>
      <c r="Y90" s="205"/>
      <c r="Z90" s="59"/>
      <c r="AA90" s="59"/>
    </row>
    <row r="91" customFormat="false" ht="26.1" hidden="false" customHeight="true" outlineLevel="0" collapsed="false">
      <c r="A91" s="59"/>
      <c r="B91" s="59"/>
      <c r="C91" s="59"/>
      <c r="D91" s="59"/>
      <c r="E91" s="59"/>
      <c r="F91" s="59"/>
      <c r="G91" s="59"/>
      <c r="H91" s="178" t="s">
        <v>163</v>
      </c>
      <c r="I91" s="179" t="s">
        <v>148</v>
      </c>
      <c r="J91" s="179" t="s">
        <v>149</v>
      </c>
      <c r="K91" s="179" t="s">
        <v>150</v>
      </c>
      <c r="L91" s="179" t="s">
        <v>151</v>
      </c>
      <c r="M91" s="180" t="s">
        <v>152</v>
      </c>
      <c r="N91" s="209"/>
      <c r="O91" s="209"/>
      <c r="P91" s="210"/>
      <c r="Q91" s="210"/>
      <c r="R91" s="210"/>
      <c r="S91" s="210"/>
      <c r="T91" s="210"/>
      <c r="X91" s="59"/>
      <c r="Y91" s="205"/>
      <c r="Z91" s="59"/>
      <c r="AA91" s="59"/>
    </row>
    <row r="92" customFormat="false" ht="26.1" hidden="false" customHeight="true" outlineLevel="0" collapsed="false">
      <c r="A92" s="59"/>
      <c r="B92" s="59"/>
      <c r="C92" s="59"/>
      <c r="D92" s="59"/>
      <c r="E92" s="59"/>
      <c r="F92" s="59"/>
      <c r="G92" s="59"/>
      <c r="H92" s="184" t="s">
        <v>153</v>
      </c>
      <c r="I92" s="185" t="n">
        <f aca="false">+$D$8</f>
        <v>600</v>
      </c>
      <c r="J92" s="186" t="n">
        <f aca="false">+Encarregado_44h_seg_a_sab!$D$153</f>
        <v>1.21</v>
      </c>
      <c r="K92" s="186"/>
      <c r="L92" s="186" t="n">
        <f aca="false">+J92/($D$8*30)</f>
        <v>6.72222222222222E-005</v>
      </c>
      <c r="M92" s="187"/>
      <c r="N92" s="211"/>
      <c r="O92" s="211"/>
      <c r="P92" s="212"/>
      <c r="Q92" s="213"/>
      <c r="R92" s="213"/>
      <c r="S92" s="213"/>
      <c r="T92" s="213"/>
      <c r="X92" s="59"/>
      <c r="Y92" s="205"/>
      <c r="Z92" s="59"/>
      <c r="AA92" s="59"/>
    </row>
    <row r="93" customFormat="false" ht="26.1" hidden="false" customHeight="true" outlineLevel="0" collapsed="false">
      <c r="A93" s="59"/>
      <c r="B93" s="59"/>
      <c r="C93" s="59"/>
      <c r="D93" s="59"/>
      <c r="E93" s="59"/>
      <c r="F93" s="59"/>
      <c r="G93" s="59"/>
      <c r="H93" s="184" t="s">
        <v>164</v>
      </c>
      <c r="I93" s="185" t="n">
        <f aca="false">+$D$8</f>
        <v>600</v>
      </c>
      <c r="J93" s="186" t="n">
        <f aca="false">+'Servente_44_seg_a_sex+insal20'!D152</f>
        <v>1.21</v>
      </c>
      <c r="K93" s="186" t="n">
        <f aca="false">+$U$167</f>
        <v>0</v>
      </c>
      <c r="L93" s="194" t="n">
        <f aca="false">ROUND((J93+K93)/$D$8,2)</f>
        <v>0</v>
      </c>
      <c r="M93" s="187" t="n">
        <f aca="false">ROUND(L93+L92,2)</f>
        <v>0</v>
      </c>
      <c r="N93" s="211"/>
      <c r="O93" s="211"/>
      <c r="P93" s="212"/>
      <c r="Q93" s="213"/>
      <c r="R93" s="213"/>
      <c r="S93" s="213"/>
      <c r="T93" s="213"/>
      <c r="X93" s="59"/>
      <c r="Y93" s="205"/>
      <c r="Z93" s="59"/>
      <c r="AA93" s="59"/>
    </row>
    <row r="94" customFormat="false" ht="26.1" hidden="false" customHeight="true" outlineLevel="0" collapsed="false">
      <c r="A94" s="59"/>
      <c r="B94" s="59"/>
      <c r="C94" s="59"/>
      <c r="D94" s="59"/>
      <c r="E94" s="59"/>
      <c r="F94" s="59"/>
      <c r="G94" s="59"/>
      <c r="H94" s="192" t="s">
        <v>156</v>
      </c>
      <c r="I94" s="193" t="n">
        <f aca="false">+$D$8</f>
        <v>600</v>
      </c>
      <c r="J94" s="194"/>
      <c r="K94" s="194"/>
      <c r="L94" s="194"/>
      <c r="M94" s="195"/>
      <c r="N94" s="211"/>
      <c r="O94" s="211"/>
      <c r="P94" s="212"/>
      <c r="Q94" s="213"/>
      <c r="R94" s="213"/>
      <c r="S94" s="213"/>
      <c r="T94" s="213"/>
      <c r="X94" s="59"/>
      <c r="Y94" s="205"/>
      <c r="Z94" s="59"/>
      <c r="AA94" s="59"/>
    </row>
    <row r="95" customFormat="false" ht="26.1" hidden="false" customHeight="true" outlineLevel="0" collapsed="false">
      <c r="A95" s="59"/>
      <c r="B95" s="59"/>
      <c r="C95" s="59"/>
      <c r="D95" s="59"/>
      <c r="E95" s="59"/>
      <c r="F95" s="59"/>
      <c r="G95" s="59"/>
      <c r="H95" s="200"/>
      <c r="I95" s="201"/>
      <c r="J95" s="201"/>
      <c r="K95" s="201"/>
      <c r="L95" s="201"/>
      <c r="M95" s="201"/>
      <c r="N95" s="11"/>
      <c r="O95" s="201"/>
      <c r="P95" s="201"/>
      <c r="Q95" s="201"/>
      <c r="R95" s="201"/>
      <c r="S95" s="201"/>
      <c r="T95" s="201"/>
      <c r="X95" s="59"/>
      <c r="Y95" s="205"/>
      <c r="Z95" s="59"/>
      <c r="AA95" s="59"/>
    </row>
    <row r="96" customFormat="false" ht="26.1" hidden="false" customHeight="true" outlineLevel="0" collapsed="false">
      <c r="A96" s="59"/>
      <c r="B96" s="59"/>
      <c r="C96" s="59"/>
      <c r="D96" s="59"/>
      <c r="E96" s="59"/>
      <c r="F96" s="59"/>
      <c r="G96" s="59"/>
      <c r="H96" s="178" t="s">
        <v>165</v>
      </c>
      <c r="I96" s="179" t="s">
        <v>148</v>
      </c>
      <c r="J96" s="179" t="s">
        <v>149</v>
      </c>
      <c r="K96" s="179" t="s">
        <v>150</v>
      </c>
      <c r="L96" s="179" t="s">
        <v>151</v>
      </c>
      <c r="M96" s="180" t="s">
        <v>152</v>
      </c>
      <c r="N96" s="181" t="s">
        <v>165</v>
      </c>
      <c r="O96" s="181"/>
      <c r="P96" s="182" t="s">
        <v>148</v>
      </c>
      <c r="Q96" s="182" t="s">
        <v>149</v>
      </c>
      <c r="R96" s="182" t="s">
        <v>150</v>
      </c>
      <c r="S96" s="182" t="s">
        <v>151</v>
      </c>
      <c r="T96" s="183" t="s">
        <v>152</v>
      </c>
      <c r="X96" s="59"/>
      <c r="Y96" s="205"/>
      <c r="Z96" s="59"/>
      <c r="AA96" s="59"/>
    </row>
    <row r="97" customFormat="false" ht="26.1" hidden="false" customHeight="true" outlineLevel="0" collapsed="false">
      <c r="A97" s="59"/>
      <c r="B97" s="59"/>
      <c r="C97" s="59"/>
      <c r="D97" s="59"/>
      <c r="E97" s="59"/>
      <c r="F97" s="59"/>
      <c r="G97" s="59"/>
      <c r="H97" s="184" t="s">
        <v>153</v>
      </c>
      <c r="I97" s="185" t="n">
        <f aca="false">+$D$9</f>
        <v>10000</v>
      </c>
      <c r="J97" s="186" t="n">
        <f aca="false">+Encarregado_44h_seg_a_sab!$D$153</f>
        <v>1.21</v>
      </c>
      <c r="K97" s="186"/>
      <c r="L97" s="186" t="n">
        <f aca="false">+J97/($D$9*30)</f>
        <v>4.03333333333333E-006</v>
      </c>
      <c r="M97" s="187"/>
      <c r="N97" s="188" t="s">
        <v>153</v>
      </c>
      <c r="O97" s="188"/>
      <c r="P97" s="189" t="n">
        <f aca="false">+$D$9</f>
        <v>10000</v>
      </c>
      <c r="Q97" s="190" t="n">
        <f aca="false">+Encarregado_44h_seg_a_sab!$D$153</f>
        <v>1.21</v>
      </c>
      <c r="R97" s="190"/>
      <c r="S97" s="190" t="n">
        <f aca="false">+Q97/($D$9*30)</f>
        <v>4.03333333333333E-006</v>
      </c>
      <c r="T97" s="191"/>
      <c r="X97" s="59"/>
      <c r="Y97" s="205"/>
      <c r="Z97" s="59"/>
      <c r="AA97" s="59"/>
    </row>
    <row r="98" customFormat="false" ht="26.1" hidden="false" customHeight="true" outlineLevel="0" collapsed="false">
      <c r="A98" s="59"/>
      <c r="B98" s="59"/>
      <c r="C98" s="59"/>
      <c r="D98" s="59"/>
      <c r="E98" s="59"/>
      <c r="F98" s="59"/>
      <c r="G98" s="59"/>
      <c r="H98" s="184" t="s">
        <v>154</v>
      </c>
      <c r="I98" s="185" t="n">
        <f aca="false">+$D$9</f>
        <v>10000</v>
      </c>
      <c r="J98" s="186" t="n">
        <f aca="false">+Servente_44_seg_a_sex!$D$152</f>
        <v>1.21</v>
      </c>
      <c r="K98" s="186" t="n">
        <f aca="false">+$U$167</f>
        <v>0</v>
      </c>
      <c r="L98" s="186" t="n">
        <f aca="false">ROUND((J98+K98)/$D$9,2)</f>
        <v>0</v>
      </c>
      <c r="M98" s="187" t="n">
        <f aca="false">ROUND(L98+L97,2)</f>
        <v>0</v>
      </c>
      <c r="N98" s="188" t="s">
        <v>155</v>
      </c>
      <c r="O98" s="188"/>
      <c r="P98" s="189" t="n">
        <f aca="false">+$D$9</f>
        <v>10000</v>
      </c>
      <c r="Q98" s="190" t="n">
        <f aca="false">+Serv_44_seg_a_sab!$D$152</f>
        <v>1.21</v>
      </c>
      <c r="R98" s="190" t="n">
        <f aca="false">+$U$167</f>
        <v>0</v>
      </c>
      <c r="S98" s="190" t="n">
        <f aca="false">ROUND((Q98+R98)/$D$9,2)</f>
        <v>0</v>
      </c>
      <c r="T98" s="191" t="n">
        <f aca="false">ROUND(S98+S97,2)</f>
        <v>0</v>
      </c>
      <c r="X98" s="59"/>
      <c r="Y98" s="205"/>
      <c r="Z98" s="59"/>
      <c r="AA98" s="59"/>
    </row>
    <row r="99" customFormat="false" ht="26.1" hidden="false" customHeight="true" outlineLevel="0" collapsed="false">
      <c r="A99" s="59"/>
      <c r="B99" s="59"/>
      <c r="C99" s="59"/>
      <c r="D99" s="59"/>
      <c r="E99" s="59"/>
      <c r="F99" s="59"/>
      <c r="G99" s="59"/>
      <c r="H99" s="192" t="s">
        <v>156</v>
      </c>
      <c r="I99" s="193" t="n">
        <f aca="false">+$D$9</f>
        <v>10000</v>
      </c>
      <c r="J99" s="194"/>
      <c r="K99" s="194"/>
      <c r="L99" s="194"/>
      <c r="M99" s="195"/>
      <c r="N99" s="196" t="s">
        <v>157</v>
      </c>
      <c r="O99" s="196"/>
      <c r="P99" s="197" t="n">
        <f aca="false">+$D$9</f>
        <v>10000</v>
      </c>
      <c r="Q99" s="198"/>
      <c r="R99" s="198"/>
      <c r="S99" s="198"/>
      <c r="T99" s="199"/>
      <c r="X99" s="59"/>
      <c r="Y99" s="205"/>
      <c r="Z99" s="59"/>
      <c r="AA99" s="59"/>
    </row>
    <row r="100" customFormat="false" ht="26.1" hidden="false" customHeight="true" outlineLevel="0" collapsed="false">
      <c r="A100" s="59"/>
      <c r="B100" s="59"/>
      <c r="C100" s="59"/>
      <c r="D100" s="59"/>
      <c r="E100" s="59"/>
      <c r="F100" s="59"/>
      <c r="G100" s="59"/>
      <c r="H100" s="125"/>
      <c r="I100" s="214"/>
      <c r="J100" s="215"/>
      <c r="K100" s="215"/>
      <c r="L100" s="215"/>
      <c r="M100" s="215"/>
      <c r="N100" s="11"/>
      <c r="O100" s="214"/>
      <c r="P100" s="214"/>
      <c r="Q100" s="215"/>
      <c r="R100" s="215"/>
      <c r="S100" s="215"/>
      <c r="T100" s="215"/>
      <c r="X100" s="59"/>
      <c r="Y100" s="205"/>
      <c r="Z100" s="59"/>
      <c r="AA100" s="59"/>
    </row>
    <row r="101" customFormat="false" ht="26.1" hidden="false" customHeight="true" outlineLevel="0" collapsed="false">
      <c r="A101" s="59"/>
      <c r="B101" s="59"/>
      <c r="C101" s="59"/>
      <c r="D101" s="59"/>
      <c r="E101" s="59"/>
      <c r="F101" s="59"/>
      <c r="G101" s="59"/>
      <c r="H101" s="178" t="s">
        <v>166</v>
      </c>
      <c r="I101" s="179" t="s">
        <v>148</v>
      </c>
      <c r="J101" s="179" t="s">
        <v>149</v>
      </c>
      <c r="K101" s="179" t="s">
        <v>150</v>
      </c>
      <c r="L101" s="179" t="s">
        <v>151</v>
      </c>
      <c r="M101" s="180" t="s">
        <v>152</v>
      </c>
      <c r="N101" s="181" t="s">
        <v>166</v>
      </c>
      <c r="O101" s="181"/>
      <c r="P101" s="182" t="s">
        <v>148</v>
      </c>
      <c r="Q101" s="182" t="s">
        <v>149</v>
      </c>
      <c r="R101" s="182" t="s">
        <v>150</v>
      </c>
      <c r="S101" s="182" t="s">
        <v>151</v>
      </c>
      <c r="T101" s="183" t="s">
        <v>152</v>
      </c>
      <c r="X101" s="59"/>
      <c r="Y101" s="205"/>
      <c r="Z101" s="59"/>
      <c r="AA101" s="59"/>
    </row>
    <row r="102" customFormat="false" ht="26.1" hidden="false" customHeight="true" outlineLevel="0" collapsed="false">
      <c r="A102" s="59"/>
      <c r="B102" s="59"/>
      <c r="C102" s="59"/>
      <c r="D102" s="59"/>
      <c r="E102" s="59"/>
      <c r="F102" s="59"/>
      <c r="G102" s="59"/>
      <c r="H102" s="184" t="s">
        <v>153</v>
      </c>
      <c r="I102" s="185" t="n">
        <f aca="false">+$D$10</f>
        <v>10000</v>
      </c>
      <c r="J102" s="186" t="n">
        <f aca="false">+Encarregado_44h_seg_a_sab!$D$153</f>
        <v>1.21</v>
      </c>
      <c r="K102" s="186"/>
      <c r="L102" s="186" t="n">
        <f aca="false">+J102/($D$10*30)</f>
        <v>4.03333333333333E-006</v>
      </c>
      <c r="M102" s="187"/>
      <c r="N102" s="188" t="s">
        <v>153</v>
      </c>
      <c r="O102" s="188"/>
      <c r="P102" s="189" t="n">
        <f aca="false">+$D$10</f>
        <v>10000</v>
      </c>
      <c r="Q102" s="190" t="n">
        <f aca="false">+Encarregado_44h_seg_a_sab!$D$153</f>
        <v>1.21</v>
      </c>
      <c r="R102" s="190"/>
      <c r="S102" s="190" t="n">
        <f aca="false">+Q102/($D$10*30)</f>
        <v>4.03333333333333E-006</v>
      </c>
      <c r="T102" s="191"/>
      <c r="X102" s="59"/>
      <c r="Y102" s="205"/>
      <c r="Z102" s="59"/>
      <c r="AA102" s="59"/>
    </row>
    <row r="103" customFormat="false" ht="26.1" hidden="false" customHeight="true" outlineLevel="0" collapsed="false">
      <c r="H103" s="184" t="s">
        <v>154</v>
      </c>
      <c r="I103" s="185" t="n">
        <f aca="false">+$D$10</f>
        <v>10000</v>
      </c>
      <c r="J103" s="186" t="n">
        <f aca="false">+Servente_44_seg_a_sex!$D$152</f>
        <v>1.21</v>
      </c>
      <c r="K103" s="186" t="n">
        <f aca="false">+$U$167</f>
        <v>0</v>
      </c>
      <c r="L103" s="186" t="n">
        <f aca="false">ROUND((J103+K103)/$D$10,2)</f>
        <v>0</v>
      </c>
      <c r="M103" s="187" t="n">
        <f aca="false">ROUND(L103+L102,2)</f>
        <v>0</v>
      </c>
      <c r="N103" s="188" t="s">
        <v>155</v>
      </c>
      <c r="O103" s="188"/>
      <c r="P103" s="189" t="n">
        <f aca="false">+$D$10</f>
        <v>10000</v>
      </c>
      <c r="Q103" s="190" t="n">
        <f aca="false">+Serv_44_seg_a_sab!$D$152</f>
        <v>1.21</v>
      </c>
      <c r="R103" s="190" t="n">
        <f aca="false">+$U$167</f>
        <v>0</v>
      </c>
      <c r="S103" s="190" t="n">
        <f aca="false">ROUND((Q103+R103)/$D$10,2)</f>
        <v>0</v>
      </c>
      <c r="T103" s="191" t="n">
        <f aca="false">ROUND(S103+S102,2)</f>
        <v>0</v>
      </c>
    </row>
    <row r="104" customFormat="false" ht="26.1" hidden="false" customHeight="true" outlineLevel="0" collapsed="false">
      <c r="H104" s="192" t="s">
        <v>156</v>
      </c>
      <c r="I104" s="193" t="n">
        <f aca="false">+$D$10</f>
        <v>10000</v>
      </c>
      <c r="J104" s="194"/>
      <c r="K104" s="194"/>
      <c r="L104" s="194"/>
      <c r="M104" s="195"/>
      <c r="N104" s="196" t="s">
        <v>157</v>
      </c>
      <c r="O104" s="196"/>
      <c r="P104" s="197" t="n">
        <f aca="false">+$D$10</f>
        <v>10000</v>
      </c>
      <c r="Q104" s="198"/>
      <c r="R104" s="198"/>
      <c r="S104" s="198"/>
      <c r="T104" s="199"/>
      <c r="V104" s="1"/>
    </row>
    <row r="105" customFormat="false" ht="26.1" hidden="false" customHeight="true" outlineLevel="0" collapsed="false">
      <c r="H105" s="125"/>
      <c r="I105" s="214"/>
      <c r="J105" s="215"/>
      <c r="K105" s="215"/>
      <c r="L105" s="215"/>
      <c r="M105" s="215"/>
      <c r="O105" s="214"/>
      <c r="P105" s="214"/>
      <c r="Q105" s="215"/>
      <c r="R105" s="215"/>
      <c r="S105" s="215"/>
      <c r="T105" s="215"/>
      <c r="V105" s="1"/>
    </row>
    <row r="106" customFormat="false" ht="26.1" hidden="false" customHeight="true" outlineLevel="0" collapsed="false">
      <c r="H106" s="178" t="s">
        <v>167</v>
      </c>
      <c r="I106" s="179" t="s">
        <v>148</v>
      </c>
      <c r="J106" s="179" t="s">
        <v>149</v>
      </c>
      <c r="K106" s="179" t="s">
        <v>168</v>
      </c>
      <c r="L106" s="179" t="s">
        <v>169</v>
      </c>
      <c r="M106" s="180" t="s">
        <v>152</v>
      </c>
      <c r="N106" s="181" t="s">
        <v>167</v>
      </c>
      <c r="O106" s="181"/>
      <c r="P106" s="182" t="s">
        <v>148</v>
      </c>
      <c r="Q106" s="182" t="s">
        <v>149</v>
      </c>
      <c r="R106" s="182" t="s">
        <v>168</v>
      </c>
      <c r="S106" s="182" t="s">
        <v>169</v>
      </c>
      <c r="T106" s="183" t="s">
        <v>152</v>
      </c>
      <c r="V106" s="1"/>
    </row>
    <row r="107" customFormat="false" ht="26.1" hidden="false" customHeight="true" outlineLevel="0" collapsed="false">
      <c r="H107" s="184" t="s">
        <v>153</v>
      </c>
      <c r="I107" s="216" t="s">
        <v>170</v>
      </c>
      <c r="J107" s="186" t="n">
        <f aca="false">+Encarregado_44h_seg_a_sab!$D$153</f>
        <v>1.21</v>
      </c>
      <c r="K107" s="186"/>
      <c r="L107" s="186" t="n">
        <f aca="false">+(J107)*$D$33</f>
        <v>8.99685110211426E-006</v>
      </c>
      <c r="M107" s="187"/>
      <c r="N107" s="188" t="s">
        <v>153</v>
      </c>
      <c r="O107" s="188"/>
      <c r="P107" s="217" t="s">
        <v>170</v>
      </c>
      <c r="Q107" s="190" t="n">
        <f aca="false">+Encarregado_44h_seg_a_sab!$D$153</f>
        <v>1.21</v>
      </c>
      <c r="R107" s="190"/>
      <c r="S107" s="190" t="n">
        <f aca="false">+(Q107-Q108)*$D$33</f>
        <v>0</v>
      </c>
      <c r="T107" s="191"/>
      <c r="V107" s="1"/>
    </row>
    <row r="108" customFormat="false" ht="26.1" hidden="false" customHeight="true" outlineLevel="0" collapsed="false">
      <c r="H108" s="184" t="s">
        <v>154</v>
      </c>
      <c r="I108" s="216" t="s">
        <v>171</v>
      </c>
      <c r="J108" s="186" t="n">
        <f aca="false">+Servente_44_seg_a_sex!$D$152</f>
        <v>1.21</v>
      </c>
      <c r="K108" s="186" t="n">
        <f aca="false">+J108*$D$26</f>
        <v>0.000269905533063428</v>
      </c>
      <c r="L108" s="186"/>
      <c r="M108" s="187" t="n">
        <f aca="false">ROUND(K108+L107,2)</f>
        <v>0</v>
      </c>
      <c r="N108" s="188" t="s">
        <v>155</v>
      </c>
      <c r="O108" s="188"/>
      <c r="P108" s="217" t="s">
        <v>171</v>
      </c>
      <c r="Q108" s="190" t="n">
        <f aca="false">+Serv_44_seg_a_sab!$D$152</f>
        <v>1.21</v>
      </c>
      <c r="R108" s="190" t="n">
        <f aca="false">+Q108*$D$26</f>
        <v>0.000269905533063428</v>
      </c>
      <c r="S108" s="190"/>
      <c r="T108" s="191" t="n">
        <f aca="false">ROUND(R108+S107,2)</f>
        <v>0</v>
      </c>
    </row>
    <row r="109" customFormat="false" ht="26.1" hidden="false" customHeight="true" outlineLevel="0" collapsed="false">
      <c r="H109" s="192" t="s">
        <v>156</v>
      </c>
      <c r="I109" s="218"/>
      <c r="J109" s="194"/>
      <c r="K109" s="194"/>
      <c r="L109" s="194"/>
      <c r="M109" s="195"/>
      <c r="N109" s="196" t="s">
        <v>157</v>
      </c>
      <c r="O109" s="196"/>
      <c r="P109" s="219"/>
      <c r="Q109" s="198"/>
      <c r="R109" s="198"/>
      <c r="S109" s="198"/>
      <c r="T109" s="199"/>
    </row>
    <row r="110" customFormat="false" ht="26.1" hidden="false" customHeight="true" outlineLevel="0" collapsed="false">
      <c r="H110" s="125"/>
      <c r="I110" s="214"/>
      <c r="J110" s="220"/>
      <c r="K110" s="220"/>
      <c r="L110" s="220"/>
      <c r="M110" s="220"/>
      <c r="N110" s="11"/>
      <c r="O110" s="214"/>
      <c r="P110" s="214"/>
      <c r="Q110" s="220"/>
      <c r="R110" s="220"/>
      <c r="S110" s="220"/>
      <c r="T110" s="220"/>
    </row>
    <row r="111" customFormat="false" ht="26.1" hidden="false" customHeight="true" outlineLevel="0" collapsed="false">
      <c r="H111" s="178" t="s">
        <v>172</v>
      </c>
      <c r="I111" s="179" t="s">
        <v>148</v>
      </c>
      <c r="J111" s="179" t="s">
        <v>149</v>
      </c>
      <c r="K111" s="179" t="s">
        <v>168</v>
      </c>
      <c r="L111" s="179" t="s">
        <v>169</v>
      </c>
      <c r="M111" s="180" t="s">
        <v>152</v>
      </c>
      <c r="N111" s="181" t="s">
        <v>172</v>
      </c>
      <c r="O111" s="181"/>
      <c r="P111" s="182" t="s">
        <v>148</v>
      </c>
      <c r="Q111" s="182" t="s">
        <v>149</v>
      </c>
      <c r="R111" s="182" t="s">
        <v>168</v>
      </c>
      <c r="S111" s="182" t="s">
        <v>169</v>
      </c>
      <c r="T111" s="183" t="s">
        <v>152</v>
      </c>
    </row>
    <row r="112" customFormat="false" ht="26.1" hidden="false" customHeight="true" outlineLevel="0" collapsed="false">
      <c r="H112" s="184" t="s">
        <v>153</v>
      </c>
      <c r="I112" s="216" t="s">
        <v>173</v>
      </c>
      <c r="J112" s="186" t="n">
        <f aca="false">+Encarregado_44h_seg_a_sab!$D$153</f>
        <v>1.21</v>
      </c>
      <c r="K112" s="186"/>
      <c r="L112" s="186" t="n">
        <f aca="false">+(J112)*$D$45</f>
        <v>8.99685110211426E-006</v>
      </c>
      <c r="M112" s="187"/>
      <c r="N112" s="188" t="s">
        <v>153</v>
      </c>
      <c r="O112" s="188"/>
      <c r="P112" s="217" t="s">
        <v>173</v>
      </c>
      <c r="Q112" s="190" t="n">
        <f aca="false">+Encarregado_44h_seg_a_sab!$D$153</f>
        <v>1.21</v>
      </c>
      <c r="R112" s="190"/>
      <c r="S112" s="190" t="n">
        <f aca="false">+(Q112-Q113)*$D$45</f>
        <v>0</v>
      </c>
      <c r="T112" s="191"/>
    </row>
    <row r="113" customFormat="false" ht="26.1" hidden="false" customHeight="true" outlineLevel="0" collapsed="false">
      <c r="H113" s="184" t="s">
        <v>154</v>
      </c>
      <c r="I113" s="216" t="s">
        <v>174</v>
      </c>
      <c r="J113" s="186" t="n">
        <f aca="false">+Servente_44_seg_a_sex!$D$152</f>
        <v>1.21</v>
      </c>
      <c r="K113" s="186" t="n">
        <f aca="false">+J113*$D$40</f>
        <v>0.000269905533063428</v>
      </c>
      <c r="L113" s="186"/>
      <c r="M113" s="187" t="n">
        <f aca="false">ROUND(K113+L112,2)</f>
        <v>0</v>
      </c>
      <c r="N113" s="188" t="s">
        <v>155</v>
      </c>
      <c r="O113" s="188"/>
      <c r="P113" s="217" t="s">
        <v>174</v>
      </c>
      <c r="Q113" s="190" t="n">
        <f aca="false">+Serv_44_seg_a_sab!$D$152</f>
        <v>1.21</v>
      </c>
      <c r="R113" s="190" t="n">
        <f aca="false">+Q113*$D$40</f>
        <v>0.000269905533063428</v>
      </c>
      <c r="S113" s="190"/>
      <c r="T113" s="191" t="n">
        <f aca="false">ROUND(R113+S112,2)</f>
        <v>0</v>
      </c>
    </row>
    <row r="114" customFormat="false" ht="26.1" hidden="false" customHeight="true" outlineLevel="0" collapsed="false">
      <c r="H114" s="192" t="s">
        <v>156</v>
      </c>
      <c r="I114" s="218"/>
      <c r="J114" s="194"/>
      <c r="K114" s="194"/>
      <c r="L114" s="194"/>
      <c r="M114" s="195"/>
      <c r="N114" s="196" t="s">
        <v>157</v>
      </c>
      <c r="O114" s="196"/>
      <c r="P114" s="219"/>
      <c r="Q114" s="198"/>
      <c r="R114" s="198"/>
      <c r="S114" s="198"/>
      <c r="T114" s="199"/>
    </row>
    <row r="115" customFormat="false" ht="15.75" hidden="false" customHeight="false" outlineLevel="0" collapsed="false">
      <c r="R115" s="204"/>
      <c r="U115" s="221"/>
    </row>
    <row r="116" customFormat="false" ht="15" hidden="false" customHeight="false" outlineLevel="0" collapsed="false">
      <c r="H116" s="222" t="s">
        <v>175</v>
      </c>
      <c r="I116" s="222"/>
      <c r="J116" s="222"/>
      <c r="K116" s="222"/>
      <c r="L116" s="222"/>
      <c r="M116" s="222"/>
      <c r="N116" s="222"/>
      <c r="O116" s="222"/>
      <c r="P116" s="222"/>
      <c r="Q116" s="222"/>
      <c r="R116" s="222"/>
      <c r="S116" s="222"/>
      <c r="T116" s="222"/>
      <c r="U116" s="222"/>
      <c r="V116" s="222"/>
    </row>
    <row r="117" customFormat="false" ht="15" hidden="false" customHeight="false" outlineLevel="0" collapsed="false">
      <c r="H117" s="223" t="s">
        <v>176</v>
      </c>
      <c r="I117" s="223"/>
      <c r="J117" s="223"/>
      <c r="K117" s="223"/>
      <c r="L117" s="223"/>
      <c r="M117" s="223"/>
      <c r="N117" s="223"/>
      <c r="O117" s="223"/>
      <c r="P117" s="223"/>
      <c r="Q117" s="223"/>
      <c r="R117" s="223"/>
      <c r="S117" s="223"/>
      <c r="T117" s="223"/>
      <c r="U117" s="223"/>
      <c r="V117" s="223"/>
    </row>
    <row r="118" customFormat="false" ht="15.75" hidden="false" customHeight="true" outlineLevel="0" collapsed="false">
      <c r="H118" s="224" t="s">
        <v>177</v>
      </c>
      <c r="I118" s="224"/>
      <c r="J118" s="224"/>
      <c r="K118" s="224"/>
      <c r="L118" s="224"/>
      <c r="M118" s="224"/>
      <c r="N118" s="224"/>
      <c r="O118" s="224"/>
      <c r="P118" s="224"/>
      <c r="Q118" s="224"/>
      <c r="R118" s="224"/>
      <c r="S118" s="224"/>
      <c r="T118" s="224"/>
      <c r="U118" s="224"/>
      <c r="V118" s="224"/>
    </row>
    <row r="119" customFormat="false" ht="34.5" hidden="false" customHeight="false" outlineLevel="0" collapsed="false">
      <c r="H119" s="225" t="s">
        <v>79</v>
      </c>
      <c r="I119" s="226" t="s">
        <v>80</v>
      </c>
      <c r="J119" s="227" t="s">
        <v>81</v>
      </c>
      <c r="K119" s="227" t="s">
        <v>82</v>
      </c>
      <c r="L119" s="227" t="s">
        <v>83</v>
      </c>
      <c r="M119" s="227" t="s">
        <v>84</v>
      </c>
      <c r="N119" s="227" t="s">
        <v>85</v>
      </c>
      <c r="O119" s="227" t="s">
        <v>86</v>
      </c>
      <c r="P119" s="227" t="s">
        <v>87</v>
      </c>
      <c r="Q119" s="227" t="s">
        <v>88</v>
      </c>
      <c r="R119" s="227" t="s">
        <v>89</v>
      </c>
      <c r="S119" s="227" t="s">
        <v>90</v>
      </c>
      <c r="T119" s="228" t="s">
        <v>178</v>
      </c>
      <c r="U119" s="229" t="s">
        <v>179</v>
      </c>
      <c r="V119" s="229" t="s">
        <v>180</v>
      </c>
    </row>
    <row r="120" s="201" customFormat="true" ht="15" hidden="false" customHeight="false" outlineLevel="0" collapsed="false">
      <c r="H120" s="230" t="str">
        <f aca="false">+H10</f>
        <v>FACULDADE DE FARMÁCIA - FF</v>
      </c>
      <c r="I120" s="231" t="str">
        <f aca="false">+I10</f>
        <v>Diurno</v>
      </c>
      <c r="J120" s="232" t="n">
        <f aca="false">ROUND(J10*$F$2,0)</f>
        <v>1950</v>
      </c>
      <c r="K120" s="232" t="n">
        <f aca="false">ROUND(K10*$F$3,0)</f>
        <v>74</v>
      </c>
      <c r="L120" s="232" t="n">
        <f aca="false">ROUND(L10*$F$4,0)</f>
        <v>0</v>
      </c>
      <c r="M120" s="232" t="n">
        <f aca="false">ROUND(M10*$F$5,0)</f>
        <v>1215</v>
      </c>
      <c r="N120" s="232" t="n">
        <f aca="false">ROUND(N10*$F$6,0)</f>
        <v>0</v>
      </c>
      <c r="O120" s="232" t="n">
        <f aca="false">ROUND(O10*$F$7,0)</f>
        <v>354</v>
      </c>
      <c r="P120" s="232" t="n">
        <f aca="false">ROUND(P10*$F$9,0)</f>
        <v>0</v>
      </c>
      <c r="Q120" s="232" t="n">
        <f aca="false">ROUND(Q10*$F$10,0)</f>
        <v>0</v>
      </c>
      <c r="R120" s="232"/>
      <c r="S120" s="232"/>
      <c r="T120" s="233" t="n">
        <f aca="false">SUM(J120:P120)</f>
        <v>3593</v>
      </c>
      <c r="U120" s="234" t="n">
        <f aca="false">(ROUND((+T120/600),0))-V120</f>
        <v>5</v>
      </c>
      <c r="V120" s="235" t="n">
        <f aca="false">(ROUND((+O120/600),0))</f>
        <v>1</v>
      </c>
      <c r="W120" s="214"/>
      <c r="Y120" s="236"/>
    </row>
    <row r="121" s="201" customFormat="true" ht="15" hidden="false" customHeight="true" outlineLevel="0" collapsed="false">
      <c r="H121" s="237" t="str">
        <f aca="false">+H11</f>
        <v>FACULDADE DE FARMÁCIA - FF</v>
      </c>
      <c r="I121" s="238" t="str">
        <f aca="false">+I11</f>
        <v>Vespertino</v>
      </c>
      <c r="J121" s="239" t="n">
        <f aca="false">ROUND(J11*$F$2,0)</f>
        <v>291</v>
      </c>
      <c r="K121" s="239" t="n">
        <f aca="false">ROUND(K11*$F$3,0)</f>
        <v>0</v>
      </c>
      <c r="L121" s="239" t="n">
        <f aca="false">ROUND(L11*$F$4,0)</f>
        <v>0</v>
      </c>
      <c r="M121" s="239" t="n">
        <f aca="false">ROUND(M11*$F$5,0)</f>
        <v>607</v>
      </c>
      <c r="N121" s="239" t="n">
        <f aca="false">ROUND(N11*$F$6,0)</f>
        <v>0</v>
      </c>
      <c r="O121" s="239" t="n">
        <f aca="false">ROUND(O11*$F$7,0)</f>
        <v>354</v>
      </c>
      <c r="P121" s="239" t="n">
        <f aca="false">ROUND(P11*$F$9,0)</f>
        <v>0</v>
      </c>
      <c r="Q121" s="239" t="n">
        <f aca="false">ROUND(Q11*$F$10,0)</f>
        <v>0</v>
      </c>
      <c r="R121" s="239"/>
      <c r="S121" s="239"/>
      <c r="T121" s="240" t="n">
        <f aca="false">SUM(J121:P121)</f>
        <v>1252</v>
      </c>
      <c r="U121" s="241" t="n">
        <f aca="false">(ROUND((+T121/600),0))-V121</f>
        <v>1</v>
      </c>
      <c r="V121" s="242" t="n">
        <f aca="false">(ROUND((+O121/600),0))</f>
        <v>1</v>
      </c>
      <c r="W121" s="214"/>
      <c r="Y121" s="236"/>
    </row>
    <row r="122" s="201" customFormat="true" ht="15" hidden="false" customHeight="false" outlineLevel="0" collapsed="false">
      <c r="H122" s="237" t="str">
        <f aca="false">+H12</f>
        <v>INSTITUTO DE BIOFÍSICA - IBCCF</v>
      </c>
      <c r="I122" s="238" t="str">
        <f aca="false">+I12</f>
        <v>Diurno</v>
      </c>
      <c r="J122" s="239" t="n">
        <f aca="false">ROUND(J12*$F$2,0)</f>
        <v>1590</v>
      </c>
      <c r="K122" s="239" t="n">
        <f aca="false">ROUND(K12*$F$3,0)</f>
        <v>19</v>
      </c>
      <c r="L122" s="239" t="n">
        <f aca="false">ROUND(L12*$F$4,0)</f>
        <v>0</v>
      </c>
      <c r="M122" s="239" t="n">
        <f aca="false">ROUND(M12*$F$5,0)</f>
        <v>3420</v>
      </c>
      <c r="N122" s="239" t="n">
        <f aca="false">ROUND(N12*$F$6,0)</f>
        <v>0</v>
      </c>
      <c r="O122" s="239" t="n">
        <f aca="false">ROUND(O12*$F$7,0)</f>
        <v>675</v>
      </c>
      <c r="P122" s="239" t="n">
        <f aca="false">ROUND(P12*$F$9,0)</f>
        <v>0</v>
      </c>
      <c r="Q122" s="239" t="n">
        <f aca="false">ROUND(Q12*$F$10,0)</f>
        <v>0</v>
      </c>
      <c r="R122" s="239"/>
      <c r="S122" s="239"/>
      <c r="T122" s="240" t="n">
        <f aca="false">SUM(J122:P122)</f>
        <v>5704</v>
      </c>
      <c r="U122" s="241" t="n">
        <f aca="false">(ROUND((+T122/600),0))-V122</f>
        <v>9</v>
      </c>
      <c r="V122" s="242" t="n">
        <f aca="false">(ROUND((+O122/600),0))</f>
        <v>1</v>
      </c>
      <c r="W122" s="214"/>
      <c r="Y122" s="236"/>
    </row>
    <row r="123" s="201" customFormat="true" ht="15" hidden="false" customHeight="false" outlineLevel="0" collapsed="false">
      <c r="H123" s="237" t="str">
        <f aca="false">+H13</f>
        <v>INSTITUTO DE BIOLOGIA - IB</v>
      </c>
      <c r="I123" s="238" t="str">
        <f aca="false">+I13</f>
        <v>Diurno</v>
      </c>
      <c r="J123" s="239" t="n">
        <f aca="false">ROUND(J13*$F$2,0)</f>
        <v>894</v>
      </c>
      <c r="K123" s="239" t="n">
        <f aca="false">ROUND(K13*$F$3,0)</f>
        <v>0</v>
      </c>
      <c r="L123" s="239" t="n">
        <f aca="false">ROUND(L13*$F$4,0)</f>
        <v>2</v>
      </c>
      <c r="M123" s="239" t="n">
        <f aca="false">ROUND(M13*$F$5,0)</f>
        <v>2097</v>
      </c>
      <c r="N123" s="239" t="n">
        <f aca="false">ROUND(N13*$F$6,0)</f>
        <v>0</v>
      </c>
      <c r="O123" s="239" t="n">
        <f aca="false">ROUND(O13*$F$7,0)</f>
        <v>444</v>
      </c>
      <c r="P123" s="239" t="n">
        <f aca="false">ROUND(P13*$F$9,0)</f>
        <v>0</v>
      </c>
      <c r="Q123" s="239" t="n">
        <f aca="false">ROUND(Q13*$F$10,0)</f>
        <v>0</v>
      </c>
      <c r="R123" s="239"/>
      <c r="S123" s="239"/>
      <c r="T123" s="240" t="n">
        <f aca="false">SUM(J123:P123)</f>
        <v>3437</v>
      </c>
      <c r="U123" s="241" t="n">
        <f aca="false">(ROUND((+T123/600),0))-V123</f>
        <v>5</v>
      </c>
      <c r="V123" s="242" t="n">
        <f aca="false">(ROUND((+O123/600),0))</f>
        <v>1</v>
      </c>
      <c r="W123" s="214"/>
      <c r="Y123" s="236"/>
    </row>
    <row r="124" s="201" customFormat="true" ht="15" hidden="false" customHeight="false" outlineLevel="0" collapsed="false">
      <c r="H124" s="237" t="str">
        <f aca="false">+H14</f>
        <v>INSTITUTO DE BIOLOGIA - IB</v>
      </c>
      <c r="I124" s="238" t="str">
        <f aca="false">+I14</f>
        <v>Vespertino</v>
      </c>
      <c r="J124" s="239" t="n">
        <f aca="false">ROUND(J14*$F$2,0)</f>
        <v>447</v>
      </c>
      <c r="K124" s="239" t="n">
        <f aca="false">ROUND(K14*$F$3,0)</f>
        <v>0</v>
      </c>
      <c r="L124" s="239" t="n">
        <f aca="false">ROUND(L14*$F$4,0)</f>
        <v>0</v>
      </c>
      <c r="M124" s="239" t="n">
        <f aca="false">ROUND(M14*$F$5,0)</f>
        <v>0</v>
      </c>
      <c r="N124" s="239" t="n">
        <f aca="false">ROUND(N14*$F$6,0)</f>
        <v>0</v>
      </c>
      <c r="O124" s="239" t="n">
        <f aca="false">ROUND(O14*$F$7,0)</f>
        <v>444</v>
      </c>
      <c r="P124" s="239" t="n">
        <f aca="false">ROUND(P14*$F$9,0)</f>
        <v>0</v>
      </c>
      <c r="Q124" s="239" t="n">
        <f aca="false">ROUND(Q14*$F$10,0)</f>
        <v>0</v>
      </c>
      <c r="R124" s="239"/>
      <c r="S124" s="239"/>
      <c r="T124" s="240" t="n">
        <f aca="false">SUM(J124:P124)</f>
        <v>891</v>
      </c>
      <c r="U124" s="241" t="n">
        <f aca="false">(ROUND((+T124/600),0))-V124</f>
        <v>0</v>
      </c>
      <c r="V124" s="242" t="n">
        <f aca="false">(ROUND((+O124/600),0))</f>
        <v>1</v>
      </c>
      <c r="W124" s="214"/>
      <c r="Y124" s="236"/>
    </row>
    <row r="125" s="201" customFormat="true" ht="23.25" hidden="false" customHeight="false" outlineLevel="0" collapsed="false">
      <c r="H125" s="237" t="str">
        <f aca="false">+H15</f>
        <v>CENTRO NACIONAL DE IDENTIFICÇÃO MOLECULAR DO PESCADO - CENIMP</v>
      </c>
      <c r="I125" s="238" t="str">
        <f aca="false">+I15</f>
        <v>Diurno</v>
      </c>
      <c r="J125" s="239" t="n">
        <f aca="false">ROUND(J15*$F$2,0)</f>
        <v>99</v>
      </c>
      <c r="K125" s="239" t="n">
        <f aca="false">ROUND(K15*$F$3,0)</f>
        <v>21</v>
      </c>
      <c r="L125" s="239" t="n">
        <f aca="false">ROUND(L15*$F$4,0)</f>
        <v>0</v>
      </c>
      <c r="M125" s="239" t="n">
        <f aca="false">ROUND(M15*$F$5,0)</f>
        <v>137</v>
      </c>
      <c r="N125" s="239" t="n">
        <f aca="false">ROUND(N15*$F$6,0)</f>
        <v>2</v>
      </c>
      <c r="O125" s="239" t="n">
        <f aca="false">ROUND(O15*$F$7,0)</f>
        <v>84</v>
      </c>
      <c r="P125" s="239" t="n">
        <f aca="false">ROUND(P15*$F$9,0)</f>
        <v>9</v>
      </c>
      <c r="Q125" s="239" t="n">
        <f aca="false">ROUND(Q15*$F$10,0)</f>
        <v>3</v>
      </c>
      <c r="R125" s="239"/>
      <c r="S125" s="239"/>
      <c r="T125" s="240" t="n">
        <f aca="false">SUM(J125:P125)</f>
        <v>352</v>
      </c>
      <c r="U125" s="241" t="n">
        <f aca="false">(ROUND((+T125/600),0))-V125</f>
        <v>1</v>
      </c>
      <c r="V125" s="242" t="n">
        <f aca="false">(ROUND((+O125/600),0))</f>
        <v>0</v>
      </c>
      <c r="W125" s="214"/>
      <c r="Y125" s="236"/>
    </row>
    <row r="126" s="201" customFormat="true" ht="15" hidden="false" customHeight="false" outlineLevel="0" collapsed="false">
      <c r="H126" s="237" t="str">
        <f aca="false">+H16</f>
        <v>INSITUTO DE BIOQUÍMICA - IBqM</v>
      </c>
      <c r="I126" s="238" t="str">
        <f aca="false">+I16</f>
        <v>Diurno</v>
      </c>
      <c r="J126" s="239" t="n">
        <f aca="false">ROUND(J16*$F$2,0)</f>
        <v>253</v>
      </c>
      <c r="K126" s="239" t="n">
        <f aca="false">ROUND(K16*$F$3,0)</f>
        <v>373</v>
      </c>
      <c r="L126" s="239" t="n">
        <f aca="false">ROUND(L16*$F$4,0)</f>
        <v>0</v>
      </c>
      <c r="M126" s="239" t="n">
        <f aca="false">ROUND(M16*$F$5,0)</f>
        <v>2259</v>
      </c>
      <c r="N126" s="239" t="n">
        <f aca="false">ROUND(N16*$F$6,0)</f>
        <v>0</v>
      </c>
      <c r="O126" s="239" t="n">
        <f aca="false">ROUND(O16*$F$7,0)</f>
        <v>75</v>
      </c>
      <c r="P126" s="239" t="n">
        <f aca="false">ROUND(P16*$F$9,0)</f>
        <v>0</v>
      </c>
      <c r="Q126" s="239" t="n">
        <f aca="false">ROUND(Q16*$F$10,0)</f>
        <v>0</v>
      </c>
      <c r="R126" s="239"/>
      <c r="S126" s="239"/>
      <c r="T126" s="240" t="n">
        <f aca="false">SUM(J126:P126)</f>
        <v>2960</v>
      </c>
      <c r="U126" s="241" t="n">
        <f aca="false">(ROUND((+T126/600),0))-V126</f>
        <v>5</v>
      </c>
      <c r="V126" s="242" t="n">
        <f aca="false">(ROUND((+O126/600),0))</f>
        <v>0</v>
      </c>
      <c r="W126" s="214"/>
      <c r="Y126" s="236"/>
    </row>
    <row r="127" s="201" customFormat="true" ht="23.25" hidden="false" customHeight="false" outlineLevel="0" collapsed="false">
      <c r="H127" s="237" t="str">
        <f aca="false">+H17</f>
        <v>INSTITUTO DE CIÊNCIAS BIOMÉDICAS - ANEXO - ICB</v>
      </c>
      <c r="I127" s="238" t="str">
        <f aca="false">+I17</f>
        <v>Diurno</v>
      </c>
      <c r="J127" s="239" t="n">
        <f aca="false">ROUND(J17*$F$2,0)</f>
        <v>73</v>
      </c>
      <c r="K127" s="239" t="n">
        <f aca="false">ROUND(K17*$F$3,0)</f>
        <v>311</v>
      </c>
      <c r="L127" s="239" t="n">
        <f aca="false">ROUND(L17*$F$4,0)</f>
        <v>107</v>
      </c>
      <c r="M127" s="239" t="n">
        <f aca="false">ROUND(M17*$F$5,0)</f>
        <v>849</v>
      </c>
      <c r="N127" s="239" t="n">
        <f aca="false">ROUND(N17*$F$6,0)</f>
        <v>0</v>
      </c>
      <c r="O127" s="239" t="n">
        <f aca="false">ROUND(O17*$F$7,0)</f>
        <v>582</v>
      </c>
      <c r="P127" s="239" t="n">
        <f aca="false">ROUND(P17*$F$9,0)</f>
        <v>189</v>
      </c>
      <c r="Q127" s="239" t="n">
        <f aca="false">ROUND(Q17*$F$10,0)</f>
        <v>92</v>
      </c>
      <c r="R127" s="239"/>
      <c r="S127" s="239"/>
      <c r="T127" s="240" t="n">
        <f aca="false">SUM(J127:P127)</f>
        <v>2111</v>
      </c>
      <c r="U127" s="241" t="n">
        <f aca="false">(ROUND((+T127/600),0))-V127</f>
        <v>3</v>
      </c>
      <c r="V127" s="242" t="n">
        <f aca="false">(ROUND((+O127/600),0))</f>
        <v>1</v>
      </c>
      <c r="W127" s="214"/>
      <c r="Y127" s="236"/>
    </row>
    <row r="128" s="201" customFormat="true" ht="15" hidden="false" customHeight="false" outlineLevel="0" collapsed="false">
      <c r="H128" s="237" t="str">
        <f aca="false">+H18</f>
        <v>INSTITUTO DE CIÊNCIAS BIOMÉDICAS - ICB</v>
      </c>
      <c r="I128" s="238" t="str">
        <f aca="false">+I18</f>
        <v>Diurno</v>
      </c>
      <c r="J128" s="239" t="n">
        <f aca="false">ROUND(J18*$F$2,0)</f>
        <v>908</v>
      </c>
      <c r="K128" s="239" t="n">
        <f aca="false">ROUND(K18*$F$3,0)</f>
        <v>0</v>
      </c>
      <c r="L128" s="239" t="n">
        <f aca="false">ROUND(L18*$F$4,0)</f>
        <v>0</v>
      </c>
      <c r="M128" s="239" t="n">
        <f aca="false">ROUND(M18*$F$5,0)</f>
        <v>1651</v>
      </c>
      <c r="N128" s="239" t="n">
        <f aca="false">ROUND(N18*$F$6,0)</f>
        <v>0</v>
      </c>
      <c r="O128" s="239" t="n">
        <f aca="false">ROUND(O18*$F$7,0)</f>
        <v>330</v>
      </c>
      <c r="P128" s="239" t="n">
        <f aca="false">ROUND(P18*$F$9,0)</f>
        <v>0</v>
      </c>
      <c r="Q128" s="239" t="n">
        <f aca="false">ROUND(Q18*$F$10,0)</f>
        <v>0</v>
      </c>
      <c r="R128" s="239"/>
      <c r="S128" s="239"/>
      <c r="T128" s="240" t="n">
        <f aca="false">SUM(J128:P128)</f>
        <v>2889</v>
      </c>
      <c r="U128" s="241" t="n">
        <f aca="false">(ROUND((+T128/600),0))-V128</f>
        <v>4</v>
      </c>
      <c r="V128" s="242" t="n">
        <f aca="false">(ROUND((+O128/600),0))</f>
        <v>1</v>
      </c>
      <c r="W128" s="214"/>
      <c r="Y128" s="236"/>
    </row>
    <row r="129" s="201" customFormat="true" ht="15" hidden="false" customHeight="false" outlineLevel="0" collapsed="false">
      <c r="H129" s="237" t="str">
        <f aca="false">+H19</f>
        <v>INSTITUTO DE MICROBIOLOGIA - IMPPG</v>
      </c>
      <c r="I129" s="238" t="str">
        <f aca="false">+I19</f>
        <v>Diurno</v>
      </c>
      <c r="J129" s="239" t="n">
        <f aca="false">ROUND(J19*$F$2,0)</f>
        <v>1236</v>
      </c>
      <c r="K129" s="239" t="n">
        <f aca="false">ROUND(K19*$F$3,0)</f>
        <v>0</v>
      </c>
      <c r="L129" s="239" t="n">
        <f aca="false">ROUND(L19*$F$4,0)</f>
        <v>0</v>
      </c>
      <c r="M129" s="239" t="n">
        <f aca="false">ROUND(M19*$F$5,0)</f>
        <v>2820</v>
      </c>
      <c r="N129" s="239" t="n">
        <f aca="false">ROUND(N19*$F$6,0)</f>
        <v>0</v>
      </c>
      <c r="O129" s="239" t="n">
        <f aca="false">ROUND(O19*$F$7,0)</f>
        <v>699</v>
      </c>
      <c r="P129" s="239" t="n">
        <f aca="false">ROUND(P19*$F$9,0)</f>
        <v>0</v>
      </c>
      <c r="Q129" s="239" t="n">
        <f aca="false">ROUND(Q19*$F$10,0)</f>
        <v>0</v>
      </c>
      <c r="R129" s="239"/>
      <c r="S129" s="239"/>
      <c r="T129" s="240" t="n">
        <f aca="false">SUM(J129:P129)</f>
        <v>4755</v>
      </c>
      <c r="U129" s="241" t="n">
        <f aca="false">(ROUND((+T129/600),0))-V129</f>
        <v>7</v>
      </c>
      <c r="V129" s="242" t="n">
        <f aca="false">(ROUND((+O129/600),0))</f>
        <v>1</v>
      </c>
      <c r="W129" s="214"/>
      <c r="Y129" s="236"/>
    </row>
    <row r="130" s="201" customFormat="true" ht="15" hidden="false" customHeight="false" outlineLevel="0" collapsed="false">
      <c r="H130" s="237" t="str">
        <f aca="false">+H20</f>
        <v>INSTITUTO DE NUTRIÇÃO - INJC</v>
      </c>
      <c r="I130" s="238" t="str">
        <f aca="false">+I20</f>
        <v>Diurno</v>
      </c>
      <c r="J130" s="239" t="n">
        <f aca="false">ROUND(J20*$F$2,0)</f>
        <v>371</v>
      </c>
      <c r="K130" s="239" t="n">
        <f aca="false">ROUND(K20*$F$3,0)</f>
        <v>0</v>
      </c>
      <c r="L130" s="239" t="n">
        <f aca="false">ROUND(L20*$F$4,0)</f>
        <v>2</v>
      </c>
      <c r="M130" s="239" t="n">
        <f aca="false">ROUND(M20*$F$5,0)</f>
        <v>859</v>
      </c>
      <c r="N130" s="239" t="n">
        <f aca="false">ROUND(N20*$F$6,0)</f>
        <v>0</v>
      </c>
      <c r="O130" s="239" t="n">
        <f aca="false">ROUND(O20*$F$7,0)</f>
        <v>285</v>
      </c>
      <c r="P130" s="239" t="n">
        <f aca="false">ROUND(P20*$F$9,0)</f>
        <v>0</v>
      </c>
      <c r="Q130" s="239" t="n">
        <f aca="false">ROUND(Q20*$F$10,0)</f>
        <v>0</v>
      </c>
      <c r="R130" s="239"/>
      <c r="S130" s="239"/>
      <c r="T130" s="240" t="n">
        <f aca="false">SUM(J130:P130)</f>
        <v>1517</v>
      </c>
      <c r="U130" s="241" t="n">
        <f aca="false">(ROUND((+T130/600),0))-V130</f>
        <v>3</v>
      </c>
      <c r="V130" s="242" t="n">
        <f aca="false">(ROUND((+O130/600),0))</f>
        <v>0</v>
      </c>
      <c r="W130" s="214"/>
      <c r="Y130" s="236"/>
    </row>
    <row r="131" s="201" customFormat="true" ht="15" hidden="false" customHeight="false" outlineLevel="0" collapsed="false">
      <c r="H131" s="237" t="str">
        <f aca="false">+H21</f>
        <v>INSTITUTO DE NUTRIÇÃO - INJC</v>
      </c>
      <c r="I131" s="238" t="str">
        <f aca="false">+I21</f>
        <v>Vespertino</v>
      </c>
      <c r="J131" s="239" t="n">
        <f aca="false">ROUND(J21*$F$2,0)</f>
        <v>228</v>
      </c>
      <c r="K131" s="239" t="n">
        <f aca="false">ROUND(K21*$F$3,0)</f>
        <v>0</v>
      </c>
      <c r="L131" s="239" t="n">
        <f aca="false">ROUND(L21*$F$4,0)</f>
        <v>0</v>
      </c>
      <c r="M131" s="239" t="n">
        <f aca="false">ROUND(M21*$F$5,0)</f>
        <v>429</v>
      </c>
      <c r="N131" s="239" t="n">
        <f aca="false">ROUND(N21*$F$6,0)</f>
        <v>0</v>
      </c>
      <c r="O131" s="239" t="n">
        <f aca="false">ROUND(O21*$F$7,0)</f>
        <v>285</v>
      </c>
      <c r="P131" s="239" t="n">
        <f aca="false">ROUND(P21*$F$9,0)</f>
        <v>0</v>
      </c>
      <c r="Q131" s="239" t="n">
        <f aca="false">ROUND(Q21*$F$10,0)</f>
        <v>0</v>
      </c>
      <c r="R131" s="239"/>
      <c r="S131" s="239"/>
      <c r="T131" s="240" t="n">
        <f aca="false">SUM(J131:P131)</f>
        <v>942</v>
      </c>
      <c r="U131" s="241" t="n">
        <f aca="false">(ROUND((+T131/600),0))-V131</f>
        <v>2</v>
      </c>
      <c r="V131" s="242" t="n">
        <f aca="false">(ROUND((+O131/600),0))</f>
        <v>0</v>
      </c>
      <c r="W131" s="214"/>
      <c r="Y131" s="236"/>
    </row>
    <row r="132" s="201" customFormat="true" ht="23.25" hidden="false" customHeight="false" outlineLevel="0" collapsed="false">
      <c r="H132" s="237" t="str">
        <f aca="false">+H22</f>
        <v>NUCLEO DE PESQUISA EM PRODUTOS NATURAIS - INPPN</v>
      </c>
      <c r="I132" s="238" t="str">
        <f aca="false">+I22</f>
        <v>Diurno</v>
      </c>
      <c r="J132" s="239" t="n">
        <f aca="false">ROUND(J22*$F$2,0)</f>
        <v>318</v>
      </c>
      <c r="K132" s="239" t="n">
        <f aca="false">ROUND(K22*$F$3,0)</f>
        <v>0</v>
      </c>
      <c r="L132" s="239" t="n">
        <f aca="false">ROUND(L22*$F$4,0)</f>
        <v>0</v>
      </c>
      <c r="M132" s="239" t="n">
        <f aca="false">ROUND(M22*$F$5,0)</f>
        <v>728</v>
      </c>
      <c r="N132" s="239" t="n">
        <f aca="false">ROUND(N22*$F$6,0)</f>
        <v>0</v>
      </c>
      <c r="O132" s="239" t="n">
        <f aca="false">ROUND(O22*$F$7,0)</f>
        <v>189</v>
      </c>
      <c r="P132" s="239" t="n">
        <f aca="false">ROUND(P22*$F$9,0)</f>
        <v>0</v>
      </c>
      <c r="Q132" s="239" t="n">
        <f aca="false">ROUND(Q22*$F$10,0)</f>
        <v>0</v>
      </c>
      <c r="R132" s="239"/>
      <c r="S132" s="239"/>
      <c r="T132" s="240" t="n">
        <f aca="false">SUM(J132:P132)</f>
        <v>1235</v>
      </c>
      <c r="U132" s="241" t="n">
        <f aca="false">(ROUND((+T132/600),0))-V132</f>
        <v>2</v>
      </c>
      <c r="V132" s="242" t="n">
        <f aca="false">(ROUND((+O132/600),0))</f>
        <v>0</v>
      </c>
      <c r="W132" s="214"/>
      <c r="Y132" s="236"/>
    </row>
    <row r="133" s="201" customFormat="true" ht="23.25" hidden="false" customHeight="false" outlineLevel="0" collapsed="false">
      <c r="H133" s="237" t="str">
        <f aca="false">+H23</f>
        <v>NÚCLEO DE TEC. EDUCACIONAL PARA A SAÚDE - NUTES</v>
      </c>
      <c r="I133" s="238" t="str">
        <f aca="false">+I23</f>
        <v>Diurno</v>
      </c>
      <c r="J133" s="239" t="n">
        <f aca="false">ROUND(J23*$F$2,0)</f>
        <v>410</v>
      </c>
      <c r="K133" s="239" t="n">
        <f aca="false">ROUND(K23*$F$3,0)</f>
        <v>0</v>
      </c>
      <c r="L133" s="239" t="n">
        <f aca="false">ROUND(L23*$F$4,0)</f>
        <v>0</v>
      </c>
      <c r="M133" s="239" t="n">
        <f aca="false">ROUND(M23*$F$5,0)</f>
        <v>728</v>
      </c>
      <c r="N133" s="239" t="n">
        <f aca="false">ROUND(N23*$F$6,0)</f>
        <v>0</v>
      </c>
      <c r="O133" s="239" t="n">
        <f aca="false">ROUND(O23*$F$7,0)</f>
        <v>0</v>
      </c>
      <c r="P133" s="239" t="n">
        <f aca="false">ROUND(P23*$F$9,0)</f>
        <v>0</v>
      </c>
      <c r="Q133" s="239" t="n">
        <f aca="false">ROUND(Q23*$F$10,0)</f>
        <v>0</v>
      </c>
      <c r="R133" s="239"/>
      <c r="S133" s="239"/>
      <c r="T133" s="240" t="n">
        <f aca="false">SUM(J133:P133)</f>
        <v>1138</v>
      </c>
      <c r="U133" s="241" t="n">
        <f aca="false">(ROUND((+T133/600),0))-V133</f>
        <v>2</v>
      </c>
      <c r="V133" s="242" t="n">
        <f aca="false">(ROUND((+O133/600),0))</f>
        <v>0</v>
      </c>
      <c r="W133" s="214"/>
      <c r="Y133" s="236"/>
    </row>
    <row r="134" s="201" customFormat="true" ht="23.25" hidden="false" customHeight="false" outlineLevel="0" collapsed="false">
      <c r="H134" s="237" t="str">
        <f aca="false">+H24</f>
        <v>ESCOLA DE ENFERMAGEM - PREDIO DO CCS - EEAN</v>
      </c>
      <c r="I134" s="238" t="str">
        <f aca="false">+I24</f>
        <v>Diurno</v>
      </c>
      <c r="J134" s="239" t="n">
        <f aca="false">ROUND(J24*$F$2,0)</f>
        <v>194</v>
      </c>
      <c r="K134" s="239" t="n">
        <f aca="false">ROUND(K24*$F$3,0)</f>
        <v>0</v>
      </c>
      <c r="L134" s="239" t="n">
        <f aca="false">ROUND(L24*$F$4,0)</f>
        <v>0</v>
      </c>
      <c r="M134" s="239" t="n">
        <f aca="false">ROUND(M24*$F$5,0)</f>
        <v>0</v>
      </c>
      <c r="N134" s="239" t="n">
        <f aca="false">ROUND(N24*$F$6,0)</f>
        <v>0</v>
      </c>
      <c r="O134" s="239" t="n">
        <f aca="false">ROUND(O24*$F$7,0)</f>
        <v>0</v>
      </c>
      <c r="P134" s="239" t="n">
        <f aca="false">ROUND(P24*$F$9,0)</f>
        <v>0</v>
      </c>
      <c r="Q134" s="239" t="n">
        <f aca="false">ROUND(Q24*$F$10,0)</f>
        <v>0</v>
      </c>
      <c r="R134" s="239"/>
      <c r="S134" s="239"/>
      <c r="T134" s="240" t="n">
        <f aca="false">SUM(J134:P134)</f>
        <v>194</v>
      </c>
      <c r="U134" s="241" t="n">
        <f aca="false">(ROUND((+T134/600),0))-V134</f>
        <v>0</v>
      </c>
      <c r="V134" s="242" t="n">
        <f aca="false">(ROUND((+O134/600),0))</f>
        <v>0</v>
      </c>
      <c r="W134" s="214"/>
      <c r="Y134" s="236"/>
    </row>
    <row r="135" s="201" customFormat="true" ht="23.25" hidden="false" customHeight="false" outlineLevel="0" collapsed="false">
      <c r="H135" s="237" t="str">
        <f aca="false">+H25</f>
        <v>CENTRO NACIONAL DE BIOLOGIA ESTRUTUAL E BIOIMAGEM - CENABIO</v>
      </c>
      <c r="I135" s="238" t="str">
        <f aca="false">+I25</f>
        <v>Diurno</v>
      </c>
      <c r="J135" s="239" t="n">
        <f aca="false">ROUND(J25*$F$2,0)</f>
        <v>103</v>
      </c>
      <c r="K135" s="239" t="n">
        <f aca="false">ROUND(K25*$F$3,0)</f>
        <v>180</v>
      </c>
      <c r="L135" s="239" t="n">
        <f aca="false">ROUND(L25*$F$4,0)</f>
        <v>0</v>
      </c>
      <c r="M135" s="239" t="n">
        <f aca="false">ROUND(M25*$F$5,0)</f>
        <v>2800</v>
      </c>
      <c r="N135" s="239" t="n">
        <f aca="false">ROUND(N25*$F$6,0)</f>
        <v>0</v>
      </c>
      <c r="O135" s="239" t="n">
        <f aca="false">ROUND(O25*$F$7,0)</f>
        <v>207</v>
      </c>
      <c r="P135" s="239" t="n">
        <f aca="false">ROUND(P25*$F$9,0)</f>
        <v>0</v>
      </c>
      <c r="Q135" s="239" t="n">
        <f aca="false">ROUND(Q25*$F$10,0)</f>
        <v>0</v>
      </c>
      <c r="R135" s="239"/>
      <c r="S135" s="239"/>
      <c r="T135" s="240" t="n">
        <f aca="false">SUM(J135:P135)</f>
        <v>3290</v>
      </c>
      <c r="U135" s="241" t="n">
        <f aca="false">(ROUND((+T135/600),0))-V135</f>
        <v>5</v>
      </c>
      <c r="V135" s="242" t="n">
        <f aca="false">(ROUND((+O135/600),0))</f>
        <v>0</v>
      </c>
      <c r="W135" s="214"/>
      <c r="Y135" s="236"/>
    </row>
    <row r="136" s="201" customFormat="true" ht="15" hidden="false" customHeight="false" outlineLevel="0" collapsed="false">
      <c r="H136" s="237"/>
      <c r="I136" s="238"/>
      <c r="J136" s="239"/>
      <c r="K136" s="239"/>
      <c r="L136" s="239"/>
      <c r="M136" s="239"/>
      <c r="N136" s="239"/>
      <c r="O136" s="239"/>
      <c r="P136" s="239"/>
      <c r="Q136" s="239"/>
      <c r="R136" s="239"/>
      <c r="S136" s="239"/>
      <c r="T136" s="240"/>
      <c r="U136" s="241"/>
      <c r="V136" s="243"/>
      <c r="W136" s="214"/>
      <c r="Y136" s="236"/>
    </row>
    <row r="137" customFormat="false" ht="15.75" hidden="false" customHeight="false" outlineLevel="0" collapsed="false">
      <c r="H137" s="59"/>
      <c r="I137" s="59"/>
      <c r="J137" s="244"/>
      <c r="K137" s="244"/>
      <c r="L137" s="244"/>
      <c r="M137" s="244"/>
      <c r="N137" s="244"/>
      <c r="O137" s="244"/>
      <c r="P137" s="244"/>
      <c r="Q137" s="244"/>
      <c r="R137" s="244"/>
      <c r="S137" s="244"/>
      <c r="T137" s="122"/>
      <c r="U137" s="245" t="n">
        <f aca="false">SUM(U120:U136)</f>
        <v>54</v>
      </c>
      <c r="V137" s="245" t="n">
        <f aca="false">SUM(V120:V136)</f>
        <v>8</v>
      </c>
    </row>
    <row r="138" customFormat="false" ht="15.75" hidden="false" customHeight="false" outlineLevel="0" collapsed="false">
      <c r="H138" s="59"/>
      <c r="I138" s="59"/>
      <c r="J138" s="244"/>
      <c r="K138" s="244"/>
      <c r="L138" s="244"/>
      <c r="M138" s="244"/>
      <c r="N138" s="244"/>
      <c r="O138" s="244"/>
      <c r="P138" s="244"/>
      <c r="Q138" s="244"/>
      <c r="R138" s="244"/>
      <c r="S138" s="244"/>
      <c r="T138" s="122"/>
      <c r="U138" s="246"/>
      <c r="V138" s="246"/>
    </row>
    <row r="139" customFormat="false" ht="15" hidden="false" customHeight="false" outlineLevel="0" collapsed="false">
      <c r="H139" s="247" t="s">
        <v>175</v>
      </c>
      <c r="I139" s="247"/>
      <c r="J139" s="247"/>
      <c r="K139" s="247"/>
      <c r="L139" s="247"/>
      <c r="M139" s="247"/>
      <c r="N139" s="247"/>
      <c r="O139" s="247"/>
      <c r="P139" s="247"/>
      <c r="Q139" s="247"/>
      <c r="R139" s="247"/>
      <c r="S139" s="247"/>
      <c r="T139" s="247"/>
      <c r="U139" s="247"/>
      <c r="V139" s="247"/>
    </row>
    <row r="140" customFormat="false" ht="14.25" hidden="false" customHeight="true" outlineLevel="0" collapsed="false">
      <c r="H140" s="223" t="s">
        <v>181</v>
      </c>
      <c r="I140" s="223"/>
      <c r="J140" s="223"/>
      <c r="K140" s="223"/>
      <c r="L140" s="223"/>
      <c r="M140" s="223"/>
      <c r="N140" s="223"/>
      <c r="O140" s="223"/>
      <c r="P140" s="223"/>
      <c r="Q140" s="223"/>
      <c r="R140" s="223"/>
      <c r="S140" s="223"/>
      <c r="T140" s="223"/>
      <c r="U140" s="223"/>
      <c r="V140" s="223"/>
    </row>
    <row r="141" customFormat="false" ht="15.75" hidden="false" customHeight="true" outlineLevel="0" collapsed="false">
      <c r="H141" s="224" t="s">
        <v>177</v>
      </c>
      <c r="I141" s="224"/>
      <c r="J141" s="224"/>
      <c r="K141" s="224"/>
      <c r="L141" s="224"/>
      <c r="M141" s="224"/>
      <c r="N141" s="224"/>
      <c r="O141" s="224"/>
      <c r="P141" s="224"/>
      <c r="Q141" s="224"/>
      <c r="R141" s="224"/>
      <c r="S141" s="224"/>
      <c r="T141" s="224"/>
      <c r="U141" s="224"/>
      <c r="V141" s="224"/>
    </row>
    <row r="142" customFormat="false" ht="34.5" hidden="false" customHeight="false" outlineLevel="0" collapsed="false">
      <c r="H142" s="225" t="s">
        <v>79</v>
      </c>
      <c r="I142" s="226" t="s">
        <v>80</v>
      </c>
      <c r="J142" s="227" t="s">
        <v>81</v>
      </c>
      <c r="K142" s="227" t="s">
        <v>82</v>
      </c>
      <c r="L142" s="227" t="s">
        <v>83</v>
      </c>
      <c r="M142" s="227" t="s">
        <v>84</v>
      </c>
      <c r="N142" s="227" t="s">
        <v>85</v>
      </c>
      <c r="O142" s="227" t="s">
        <v>86</v>
      </c>
      <c r="P142" s="227" t="s">
        <v>87</v>
      </c>
      <c r="Q142" s="227" t="s">
        <v>88</v>
      </c>
      <c r="R142" s="227" t="s">
        <v>89</v>
      </c>
      <c r="S142" s="227" t="s">
        <v>90</v>
      </c>
      <c r="T142" s="228" t="s">
        <v>178</v>
      </c>
      <c r="U142" s="229" t="s">
        <v>179</v>
      </c>
      <c r="V142" s="229" t="s">
        <v>180</v>
      </c>
    </row>
    <row r="143" customFormat="false" ht="15" hidden="false" customHeight="false" outlineLevel="0" collapsed="false">
      <c r="H143" s="248" t="str">
        <f aca="false">+H37</f>
        <v>DECANIA - PRÉDIO PRINCIPAL CCS E BLOCO N</v>
      </c>
      <c r="I143" s="248" t="str">
        <f aca="false">+I37</f>
        <v>Diurno</v>
      </c>
      <c r="J143" s="249" t="n">
        <f aca="false">ROUND(J37*$F$2,0)</f>
        <v>14730</v>
      </c>
      <c r="K143" s="249" t="n">
        <f aca="false">ROUND(K37*$F$3,0)</f>
        <v>4763</v>
      </c>
      <c r="L143" s="249" t="n">
        <f aca="false">ROUND(L37*$F$4,0)</f>
        <v>168</v>
      </c>
      <c r="M143" s="249" t="n">
        <f aca="false">ROUND(M37*$F$5,0)</f>
        <v>616</v>
      </c>
      <c r="N143" s="249" t="n">
        <f aca="false">ROUND(N37*$F$6,0)</f>
        <v>4</v>
      </c>
      <c r="O143" s="249" t="n">
        <f aca="false">ROUND(O37*$F$7,0)</f>
        <v>3330</v>
      </c>
      <c r="P143" s="249" t="n">
        <f aca="false">ROUND(P37*$F$9,0)</f>
        <v>2100</v>
      </c>
      <c r="Q143" s="249" t="n">
        <f aca="false">ROUND(Q37*$F$10,0)</f>
        <v>1961</v>
      </c>
      <c r="R143" s="249"/>
      <c r="S143" s="249"/>
      <c r="T143" s="250" t="n">
        <f aca="false">SUM(J143:P143)</f>
        <v>25711</v>
      </c>
      <c r="U143" s="235" t="n">
        <f aca="false">(ROUND((+T143/600),0))-V143</f>
        <v>37</v>
      </c>
      <c r="V143" s="235" t="n">
        <f aca="false">(ROUND((+O143/600),0))</f>
        <v>6</v>
      </c>
    </row>
    <row r="144" customFormat="false" ht="15" hidden="false" customHeight="false" outlineLevel="0" collapsed="false">
      <c r="H144" s="251" t="str">
        <f aca="false">+H38</f>
        <v>DECANIA - PRÉDIO PRINCIPAL CCS E BLOCO N</v>
      </c>
      <c r="I144" s="251" t="str">
        <f aca="false">+I38</f>
        <v>Vespertino</v>
      </c>
      <c r="J144" s="252" t="n">
        <f aca="false">ROUND(J38*$F$2,0)</f>
        <v>4286</v>
      </c>
      <c r="K144" s="252" t="n">
        <f aca="false">ROUND(K38*$F$3,0)</f>
        <v>2564</v>
      </c>
      <c r="L144" s="252" t="n">
        <f aca="false">ROUND(L38*$F$4,0)</f>
        <v>0</v>
      </c>
      <c r="M144" s="252" t="n">
        <f aca="false">ROUND(M38*$F$5,0)</f>
        <v>0</v>
      </c>
      <c r="N144" s="252" t="n">
        <f aca="false">ROUND(N38*$F$6,0)</f>
        <v>0</v>
      </c>
      <c r="O144" s="252" t="n">
        <f aca="false">ROUND(O38*$F$7,0)</f>
        <v>3330</v>
      </c>
      <c r="P144" s="252" t="n">
        <f aca="false">ROUND(P38*$F$9,0)</f>
        <v>0</v>
      </c>
      <c r="Q144" s="252" t="n">
        <f aca="false">ROUND(Q38*$F$10,0)</f>
        <v>0</v>
      </c>
      <c r="R144" s="252"/>
      <c r="S144" s="252"/>
      <c r="T144" s="253" t="n">
        <f aca="false">SUM(J144:P144)</f>
        <v>10180</v>
      </c>
      <c r="U144" s="242" t="n">
        <f aca="false">(ROUND((+T144/600),0))-V144</f>
        <v>11</v>
      </c>
      <c r="V144" s="242" t="n">
        <f aca="false">(ROUND((+O144/600),0))</f>
        <v>6</v>
      </c>
    </row>
    <row r="145" customFormat="false" ht="15.75" hidden="false" customHeight="false" outlineLevel="0" collapsed="false">
      <c r="H145" s="254"/>
      <c r="I145" s="255"/>
      <c r="J145" s="256"/>
      <c r="K145" s="256"/>
      <c r="L145" s="256"/>
      <c r="M145" s="256"/>
      <c r="N145" s="256"/>
      <c r="O145" s="256"/>
      <c r="P145" s="256"/>
      <c r="Q145" s="256"/>
      <c r="R145" s="256"/>
      <c r="S145" s="256"/>
      <c r="T145" s="257"/>
      <c r="U145" s="258"/>
      <c r="V145" s="259"/>
    </row>
    <row r="146" customFormat="false" ht="15.75" hidden="false" customHeight="false" outlineLevel="0" collapsed="false">
      <c r="H146" s="59"/>
      <c r="I146" s="59"/>
      <c r="J146" s="244"/>
      <c r="K146" s="244"/>
      <c r="L146" s="244"/>
      <c r="M146" s="244"/>
      <c r="N146" s="244"/>
      <c r="O146" s="244"/>
      <c r="P146" s="244"/>
      <c r="Q146" s="244"/>
      <c r="R146" s="244"/>
      <c r="S146" s="244"/>
      <c r="T146" s="122"/>
      <c r="U146" s="245" t="n">
        <f aca="false">SUM(U143:U145)</f>
        <v>48</v>
      </c>
      <c r="V146" s="245" t="n">
        <f aca="false">SUM(V143:V145)</f>
        <v>12</v>
      </c>
    </row>
    <row r="147" customFormat="false" ht="15.75" hidden="false" customHeight="false" outlineLevel="0" collapsed="false">
      <c r="H147" s="59"/>
      <c r="I147" s="59"/>
      <c r="J147" s="244"/>
      <c r="K147" s="244"/>
      <c r="L147" s="244"/>
      <c r="M147" s="244"/>
      <c r="N147" s="244"/>
      <c r="O147" s="244"/>
      <c r="P147" s="244"/>
      <c r="Q147" s="244"/>
      <c r="R147" s="244"/>
      <c r="S147" s="244"/>
      <c r="T147" s="122"/>
      <c r="U147" s="246"/>
      <c r="V147" s="246"/>
    </row>
    <row r="148" customFormat="false" ht="15" hidden="false" customHeight="false" outlineLevel="0" collapsed="false">
      <c r="H148" s="247" t="s">
        <v>175</v>
      </c>
      <c r="I148" s="247"/>
      <c r="J148" s="247"/>
      <c r="K148" s="247"/>
      <c r="L148" s="247"/>
      <c r="M148" s="247"/>
      <c r="N148" s="247"/>
      <c r="O148" s="247"/>
      <c r="P148" s="247"/>
      <c r="Q148" s="247"/>
      <c r="R148" s="247"/>
      <c r="S148" s="247"/>
      <c r="T148" s="247"/>
      <c r="U148" s="247"/>
      <c r="V148" s="247"/>
    </row>
    <row r="149" customFormat="false" ht="15" hidden="false" customHeight="false" outlineLevel="0" collapsed="false">
      <c r="H149" s="223" t="s">
        <v>176</v>
      </c>
      <c r="I149" s="223"/>
      <c r="J149" s="223"/>
      <c r="K149" s="223"/>
      <c r="L149" s="223"/>
      <c r="M149" s="223"/>
      <c r="N149" s="223"/>
      <c r="O149" s="223"/>
      <c r="P149" s="223"/>
      <c r="Q149" s="223"/>
      <c r="R149" s="223"/>
      <c r="S149" s="223"/>
      <c r="T149" s="223"/>
      <c r="U149" s="223"/>
      <c r="V149" s="223"/>
    </row>
    <row r="150" customFormat="false" ht="15.75" hidden="false" customHeight="true" outlineLevel="0" collapsed="false">
      <c r="H150" s="224" t="s">
        <v>177</v>
      </c>
      <c r="I150" s="224"/>
      <c r="J150" s="224"/>
      <c r="K150" s="224"/>
      <c r="L150" s="224"/>
      <c r="M150" s="224"/>
      <c r="N150" s="224"/>
      <c r="O150" s="224"/>
      <c r="P150" s="224"/>
      <c r="Q150" s="224"/>
      <c r="R150" s="224"/>
      <c r="S150" s="224"/>
      <c r="T150" s="224"/>
      <c r="U150" s="224"/>
      <c r="V150" s="224"/>
    </row>
    <row r="151" customFormat="false" ht="34.5" hidden="false" customHeight="false" outlineLevel="0" collapsed="false">
      <c r="H151" s="225" t="s">
        <v>79</v>
      </c>
      <c r="I151" s="226" t="s">
        <v>80</v>
      </c>
      <c r="J151" s="227" t="s">
        <v>81</v>
      </c>
      <c r="K151" s="227" t="s">
        <v>82</v>
      </c>
      <c r="L151" s="227" t="s">
        <v>83</v>
      </c>
      <c r="M151" s="227" t="s">
        <v>135</v>
      </c>
      <c r="N151" s="227" t="s">
        <v>85</v>
      </c>
      <c r="O151" s="227" t="s">
        <v>86</v>
      </c>
      <c r="P151" s="227" t="s">
        <v>87</v>
      </c>
      <c r="Q151" s="227" t="s">
        <v>88</v>
      </c>
      <c r="R151" s="227" t="s">
        <v>89</v>
      </c>
      <c r="S151" s="227" t="s">
        <v>90</v>
      </c>
      <c r="T151" s="228" t="s">
        <v>178</v>
      </c>
      <c r="U151" s="229" t="s">
        <v>179</v>
      </c>
      <c r="V151" s="229" t="s">
        <v>180</v>
      </c>
    </row>
    <row r="152" customFormat="false" ht="15" hidden="false" customHeight="false" outlineLevel="0" collapsed="false">
      <c r="H152" s="248" t="str">
        <f aca="false">+H50</f>
        <v>FACULDADE DE ODONTOLOGIA (FO) PRÉDIO CCS</v>
      </c>
      <c r="I152" s="248" t="str">
        <f aca="false">+I50</f>
        <v>Diurno</v>
      </c>
      <c r="J152" s="249" t="n">
        <f aca="false">ROUND(J50*$F$2,0)</f>
        <v>86</v>
      </c>
      <c r="K152" s="249" t="n">
        <f aca="false">ROUND(K50*$F$3,0)</f>
        <v>0</v>
      </c>
      <c r="L152" s="249" t="n">
        <f aca="false">ROUND(L50*$F$4,0)</f>
        <v>0</v>
      </c>
      <c r="M152" s="249" t="n">
        <f aca="false">ROUND(M50*$F$8,0)</f>
        <v>0</v>
      </c>
      <c r="N152" s="249" t="n">
        <f aca="false">ROUND(N50*$F$6,0)</f>
        <v>0</v>
      </c>
      <c r="O152" s="249" t="n">
        <f aca="false">ROUND(O50*$F$7,0)</f>
        <v>0</v>
      </c>
      <c r="P152" s="249" t="n">
        <f aca="false">ROUND(P50*$F$9,0)</f>
        <v>0</v>
      </c>
      <c r="Q152" s="249" t="n">
        <f aca="false">ROUND(Q50*$F$10,0)</f>
        <v>0</v>
      </c>
      <c r="R152" s="249"/>
      <c r="S152" s="249"/>
      <c r="T152" s="250" t="n">
        <f aca="false">SUM(J152:P152)</f>
        <v>86</v>
      </c>
      <c r="U152" s="235" t="n">
        <f aca="false">(ROUND((+T152/600),0))-V152</f>
        <v>0</v>
      </c>
      <c r="V152" s="260"/>
    </row>
    <row r="153" customFormat="false" ht="15" hidden="false" customHeight="false" outlineLevel="0" collapsed="false">
      <c r="H153" s="251" t="str">
        <f aca="false">+H51</f>
        <v>FACULDADE DE ODONTOLOGIA (FO) PRÉDIO PRÓPRIO</v>
      </c>
      <c r="I153" s="251" t="str">
        <f aca="false">+I51</f>
        <v>Diurno</v>
      </c>
      <c r="J153" s="252" t="n">
        <f aca="false">ROUND(J51*$F$2,0)</f>
        <v>679</v>
      </c>
      <c r="K153" s="252" t="n">
        <f aca="false">ROUND(K51*$F$3,0)</f>
        <v>573</v>
      </c>
      <c r="L153" s="252" t="n">
        <f aca="false">ROUND(L51*$F$4,0)</f>
        <v>46</v>
      </c>
      <c r="M153" s="252" t="n">
        <f aca="false">ROUND(M51*$F$8,0)</f>
        <v>2819</v>
      </c>
      <c r="N153" s="252" t="n">
        <f aca="false">ROUND(N51*$F$6,0)</f>
        <v>4</v>
      </c>
      <c r="O153" s="252" t="n">
        <f aca="false">ROUND(O51*$F$7,0)</f>
        <v>600</v>
      </c>
      <c r="P153" s="252" t="n">
        <f aca="false">ROUND(P51*$F$9,0)</f>
        <v>112</v>
      </c>
      <c r="Q153" s="252" t="n">
        <f aca="false">ROUND(Q51*$F$10,0)</f>
        <v>208</v>
      </c>
      <c r="R153" s="252"/>
      <c r="S153" s="252"/>
      <c r="T153" s="253" t="n">
        <f aca="false">SUM(J153:P153)</f>
        <v>4833</v>
      </c>
      <c r="U153" s="242" t="n">
        <f aca="false">(ROUNDUP((+T153/600),0))-V153</f>
        <v>8</v>
      </c>
      <c r="V153" s="242" t="n">
        <f aca="false">(ROUND((+O153/600),0))</f>
        <v>1</v>
      </c>
    </row>
    <row r="154" customFormat="false" ht="15" hidden="false" customHeight="false" outlineLevel="0" collapsed="false">
      <c r="H154" s="251" t="str">
        <f aca="false">+H52</f>
        <v>INSTITUTO DE CIÊNCIAS BIOMÉDICAS - ICB - Área de Anatomia Humana</v>
      </c>
      <c r="I154" s="251" t="str">
        <f aca="false">+I52</f>
        <v>Diurno</v>
      </c>
      <c r="J154" s="252" t="n">
        <f aca="false">ROUND(J52*$F$2,0)</f>
        <v>0</v>
      </c>
      <c r="K154" s="252" t="n">
        <f aca="false">ROUND(K52*$F$3,0)</f>
        <v>0</v>
      </c>
      <c r="L154" s="252" t="n">
        <f aca="false">ROUND(L52*$F$4,0)</f>
        <v>0</v>
      </c>
      <c r="M154" s="252" t="n">
        <f aca="false">ROUND(M52*$F$8,0)</f>
        <v>446</v>
      </c>
      <c r="N154" s="252" t="n">
        <f aca="false">ROUND(N52*$F$6,0)</f>
        <v>0</v>
      </c>
      <c r="O154" s="252" t="n">
        <f aca="false">ROUND(O52*$F$7,0)</f>
        <v>0</v>
      </c>
      <c r="P154" s="252" t="n">
        <f aca="false">ROUND(P52*$F$9,0)</f>
        <v>0</v>
      </c>
      <c r="Q154" s="252" t="n">
        <f aca="false">ROUND(Q52*$F$10,0)</f>
        <v>0</v>
      </c>
      <c r="R154" s="252"/>
      <c r="S154" s="252"/>
      <c r="T154" s="253" t="n">
        <f aca="false">SUM(J154:P154)</f>
        <v>446</v>
      </c>
      <c r="U154" s="242" t="n">
        <f aca="false">(ROUND((+T154/600),0))-V154</f>
        <v>1</v>
      </c>
      <c r="V154" s="242" t="n">
        <f aca="false">(ROUND((+O154/600),0))</f>
        <v>0</v>
      </c>
    </row>
    <row r="155" customFormat="false" ht="15.75" hidden="false" customHeight="false" outlineLevel="0" collapsed="false">
      <c r="H155" s="59"/>
      <c r="I155" s="59"/>
      <c r="J155" s="244"/>
      <c r="K155" s="244"/>
      <c r="L155" s="244"/>
      <c r="M155" s="244"/>
      <c r="N155" s="244"/>
      <c r="O155" s="244"/>
      <c r="P155" s="244"/>
      <c r="Q155" s="244"/>
      <c r="R155" s="244"/>
      <c r="S155" s="244"/>
      <c r="T155" s="122"/>
      <c r="U155" s="245" t="n">
        <f aca="false">SUM(U152:U154)</f>
        <v>9</v>
      </c>
      <c r="V155" s="245" t="n">
        <f aca="false">SUM(V152:V154)</f>
        <v>1</v>
      </c>
    </row>
    <row r="156" customFormat="false" ht="15" hidden="false" customHeight="false" outlineLevel="0" collapsed="false">
      <c r="H156" s="59"/>
      <c r="I156" s="59"/>
      <c r="J156" s="244"/>
      <c r="K156" s="244"/>
      <c r="L156" s="244"/>
      <c r="M156" s="244"/>
      <c r="N156" s="244"/>
      <c r="O156" s="244"/>
      <c r="P156" s="244"/>
      <c r="Q156" s="244"/>
      <c r="R156" s="244"/>
      <c r="S156" s="244"/>
      <c r="T156" s="122"/>
      <c r="U156" s="246"/>
      <c r="V156" s="246"/>
    </row>
    <row r="157" customFormat="false" ht="15" hidden="false" customHeight="false" outlineLevel="0" collapsed="false">
      <c r="H157" s="59"/>
      <c r="I157" s="59"/>
      <c r="J157" s="244"/>
      <c r="K157" s="244"/>
      <c r="L157" s="244"/>
      <c r="M157" s="244"/>
      <c r="N157" s="244"/>
      <c r="O157" s="244"/>
      <c r="P157" s="244"/>
      <c r="Q157" s="244"/>
      <c r="R157" s="244"/>
      <c r="S157" s="244"/>
      <c r="T157" s="122"/>
      <c r="U157" s="246"/>
      <c r="V157" s="246"/>
    </row>
    <row r="158" customFormat="false" ht="15" hidden="false" customHeight="false" outlineLevel="0" collapsed="false">
      <c r="H158" s="59"/>
      <c r="I158" s="59"/>
      <c r="J158" s="244"/>
      <c r="K158" s="244"/>
      <c r="L158" s="244"/>
      <c r="M158" s="244"/>
      <c r="N158" s="244"/>
      <c r="O158" s="244"/>
      <c r="P158" s="244"/>
      <c r="Q158" s="244"/>
      <c r="R158" s="244"/>
      <c r="S158" s="244"/>
      <c r="T158" s="122"/>
      <c r="U158" s="246"/>
      <c r="V158" s="246"/>
    </row>
    <row r="159" customFormat="false" ht="15" hidden="false" customHeight="false" outlineLevel="0" collapsed="false">
      <c r="H159" s="59"/>
      <c r="I159" s="59"/>
      <c r="J159" s="244"/>
      <c r="K159" s="244"/>
      <c r="L159" s="244"/>
      <c r="M159" s="244"/>
      <c r="N159" s="244"/>
      <c r="O159" s="244"/>
      <c r="P159" s="244"/>
      <c r="Q159" s="244"/>
      <c r="R159" s="244"/>
      <c r="S159" s="244"/>
      <c r="T159" s="122"/>
      <c r="U159" s="246"/>
      <c r="V159" s="246"/>
    </row>
    <row r="160" customFormat="false" ht="15" hidden="false" customHeight="false" outlineLevel="0" collapsed="false">
      <c r="H160" s="59"/>
      <c r="I160" s="59"/>
      <c r="J160" s="244"/>
      <c r="K160" s="244"/>
      <c r="L160" s="244"/>
      <c r="M160" s="244"/>
      <c r="N160" s="244"/>
      <c r="O160" s="244"/>
      <c r="P160" s="244"/>
      <c r="Q160" s="244"/>
      <c r="R160" s="244"/>
      <c r="S160" s="244"/>
      <c r="T160" s="122"/>
      <c r="U160" s="246"/>
      <c r="V160" s="246"/>
    </row>
    <row r="161" customFormat="false" ht="15" hidden="false" customHeight="false" outlineLevel="0" collapsed="false">
      <c r="H161" s="59"/>
      <c r="I161" s="59"/>
      <c r="J161" s="244"/>
      <c r="K161" s="244"/>
      <c r="L161" s="244"/>
      <c r="M161" s="244"/>
      <c r="N161" s="244"/>
      <c r="O161" s="244"/>
      <c r="P161" s="244"/>
      <c r="Q161" s="244"/>
      <c r="R161" s="244"/>
      <c r="S161" s="244"/>
      <c r="T161" s="122"/>
      <c r="U161" s="246"/>
      <c r="V161" s="246"/>
    </row>
    <row r="162" customFormat="false" ht="15" hidden="false" customHeight="false" outlineLevel="0" collapsed="false">
      <c r="H162" s="59"/>
      <c r="I162" s="59"/>
      <c r="J162" s="244"/>
      <c r="K162" s="244"/>
      <c r="L162" s="244"/>
      <c r="M162" s="244"/>
      <c r="N162" s="244"/>
      <c r="O162" s="244"/>
      <c r="P162" s="244"/>
      <c r="Q162" s="244"/>
      <c r="R162" s="244"/>
      <c r="S162" s="244"/>
      <c r="T162" s="122"/>
      <c r="U162" s="132"/>
      <c r="V162" s="205"/>
    </row>
    <row r="163" customFormat="false" ht="15" hidden="false" customHeight="false" outlineLevel="0" collapsed="false">
      <c r="H163" s="59"/>
      <c r="I163" s="59"/>
      <c r="J163" s="244"/>
      <c r="K163" s="59"/>
      <c r="L163" s="59"/>
      <c r="M163" s="59"/>
      <c r="N163" s="261" t="s">
        <v>182</v>
      </c>
      <c r="O163" s="262"/>
      <c r="P163" s="262"/>
      <c r="Q163" s="262"/>
      <c r="R163" s="262"/>
      <c r="S163" s="263"/>
      <c r="T163" s="264" t="n">
        <f aca="false">+S26+R26+Q26+P26+O26+N26+M26+L26+K26+J26</f>
        <v>82815</v>
      </c>
      <c r="U163" s="244"/>
      <c r="V163" s="205"/>
    </row>
    <row r="164" customFormat="false" ht="15" hidden="false" customHeight="true" outlineLevel="0" collapsed="false">
      <c r="H164" s="265" t="s">
        <v>183</v>
      </c>
      <c r="I164" s="265"/>
      <c r="J164" s="266" t="s">
        <v>184</v>
      </c>
      <c r="K164" s="266"/>
      <c r="L164" s="266"/>
      <c r="M164" s="267" t="s">
        <v>185</v>
      </c>
      <c r="N164" s="261" t="s">
        <v>186</v>
      </c>
      <c r="O164" s="262"/>
      <c r="P164" s="262"/>
      <c r="Q164" s="262"/>
      <c r="R164" s="262"/>
      <c r="S164" s="263"/>
      <c r="T164" s="264" t="n">
        <f aca="false">SUM(T120:T136)</f>
        <v>36260</v>
      </c>
      <c r="U164" s="132"/>
      <c r="V164" s="205"/>
    </row>
    <row r="165" customFormat="false" ht="15" hidden="false" customHeight="false" outlineLevel="0" collapsed="false">
      <c r="H165" s="29"/>
      <c r="I165" s="29"/>
      <c r="J165" s="268" t="s">
        <v>187</v>
      </c>
      <c r="K165" s="266" t="s">
        <v>188</v>
      </c>
      <c r="L165" s="269" t="s">
        <v>189</v>
      </c>
      <c r="M165" s="267"/>
      <c r="N165" s="261" t="s">
        <v>190</v>
      </c>
      <c r="O165" s="262"/>
      <c r="P165" s="262"/>
      <c r="Q165" s="262"/>
      <c r="R165" s="262"/>
      <c r="S165" s="263"/>
      <c r="T165" s="270"/>
      <c r="U165" s="271" t="n">
        <f aca="false">ROUND(((U155+V155+U146+V146+U137+V137)/30),0)</f>
        <v>4</v>
      </c>
      <c r="V165" s="205"/>
    </row>
    <row r="166" customFormat="false" ht="15" hidden="false" customHeight="false" outlineLevel="0" collapsed="false">
      <c r="H166" s="272" t="str">
        <f aca="false">+H120</f>
        <v>FACULDADE DE FARMÁCIA - FF</v>
      </c>
      <c r="I166" s="273" t="str">
        <f aca="false">+I120</f>
        <v>Diurno</v>
      </c>
      <c r="J166" s="274" t="n">
        <f aca="false">+U120</f>
        <v>5</v>
      </c>
      <c r="K166" s="274" t="n">
        <f aca="false">+V120</f>
        <v>1</v>
      </c>
      <c r="L166" s="275"/>
      <c r="M166" s="276" t="n">
        <f aca="false">+K167+J167+J166+K166</f>
        <v>8</v>
      </c>
      <c r="N166" s="277"/>
      <c r="O166" s="277"/>
      <c r="P166" s="277"/>
      <c r="Q166" s="277"/>
      <c r="R166" s="277"/>
      <c r="S166" s="277"/>
      <c r="T166" s="278" t="s">
        <v>191</v>
      </c>
      <c r="U166" s="279" t="s">
        <v>192</v>
      </c>
      <c r="V166" s="205"/>
    </row>
    <row r="167" customFormat="false" ht="15" hidden="false" customHeight="false" outlineLevel="0" collapsed="false">
      <c r="H167" s="272" t="str">
        <f aca="false">+H121</f>
        <v>FACULDADE DE FARMÁCIA - FF</v>
      </c>
      <c r="I167" s="273" t="str">
        <f aca="false">+I121</f>
        <v>Vespertino</v>
      </c>
      <c r="J167" s="274" t="n">
        <f aca="false">+U121</f>
        <v>1</v>
      </c>
      <c r="K167" s="274" t="n">
        <f aca="false">+V121</f>
        <v>1</v>
      </c>
      <c r="L167" s="275"/>
      <c r="M167" s="276"/>
      <c r="N167" s="262" t="s">
        <v>193</v>
      </c>
      <c r="O167" s="262"/>
      <c r="P167" s="262"/>
      <c r="Q167" s="262"/>
      <c r="R167" s="262"/>
      <c r="S167" s="263"/>
      <c r="T167" s="280" t="n">
        <f aca="false">+Insumo_LOTE_I!J103</f>
        <v>0</v>
      </c>
      <c r="U167" s="280" t="n">
        <f aca="false">ROUND(T167/(U137+V137+U146+V146),2)</f>
        <v>0</v>
      </c>
      <c r="V167" s="205"/>
    </row>
    <row r="168" customFormat="false" ht="15" hidden="false" customHeight="false" outlineLevel="0" collapsed="false">
      <c r="H168" s="281" t="str">
        <f aca="false">+H122</f>
        <v>INSTITUTO DE BIOFÍSICA - IBCCF</v>
      </c>
      <c r="I168" s="282" t="str">
        <f aca="false">+I122</f>
        <v>Diurno</v>
      </c>
      <c r="J168" s="283" t="n">
        <f aca="false">+U122</f>
        <v>9</v>
      </c>
      <c r="K168" s="283" t="n">
        <f aca="false">+V122</f>
        <v>1</v>
      </c>
      <c r="L168" s="284"/>
      <c r="M168" s="285" t="n">
        <f aca="false">+J168+K168</f>
        <v>10</v>
      </c>
      <c r="N168" s="59"/>
      <c r="O168" s="59"/>
      <c r="P168" s="59"/>
      <c r="Q168" s="59"/>
      <c r="R168" s="59"/>
      <c r="S168" s="59"/>
      <c r="T168" s="59"/>
      <c r="U168" s="59"/>
      <c r="V168" s="205"/>
    </row>
    <row r="169" customFormat="false" ht="15" hidden="false" customHeight="false" outlineLevel="0" collapsed="false">
      <c r="H169" s="272" t="str">
        <f aca="false">+H123</f>
        <v>INSTITUTO DE BIOLOGIA - IB</v>
      </c>
      <c r="I169" s="273" t="str">
        <f aca="false">+I123</f>
        <v>Diurno</v>
      </c>
      <c r="J169" s="274" t="n">
        <f aca="false">+U123</f>
        <v>5</v>
      </c>
      <c r="K169" s="274" t="n">
        <f aca="false">+V123</f>
        <v>1</v>
      </c>
      <c r="L169" s="275"/>
      <c r="M169" s="276" t="n">
        <f aca="false">+K170+J170+J169+K169</f>
        <v>7</v>
      </c>
      <c r="N169" s="59"/>
      <c r="O169" s="59"/>
      <c r="P169" s="59"/>
      <c r="Q169" s="59"/>
      <c r="R169" s="261" t="s">
        <v>194</v>
      </c>
      <c r="S169" s="262"/>
      <c r="T169" s="263"/>
      <c r="U169" s="280" t="n">
        <f aca="false">+U170/T163</f>
        <v>0.000493751132041297</v>
      </c>
      <c r="V169" s="205"/>
    </row>
    <row r="170" customFormat="false" ht="15" hidden="false" customHeight="false" outlineLevel="0" collapsed="false">
      <c r="H170" s="272" t="str">
        <f aca="false">+H124</f>
        <v>INSTITUTO DE BIOLOGIA - IB</v>
      </c>
      <c r="I170" s="273" t="str">
        <f aca="false">+I124</f>
        <v>Vespertino</v>
      </c>
      <c r="J170" s="274" t="n">
        <f aca="false">+U124</f>
        <v>0</v>
      </c>
      <c r="K170" s="274" t="n">
        <f aca="false">+V124</f>
        <v>1</v>
      </c>
      <c r="L170" s="275"/>
      <c r="M170" s="276"/>
      <c r="N170" s="59"/>
      <c r="O170" s="59"/>
      <c r="P170" s="59"/>
      <c r="Q170" s="59"/>
      <c r="R170" s="261" t="s">
        <v>195</v>
      </c>
      <c r="S170" s="263"/>
      <c r="T170" s="153"/>
      <c r="U170" s="286" t="n">
        <f aca="false">+T26+T53+T40</f>
        <v>40.89</v>
      </c>
      <c r="V170" s="205"/>
    </row>
    <row r="171" customFormat="false" ht="15" hidden="false" customHeight="false" outlineLevel="0" collapsed="false">
      <c r="H171" s="281" t="str">
        <f aca="false">+H125</f>
        <v>CENTRO NACIONAL DE IDENTIFICÇÃO MOLECULAR DO PESCADO - CENIMP</v>
      </c>
      <c r="I171" s="282" t="str">
        <f aca="false">+I125</f>
        <v>Diurno</v>
      </c>
      <c r="J171" s="283" t="n">
        <f aca="false">+U125</f>
        <v>1</v>
      </c>
      <c r="K171" s="283" t="n">
        <f aca="false">+V125</f>
        <v>0</v>
      </c>
      <c r="L171" s="284"/>
      <c r="M171" s="285" t="n">
        <f aca="false">+K171+J171</f>
        <v>1</v>
      </c>
      <c r="N171" s="59"/>
      <c r="O171" s="59"/>
      <c r="P171" s="59"/>
      <c r="Q171" s="59"/>
      <c r="R171" s="261" t="s">
        <v>196</v>
      </c>
      <c r="S171" s="263"/>
      <c r="T171" s="153"/>
      <c r="U171" s="286" t="n">
        <f aca="false">+U170*12</f>
        <v>490.68</v>
      </c>
      <c r="V171" s="205"/>
    </row>
    <row r="172" customFormat="false" ht="15" hidden="false" customHeight="false" outlineLevel="0" collapsed="false">
      <c r="H172" s="272" t="str">
        <f aca="false">+H126</f>
        <v>INSITUTO DE BIOQUÍMICA - IBqM</v>
      </c>
      <c r="I172" s="273" t="str">
        <f aca="false">+I126</f>
        <v>Diurno</v>
      </c>
      <c r="J172" s="274" t="n">
        <f aca="false">+U126</f>
        <v>5</v>
      </c>
      <c r="K172" s="274" t="n">
        <f aca="false">+V126</f>
        <v>0</v>
      </c>
      <c r="L172" s="275"/>
      <c r="M172" s="276" t="n">
        <f aca="false">+K172+J172</f>
        <v>5</v>
      </c>
      <c r="N172" s="59"/>
      <c r="O172" s="59"/>
      <c r="P172" s="59"/>
      <c r="Q172" s="59"/>
      <c r="R172" s="261" t="s">
        <v>197</v>
      </c>
      <c r="S172" s="263"/>
      <c r="T172" s="153"/>
      <c r="U172" s="287" t="n">
        <f aca="false">+T167/U170</f>
        <v>0</v>
      </c>
      <c r="V172" s="205"/>
    </row>
    <row r="173" customFormat="false" ht="14.25" hidden="false" customHeight="true" outlineLevel="0" collapsed="false">
      <c r="H173" s="281" t="str">
        <f aca="false">+H127</f>
        <v>INSTITUTO DE CIÊNCIAS BIOMÉDICAS - ANEXO - ICB</v>
      </c>
      <c r="I173" s="282" t="str">
        <f aca="false">+I127</f>
        <v>Diurno</v>
      </c>
      <c r="J173" s="283" t="n">
        <f aca="false">+U127</f>
        <v>3</v>
      </c>
      <c r="K173" s="283" t="n">
        <f aca="false">+V127</f>
        <v>1</v>
      </c>
      <c r="L173" s="284"/>
      <c r="M173" s="285" t="n">
        <f aca="false">+J174+K174+K173+J173+J175</f>
        <v>10</v>
      </c>
      <c r="N173" s="59"/>
      <c r="O173" s="59"/>
      <c r="P173" s="59"/>
      <c r="Q173" s="59"/>
      <c r="R173" s="59"/>
      <c r="S173" s="59"/>
      <c r="T173" s="59"/>
      <c r="U173" s="205"/>
      <c r="V173" s="205"/>
    </row>
    <row r="174" customFormat="false" ht="15" hidden="false" customHeight="false" outlineLevel="0" collapsed="false">
      <c r="H174" s="281" t="str">
        <f aca="false">+H128</f>
        <v>INSTITUTO DE CIÊNCIAS BIOMÉDICAS - ICB</v>
      </c>
      <c r="I174" s="282" t="str">
        <f aca="false">+I128</f>
        <v>Diurno</v>
      </c>
      <c r="J174" s="283" t="n">
        <f aca="false">+U128</f>
        <v>4</v>
      </c>
      <c r="K174" s="283" t="n">
        <f aca="false">+V128</f>
        <v>1</v>
      </c>
      <c r="L174" s="284"/>
      <c r="M174" s="285"/>
      <c r="N174" s="59"/>
      <c r="O174" s="59"/>
      <c r="P174" s="153" t="s">
        <v>198</v>
      </c>
      <c r="Q174" s="153"/>
      <c r="R174" s="153"/>
      <c r="S174" s="153"/>
      <c r="T174" s="153"/>
      <c r="U174" s="252" t="n">
        <f aca="false">+U137</f>
        <v>54</v>
      </c>
      <c r="V174" s="205"/>
      <c r="W174" s="205"/>
    </row>
    <row r="175" customFormat="false" ht="15" hidden="false" customHeight="false" outlineLevel="0" collapsed="false">
      <c r="H175" s="288" t="str">
        <f aca="false">+H154</f>
        <v>INSTITUTO DE CIÊNCIAS BIOMÉDICAS - ICB - Área de Anatomia Humana</v>
      </c>
      <c r="I175" s="281" t="str">
        <f aca="false">+I154</f>
        <v>Diurno</v>
      </c>
      <c r="J175" s="289" t="n">
        <f aca="false">+U154</f>
        <v>1</v>
      </c>
      <c r="K175" s="290"/>
      <c r="L175" s="291"/>
      <c r="M175" s="285"/>
      <c r="N175" s="59"/>
      <c r="O175" s="59"/>
      <c r="P175" s="153" t="s">
        <v>199</v>
      </c>
      <c r="Q175" s="153"/>
      <c r="R175" s="153"/>
      <c r="S175" s="153"/>
      <c r="T175" s="153"/>
      <c r="U175" s="252" t="n">
        <f aca="false">+V137</f>
        <v>8</v>
      </c>
      <c r="V175" s="205"/>
      <c r="W175" s="205"/>
    </row>
    <row r="176" customFormat="false" ht="15" hidden="false" customHeight="false" outlineLevel="0" collapsed="false">
      <c r="H176" s="272" t="str">
        <f aca="false">+H129</f>
        <v>INSTITUTO DE MICROBIOLOGIA - IMPPG</v>
      </c>
      <c r="I176" s="273" t="str">
        <f aca="false">+I129</f>
        <v>Diurno</v>
      </c>
      <c r="J176" s="274" t="n">
        <f aca="false">+U129</f>
        <v>7</v>
      </c>
      <c r="K176" s="274" t="n">
        <f aca="false">+V129</f>
        <v>1</v>
      </c>
      <c r="L176" s="274"/>
      <c r="M176" s="276" t="n">
        <f aca="false">+K176+J176</f>
        <v>8</v>
      </c>
      <c r="N176" s="59"/>
      <c r="O176" s="59"/>
      <c r="P176" s="153" t="s">
        <v>200</v>
      </c>
      <c r="Q176" s="153"/>
      <c r="R176" s="153"/>
      <c r="S176" s="153"/>
      <c r="T176" s="153"/>
      <c r="U176" s="252" t="n">
        <f aca="false">+U146</f>
        <v>48</v>
      </c>
      <c r="V176" s="205"/>
      <c r="W176" s="205"/>
    </row>
    <row r="177" customFormat="false" ht="15" hidden="false" customHeight="false" outlineLevel="0" collapsed="false">
      <c r="H177" s="281" t="str">
        <f aca="false">+H130</f>
        <v>INSTITUTO DE NUTRIÇÃO - INJC</v>
      </c>
      <c r="I177" s="282" t="str">
        <f aca="false">+I130</f>
        <v>Diurno</v>
      </c>
      <c r="J177" s="283" t="n">
        <f aca="false">+U130</f>
        <v>3</v>
      </c>
      <c r="K177" s="283" t="n">
        <f aca="false">+V130</f>
        <v>0</v>
      </c>
      <c r="L177" s="283"/>
      <c r="M177" s="292" t="n">
        <f aca="false">+J178+J177+K178+K177</f>
        <v>5</v>
      </c>
      <c r="N177" s="59"/>
      <c r="O177" s="59"/>
      <c r="P177" s="153" t="s">
        <v>201</v>
      </c>
      <c r="Q177" s="153"/>
      <c r="R177" s="153"/>
      <c r="S177" s="153"/>
      <c r="T177" s="153"/>
      <c r="U177" s="252" t="n">
        <f aca="false">+V146</f>
        <v>12</v>
      </c>
      <c r="V177" s="205"/>
      <c r="W177" s="205"/>
    </row>
    <row r="178" customFormat="false" ht="15" hidden="false" customHeight="false" outlineLevel="0" collapsed="false">
      <c r="H178" s="281" t="str">
        <f aca="false">+H131</f>
        <v>INSTITUTO DE NUTRIÇÃO - INJC</v>
      </c>
      <c r="I178" s="282" t="str">
        <f aca="false">+I131</f>
        <v>Vespertino</v>
      </c>
      <c r="J178" s="283" t="n">
        <f aca="false">+U131</f>
        <v>2</v>
      </c>
      <c r="K178" s="283" t="n">
        <f aca="false">+V131</f>
        <v>0</v>
      </c>
      <c r="L178" s="283"/>
      <c r="M178" s="293"/>
      <c r="N178" s="59"/>
      <c r="O178" s="59"/>
      <c r="P178" s="153" t="s">
        <v>202</v>
      </c>
      <c r="Q178" s="153"/>
      <c r="R178" s="153"/>
      <c r="S178" s="153"/>
      <c r="T178" s="153"/>
      <c r="U178" s="252" t="n">
        <f aca="false">+U155</f>
        <v>9</v>
      </c>
      <c r="V178" s="205"/>
      <c r="W178" s="205"/>
    </row>
    <row r="179" customFormat="false" ht="15" hidden="false" customHeight="false" outlineLevel="0" collapsed="false">
      <c r="H179" s="272" t="str">
        <f aca="false">+H132</f>
        <v>NUCLEO DE PESQUISA EM PRODUTOS NATURAIS - INPPN</v>
      </c>
      <c r="I179" s="273" t="str">
        <f aca="false">+I132</f>
        <v>Diurno</v>
      </c>
      <c r="J179" s="274" t="n">
        <f aca="false">+U132</f>
        <v>2</v>
      </c>
      <c r="K179" s="274" t="n">
        <f aca="false">+V132</f>
        <v>0</v>
      </c>
      <c r="L179" s="274"/>
      <c r="M179" s="276" t="n">
        <f aca="false">+J179+K179</f>
        <v>2</v>
      </c>
      <c r="N179" s="59"/>
      <c r="O179" s="59"/>
      <c r="P179" s="153" t="s">
        <v>203</v>
      </c>
      <c r="Q179" s="153"/>
      <c r="R179" s="153"/>
      <c r="S179" s="153"/>
      <c r="T179" s="153"/>
      <c r="U179" s="252" t="n">
        <f aca="false">+V155</f>
        <v>1</v>
      </c>
      <c r="V179" s="205"/>
      <c r="W179" s="205"/>
    </row>
    <row r="180" customFormat="false" ht="15" hidden="false" customHeight="false" outlineLevel="0" collapsed="false">
      <c r="H180" s="281" t="str">
        <f aca="false">+H133</f>
        <v>NÚCLEO DE TEC. EDUCACIONAL PARA A SAÚDE - NUTES</v>
      </c>
      <c r="I180" s="282" t="str">
        <f aca="false">+I133</f>
        <v>Diurno</v>
      </c>
      <c r="J180" s="283" t="n">
        <f aca="false">+U133</f>
        <v>2</v>
      </c>
      <c r="K180" s="283" t="n">
        <f aca="false">+V133</f>
        <v>0</v>
      </c>
      <c r="L180" s="283"/>
      <c r="M180" s="285" t="n">
        <f aca="false">+J180+K180</f>
        <v>2</v>
      </c>
      <c r="N180" s="59"/>
      <c r="O180" s="59"/>
      <c r="P180" s="153" t="s">
        <v>204</v>
      </c>
      <c r="Q180" s="153"/>
      <c r="R180" s="153"/>
      <c r="S180" s="153"/>
      <c r="T180" s="153"/>
      <c r="U180" s="252" t="n">
        <f aca="false">+U165</f>
        <v>4</v>
      </c>
      <c r="V180" s="205"/>
      <c r="W180" s="205"/>
    </row>
    <row r="181" customFormat="false" ht="15" hidden="false" customHeight="false" outlineLevel="0" collapsed="false">
      <c r="H181" s="272" t="str">
        <f aca="false">+H134</f>
        <v>ESCOLA DE ENFERMAGEM - PREDIO DO CCS - EEAN</v>
      </c>
      <c r="I181" s="273" t="str">
        <f aca="false">+I134</f>
        <v>Diurno</v>
      </c>
      <c r="J181" s="274" t="n">
        <f aca="false">+U134</f>
        <v>0</v>
      </c>
      <c r="K181" s="274" t="n">
        <f aca="false">+V134</f>
        <v>0</v>
      </c>
      <c r="L181" s="274"/>
      <c r="M181" s="276" t="n">
        <f aca="false">+J181+K181</f>
        <v>0</v>
      </c>
      <c r="N181" s="59"/>
      <c r="O181" s="59"/>
      <c r="P181" s="153" t="s">
        <v>205</v>
      </c>
      <c r="Q181" s="153"/>
      <c r="R181" s="153"/>
      <c r="S181" s="153"/>
      <c r="U181" s="252" t="n">
        <f aca="false">+L57</f>
        <v>8</v>
      </c>
      <c r="V181" s="205"/>
      <c r="W181" s="205"/>
    </row>
    <row r="182" customFormat="false" ht="15" hidden="false" customHeight="false" outlineLevel="0" collapsed="false">
      <c r="H182" s="281" t="str">
        <f aca="false">+H135</f>
        <v>CENTRO NACIONAL DE BIOLOGIA ESTRUTUAL E BIOIMAGEM - CENABIO</v>
      </c>
      <c r="I182" s="282" t="str">
        <f aca="false">+I135</f>
        <v>Diurno</v>
      </c>
      <c r="J182" s="283" t="n">
        <f aca="false">+U135</f>
        <v>5</v>
      </c>
      <c r="K182" s="283" t="n">
        <f aca="false">+V135</f>
        <v>0</v>
      </c>
      <c r="L182" s="283"/>
      <c r="M182" s="285" t="n">
        <f aca="false">+J182+K182</f>
        <v>5</v>
      </c>
      <c r="N182" s="59"/>
      <c r="O182" s="59"/>
      <c r="P182" s="153" t="s">
        <v>206</v>
      </c>
      <c r="Q182" s="153"/>
      <c r="R182" s="153"/>
      <c r="S182" s="153"/>
      <c r="T182" s="153"/>
      <c r="U182" s="252" t="n">
        <f aca="false">SUM(U174:U181)</f>
        <v>144</v>
      </c>
      <c r="V182" s="205"/>
      <c r="W182" s="111"/>
    </row>
    <row r="183" customFormat="false" ht="15" hidden="false" customHeight="false" outlineLevel="0" collapsed="false">
      <c r="H183" s="272" t="str">
        <f aca="false">+H152</f>
        <v>FACULDADE DE ODONTOLOGIA (FO) PRÉDIO CCS</v>
      </c>
      <c r="I183" s="272" t="str">
        <f aca="false">+I152</f>
        <v>Diurno</v>
      </c>
      <c r="J183" s="294" t="n">
        <f aca="false">+U152</f>
        <v>0</v>
      </c>
      <c r="K183" s="294" t="n">
        <f aca="false">+V152</f>
        <v>0</v>
      </c>
      <c r="L183" s="274"/>
      <c r="M183" s="295" t="n">
        <f aca="false">+J184+K184+K183+J183</f>
        <v>9</v>
      </c>
      <c r="V183" s="205"/>
      <c r="W183" s="296"/>
    </row>
    <row r="184" customFormat="false" ht="15" hidden="false" customHeight="false" outlineLevel="0" collapsed="false">
      <c r="H184" s="272" t="str">
        <f aca="false">+H153</f>
        <v>FACULDADE DE ODONTOLOGIA (FO) PRÉDIO PRÓPRIO</v>
      </c>
      <c r="I184" s="272" t="str">
        <f aca="false">+I153</f>
        <v>Diurno</v>
      </c>
      <c r="J184" s="294" t="n">
        <f aca="false">+U153</f>
        <v>8</v>
      </c>
      <c r="K184" s="294" t="n">
        <f aca="false">+V153</f>
        <v>1</v>
      </c>
      <c r="L184" s="297"/>
      <c r="M184" s="298"/>
      <c r="N184" s="59"/>
      <c r="O184" s="59"/>
      <c r="V184" s="205"/>
    </row>
    <row r="185" customFormat="false" ht="15" hidden="false" customHeight="false" outlineLevel="0" collapsed="false">
      <c r="H185" s="281" t="str">
        <f aca="false">+H143</f>
        <v>DECANIA - PRÉDIO PRINCIPAL CCS E BLOCO N</v>
      </c>
      <c r="I185" s="281" t="str">
        <f aca="false">+I143</f>
        <v>Diurno</v>
      </c>
      <c r="J185" s="283" t="n">
        <f aca="false">+U143</f>
        <v>37</v>
      </c>
      <c r="K185" s="283" t="n">
        <f aca="false">+V143</f>
        <v>6</v>
      </c>
      <c r="L185" s="291"/>
      <c r="M185" s="299" t="n">
        <f aca="false">+J186+K186+K185+J185</f>
        <v>60</v>
      </c>
      <c r="N185" s="59"/>
      <c r="O185" s="59"/>
      <c r="P185" s="277"/>
      <c r="Q185" s="277"/>
      <c r="R185" s="277"/>
      <c r="S185" s="277"/>
      <c r="T185" s="277"/>
      <c r="U185" s="244"/>
      <c r="V185" s="205"/>
      <c r="W185" s="111"/>
    </row>
    <row r="186" customFormat="false" ht="15.75" hidden="false" customHeight="false" outlineLevel="0" collapsed="false">
      <c r="H186" s="281" t="str">
        <f aca="false">+H144</f>
        <v>DECANIA - PRÉDIO PRINCIPAL CCS E BLOCO N</v>
      </c>
      <c r="I186" s="281" t="str">
        <f aca="false">+I144</f>
        <v>Vespertino</v>
      </c>
      <c r="J186" s="283" t="n">
        <f aca="false">+U144</f>
        <v>11</v>
      </c>
      <c r="K186" s="283" t="n">
        <f aca="false">+V144</f>
        <v>6</v>
      </c>
      <c r="L186" s="291"/>
      <c r="M186" s="300"/>
      <c r="N186" s="59"/>
      <c r="O186" s="59"/>
      <c r="P186" s="277"/>
      <c r="Q186" s="277"/>
      <c r="R186" s="277"/>
      <c r="S186" s="277"/>
      <c r="T186" s="277"/>
      <c r="U186" s="244"/>
      <c r="V186" s="205"/>
      <c r="W186" s="296"/>
    </row>
    <row r="187" customFormat="false" ht="15" hidden="false" customHeight="true" outlineLevel="0" collapsed="false">
      <c r="K187" s="2"/>
      <c r="N187" s="59"/>
      <c r="O187" s="301" t="s">
        <v>207</v>
      </c>
      <c r="P187" s="301"/>
      <c r="Q187" s="301"/>
      <c r="R187" s="301"/>
      <c r="S187" s="301"/>
      <c r="T187" s="301"/>
      <c r="U187" s="301"/>
      <c r="V187" s="205"/>
    </row>
    <row r="188" customFormat="false" ht="15" hidden="false" customHeight="false" outlineLevel="0" collapsed="false">
      <c r="H188" s="302"/>
      <c r="I188" s="302"/>
      <c r="J188" s="303"/>
      <c r="K188" s="303"/>
      <c r="M188" s="304"/>
      <c r="N188" s="59"/>
      <c r="O188" s="301"/>
      <c r="P188" s="301"/>
      <c r="Q188" s="301"/>
      <c r="R188" s="301"/>
      <c r="S188" s="301"/>
      <c r="T188" s="301"/>
      <c r="U188" s="301"/>
      <c r="V188" s="205"/>
      <c r="W188" s="296"/>
    </row>
    <row r="189" customFormat="false" ht="15.75" hidden="false" customHeight="false" outlineLevel="0" collapsed="false">
      <c r="H189" s="305" t="s">
        <v>208</v>
      </c>
      <c r="I189" s="305"/>
      <c r="J189" s="305"/>
      <c r="K189" s="306" t="n">
        <f aca="false">+V146+V137+V155</f>
        <v>21</v>
      </c>
      <c r="M189" s="304"/>
      <c r="N189" s="59"/>
      <c r="O189" s="301"/>
      <c r="P189" s="301"/>
      <c r="Q189" s="301"/>
      <c r="R189" s="301"/>
      <c r="S189" s="301"/>
      <c r="T189" s="301"/>
      <c r="U189" s="301"/>
      <c r="V189" s="205"/>
    </row>
    <row r="190" customFormat="false" ht="15" hidden="false" customHeight="false" outlineLevel="0" collapsed="false">
      <c r="M190" s="304"/>
      <c r="N190" s="59"/>
      <c r="O190" s="59"/>
      <c r="P190" s="277"/>
      <c r="Q190" s="277"/>
      <c r="R190" s="277"/>
      <c r="S190" s="277"/>
      <c r="T190" s="277"/>
      <c r="U190" s="244"/>
      <c r="V190" s="205"/>
    </row>
    <row r="191" customFormat="false" ht="15" hidden="false" customHeight="false" outlineLevel="0" collapsed="false">
      <c r="H191" s="305" t="s">
        <v>209</v>
      </c>
      <c r="I191" s="305"/>
      <c r="J191" s="305"/>
      <c r="K191" s="306" t="n">
        <f aca="false">+L176</f>
        <v>0</v>
      </c>
      <c r="M191" s="304"/>
      <c r="N191" s="59"/>
      <c r="P191" s="277"/>
      <c r="Q191" s="277"/>
      <c r="R191" s="277"/>
      <c r="S191" s="307" t="s">
        <v>41</v>
      </c>
      <c r="T191" s="308" t="s">
        <v>210</v>
      </c>
      <c r="U191" s="244"/>
      <c r="V191" s="205"/>
    </row>
    <row r="192" customFormat="false" ht="15" hidden="false" customHeight="false" outlineLevel="0" collapsed="false">
      <c r="H192" s="309"/>
      <c r="I192" s="83"/>
      <c r="J192" s="310"/>
      <c r="K192" s="132"/>
      <c r="L192" s="132"/>
      <c r="M192" s="304"/>
      <c r="N192" s="59"/>
      <c r="O192" s="311" t="s">
        <v>211</v>
      </c>
      <c r="P192" s="311"/>
      <c r="Q192" s="311"/>
      <c r="R192" s="311"/>
      <c r="S192" s="312" t="n">
        <f aca="false">ROUND((565/12),2)</f>
        <v>47.08</v>
      </c>
      <c r="T192" s="312" t="n">
        <f aca="false">ROUND(+S192/$U$182,2)</f>
        <v>0.33</v>
      </c>
      <c r="U192" s="244"/>
      <c r="V192" s="205"/>
    </row>
    <row r="193" customFormat="false" ht="15" hidden="false" customHeight="false" outlineLevel="0" collapsed="false">
      <c r="M193" s="313"/>
      <c r="N193" s="205"/>
      <c r="O193" s="311" t="s">
        <v>212</v>
      </c>
      <c r="P193" s="311"/>
      <c r="Q193" s="311"/>
      <c r="R193" s="311"/>
      <c r="S193" s="312" t="n">
        <v>126</v>
      </c>
      <c r="T193" s="312" t="n">
        <f aca="false">ROUND(+S193/$U$182,2)</f>
        <v>0.88</v>
      </c>
      <c r="U193" s="244"/>
      <c r="V193" s="205"/>
    </row>
    <row r="194" customFormat="false" ht="47.25" hidden="false" customHeight="true" outlineLevel="0" collapsed="false">
      <c r="H194" s="8"/>
      <c r="I194" s="8"/>
      <c r="J194" s="8"/>
      <c r="K194" s="8"/>
      <c r="L194" s="8"/>
      <c r="N194" s="8"/>
      <c r="O194" s="314" t="s">
        <v>213</v>
      </c>
      <c r="P194" s="314"/>
      <c r="Q194" s="314"/>
      <c r="R194" s="314"/>
      <c r="S194" s="314"/>
      <c r="T194" s="314"/>
      <c r="U194" s="8"/>
    </row>
  </sheetData>
  <mergeCells count="117">
    <mergeCell ref="H1:T1"/>
    <mergeCell ref="A2:A8"/>
    <mergeCell ref="I3:T3"/>
    <mergeCell ref="I4:T4"/>
    <mergeCell ref="I5:T5"/>
    <mergeCell ref="H6:I6"/>
    <mergeCell ref="T6:T9"/>
    <mergeCell ref="H7:I7"/>
    <mergeCell ref="H8:I8"/>
    <mergeCell ref="A9:A10"/>
    <mergeCell ref="A11:A12"/>
    <mergeCell ref="A15:D15"/>
    <mergeCell ref="C21:D21"/>
    <mergeCell ref="C22:D22"/>
    <mergeCell ref="T26:T27"/>
    <mergeCell ref="C29:D29"/>
    <mergeCell ref="I30:T30"/>
    <mergeCell ref="W30:W31"/>
    <mergeCell ref="I31:T31"/>
    <mergeCell ref="I32:T32"/>
    <mergeCell ref="H33:I33"/>
    <mergeCell ref="T33:T36"/>
    <mergeCell ref="H34:I34"/>
    <mergeCell ref="C35:D35"/>
    <mergeCell ref="H35:I35"/>
    <mergeCell ref="C36:D36"/>
    <mergeCell ref="W38:W39"/>
    <mergeCell ref="T40:T41"/>
    <mergeCell ref="C41:D41"/>
    <mergeCell ref="W41:W42"/>
    <mergeCell ref="R42:S42"/>
    <mergeCell ref="I43:T43"/>
    <mergeCell ref="I44:T44"/>
    <mergeCell ref="I45:T45"/>
    <mergeCell ref="H46:I46"/>
    <mergeCell ref="T46:T49"/>
    <mergeCell ref="H47:I47"/>
    <mergeCell ref="H48:I48"/>
    <mergeCell ref="W48:W49"/>
    <mergeCell ref="T53:T54"/>
    <mergeCell ref="Q55:S55"/>
    <mergeCell ref="Q56:S56"/>
    <mergeCell ref="H57:K57"/>
    <mergeCell ref="Q57:S57"/>
    <mergeCell ref="Q58:S58"/>
    <mergeCell ref="Q59:S59"/>
    <mergeCell ref="N61:O61"/>
    <mergeCell ref="N62:O62"/>
    <mergeCell ref="N63:O63"/>
    <mergeCell ref="N64:O64"/>
    <mergeCell ref="N66:O66"/>
    <mergeCell ref="N67:O67"/>
    <mergeCell ref="N68:O68"/>
    <mergeCell ref="N69:O69"/>
    <mergeCell ref="N71:O71"/>
    <mergeCell ref="N72:O72"/>
    <mergeCell ref="N73:O73"/>
    <mergeCell ref="N74:O74"/>
    <mergeCell ref="N76:O76"/>
    <mergeCell ref="N77:O77"/>
    <mergeCell ref="N78:O78"/>
    <mergeCell ref="N79:O79"/>
    <mergeCell ref="N81:O81"/>
    <mergeCell ref="N82:O82"/>
    <mergeCell ref="N83:O83"/>
    <mergeCell ref="N84:O84"/>
    <mergeCell ref="N86:O86"/>
    <mergeCell ref="N87:O87"/>
    <mergeCell ref="N88:O88"/>
    <mergeCell ref="N89:O89"/>
    <mergeCell ref="N91:O91"/>
    <mergeCell ref="N92:O92"/>
    <mergeCell ref="N93:O93"/>
    <mergeCell ref="N94:O94"/>
    <mergeCell ref="N96:O96"/>
    <mergeCell ref="N97:O97"/>
    <mergeCell ref="N98:O98"/>
    <mergeCell ref="N99:O99"/>
    <mergeCell ref="N101:O101"/>
    <mergeCell ref="N102:O102"/>
    <mergeCell ref="N103:O103"/>
    <mergeCell ref="N104:O104"/>
    <mergeCell ref="N106:O106"/>
    <mergeCell ref="N107:O107"/>
    <mergeCell ref="N108:O108"/>
    <mergeCell ref="N109:O109"/>
    <mergeCell ref="N111:O111"/>
    <mergeCell ref="N112:O112"/>
    <mergeCell ref="N113:O113"/>
    <mergeCell ref="N114:O114"/>
    <mergeCell ref="H116:V116"/>
    <mergeCell ref="H117:V117"/>
    <mergeCell ref="H118:V118"/>
    <mergeCell ref="H139:V139"/>
    <mergeCell ref="H140:V140"/>
    <mergeCell ref="H141:V141"/>
    <mergeCell ref="H148:V148"/>
    <mergeCell ref="H149:V149"/>
    <mergeCell ref="H150:V150"/>
    <mergeCell ref="J164:L164"/>
    <mergeCell ref="M164:M165"/>
    <mergeCell ref="M166:M167"/>
    <mergeCell ref="M169:M170"/>
    <mergeCell ref="M173:M175"/>
    <mergeCell ref="P174:S174"/>
    <mergeCell ref="P175:S175"/>
    <mergeCell ref="P176:S176"/>
    <mergeCell ref="P177:S177"/>
    <mergeCell ref="P180:S180"/>
    <mergeCell ref="P181:S181"/>
    <mergeCell ref="P182:S182"/>
    <mergeCell ref="O187:U189"/>
    <mergeCell ref="H189:J189"/>
    <mergeCell ref="H191:J191"/>
    <mergeCell ref="O192:R192"/>
    <mergeCell ref="O193:R193"/>
    <mergeCell ref="O194:T194"/>
  </mergeCells>
  <printOptions headings="false" gridLines="false" gridLinesSet="true" horizontalCentered="false" verticalCentered="false"/>
  <pageMargins left="0.0902777777777778" right="0.140277777777778" top="0.315277777777778" bottom="0.179166666666667" header="0.315277777777778" footer="0.0402777777777778"/>
  <pageSetup paperSize="77" scale="44" firstPageNumber="0" fitToWidth="1" fitToHeight="1" pageOrder="downThenOver" orientation="landscape" blackAndWhite="false" draft="false" cellComments="none" useFirstPageNumber="false" horizontalDpi="300" verticalDpi="300" copies="1"/>
  <headerFooter differentFirst="false" differentOddEven="false">
    <oddHeader/>
    <oddFooter>&amp;C&amp;"Arial,Normal"&amp;10&amp;A</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G15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08"/>
    <col collapsed="false" customWidth="true" hidden="false" outlineLevel="0" max="2" min="2" style="44" width="54.54"/>
    <col collapsed="false" customWidth="true" hidden="false" outlineLevel="0" max="3" min="3" style="44" width="10.12"/>
    <col collapsed="false" customWidth="true" hidden="false" outlineLevel="0" max="4" min="4" style="44" width="16.87"/>
    <col collapsed="false" customWidth="true" hidden="false" outlineLevel="0" max="5" min="5" style="44" width="12.69"/>
    <col collapsed="false" customWidth="true" hidden="false" outlineLevel="0" max="1025" min="6" style="44" width="8.64"/>
  </cols>
  <sheetData>
    <row r="1" customFormat="false" ht="12.75" hidden="false" customHeight="false" outlineLevel="0" collapsed="false">
      <c r="A1" s="492" t="s">
        <v>374</v>
      </c>
      <c r="B1" s="492"/>
      <c r="C1" s="492"/>
      <c r="D1" s="492"/>
      <c r="E1" s="493"/>
      <c r="F1" s="493"/>
    </row>
    <row r="3" customFormat="false" ht="12.75" hidden="false" customHeight="false" outlineLevel="0" collapsed="false">
      <c r="A3" s="494" t="s">
        <v>375</v>
      </c>
      <c r="B3" s="494"/>
      <c r="C3" s="494"/>
      <c r="D3" s="494"/>
    </row>
    <row r="4" s="498" customFormat="true" ht="32.25" hidden="false" customHeight="true" outlineLevel="0" collapsed="false">
      <c r="A4" s="671" t="n">
        <v>1</v>
      </c>
      <c r="B4" s="672" t="s">
        <v>376</v>
      </c>
      <c r="C4" s="673" t="s">
        <v>586</v>
      </c>
      <c r="D4" s="673"/>
    </row>
    <row r="5" s="498" customFormat="true" ht="12.75" hidden="false" customHeight="false" outlineLevel="0" collapsed="false">
      <c r="A5" s="671" t="n">
        <v>2</v>
      </c>
      <c r="B5" s="672" t="s">
        <v>378</v>
      </c>
      <c r="C5" s="674" t="s">
        <v>574</v>
      </c>
      <c r="D5" s="674"/>
    </row>
    <row r="6" s="498" customFormat="true" ht="12.75" hidden="false" customHeight="false" outlineLevel="0" collapsed="false">
      <c r="A6" s="671" t="n">
        <v>3</v>
      </c>
      <c r="B6" s="672" t="s">
        <v>380</v>
      </c>
      <c r="C6" s="675" t="n">
        <f aca="false">+APRESENTACAO!G21</f>
        <v>0</v>
      </c>
      <c r="D6" s="675"/>
    </row>
    <row r="7" s="498" customFormat="true" ht="12.75" hidden="false" customHeight="true" outlineLevel="0" collapsed="false">
      <c r="A7" s="671" t="n">
        <v>4</v>
      </c>
      <c r="B7" s="672" t="s">
        <v>381</v>
      </c>
      <c r="C7" s="676" t="s">
        <v>382</v>
      </c>
      <c r="D7" s="676"/>
    </row>
    <row r="8" s="498" customFormat="true" ht="12.75" hidden="false" customHeight="false" outlineLevel="0" collapsed="false">
      <c r="A8" s="671" t="n">
        <v>5</v>
      </c>
      <c r="B8" s="672" t="s">
        <v>383</v>
      </c>
      <c r="C8" s="677" t="n">
        <v>43524</v>
      </c>
      <c r="D8" s="677"/>
    </row>
    <row r="9" customFormat="false" ht="12.75" hidden="false" customHeight="false" outlineLevel="0" collapsed="false">
      <c r="D9" s="623"/>
    </row>
    <row r="10" customFormat="false" ht="12.75" hidden="false" customHeight="false" outlineLevel="0" collapsed="false">
      <c r="A10" s="505" t="s">
        <v>384</v>
      </c>
      <c r="B10" s="505"/>
      <c r="C10" s="505"/>
      <c r="D10" s="505"/>
    </row>
    <row r="11" customFormat="false" ht="12.75" hidden="false" customHeight="false" outlineLevel="0" collapsed="false">
      <c r="A11" s="506" t="n">
        <v>1</v>
      </c>
      <c r="B11" s="507" t="s">
        <v>385</v>
      </c>
      <c r="C11" s="492" t="s">
        <v>386</v>
      </c>
      <c r="D11" s="508" t="s">
        <v>387</v>
      </c>
    </row>
    <row r="12" customFormat="false" ht="12.75" hidden="false" customHeight="false" outlineLevel="0" collapsed="false">
      <c r="A12" s="509" t="s">
        <v>15</v>
      </c>
      <c r="B12" s="509" t="s">
        <v>388</v>
      </c>
      <c r="C12" s="509"/>
      <c r="D12" s="510" t="n">
        <f aca="false">+C6</f>
        <v>0</v>
      </c>
    </row>
    <row r="13" customFormat="false" ht="12.75" hidden="false" customHeight="false" outlineLevel="0" collapsed="false">
      <c r="A13" s="509" t="s">
        <v>17</v>
      </c>
      <c r="B13" s="511" t="s">
        <v>389</v>
      </c>
      <c r="C13" s="512"/>
      <c r="D13" s="510"/>
      <c r="E13" s="513"/>
    </row>
    <row r="14" customFormat="false" ht="12.75" hidden="false" customHeight="false" outlineLevel="0" collapsed="false">
      <c r="A14" s="509" t="s">
        <v>20</v>
      </c>
      <c r="B14" s="511" t="s">
        <v>390</v>
      </c>
      <c r="C14" s="512"/>
      <c r="D14" s="510" t="n">
        <f aca="false">+C14*D12</f>
        <v>0</v>
      </c>
    </row>
    <row r="15" customFormat="false" ht="12.75" hidden="false" customHeight="false" outlineLevel="0" collapsed="false">
      <c r="A15" s="509" t="s">
        <v>22</v>
      </c>
      <c r="B15" s="509" t="s">
        <v>391</v>
      </c>
      <c r="C15" s="509"/>
      <c r="D15" s="510"/>
    </row>
    <row r="16" customFormat="false" ht="12.75" hidden="false" customHeight="false" outlineLevel="0" collapsed="false">
      <c r="A16" s="509" t="s">
        <v>392</v>
      </c>
      <c r="B16" s="509" t="s">
        <v>393</v>
      </c>
      <c r="C16" s="509"/>
      <c r="D16" s="510"/>
    </row>
    <row r="17" customFormat="false" ht="12.75" hidden="false" customHeight="false" outlineLevel="0" collapsed="false">
      <c r="A17" s="509" t="s">
        <v>394</v>
      </c>
      <c r="B17" s="509" t="s">
        <v>395</v>
      </c>
      <c r="C17" s="509"/>
      <c r="D17" s="510"/>
    </row>
    <row r="18" customFormat="false" ht="12.75" hidden="false" customHeight="false" outlineLevel="0" collapsed="false">
      <c r="A18" s="509" t="s">
        <v>396</v>
      </c>
      <c r="B18" s="509" t="s">
        <v>397</v>
      </c>
      <c r="C18" s="509"/>
      <c r="D18" s="510"/>
    </row>
    <row r="19" customFormat="false" ht="12.75" hidden="false" customHeight="false" outlineLevel="0" collapsed="false">
      <c r="A19" s="509" t="s">
        <v>398</v>
      </c>
      <c r="B19" s="509" t="s">
        <v>399</v>
      </c>
      <c r="C19" s="509"/>
      <c r="D19" s="514"/>
    </row>
    <row r="20" customFormat="false" ht="12.75" hidden="false" customHeight="false" outlineLevel="0" collapsed="false">
      <c r="A20" s="509" t="s">
        <v>400</v>
      </c>
      <c r="B20" s="511" t="s">
        <v>401</v>
      </c>
      <c r="C20" s="512" t="n">
        <v>0.15</v>
      </c>
      <c r="D20" s="510" t="n">
        <f aca="false">+C20*D12</f>
        <v>0</v>
      </c>
    </row>
    <row r="21" customFormat="false" ht="12.75" hidden="false" customHeight="false" outlineLevel="0" collapsed="false">
      <c r="A21" s="509" t="s">
        <v>402</v>
      </c>
      <c r="B21" s="509" t="s">
        <v>403</v>
      </c>
      <c r="C21" s="509"/>
      <c r="D21" s="515"/>
      <c r="F21" s="516"/>
    </row>
    <row r="22" customFormat="false" ht="12.75" hidden="false" customHeight="false" outlineLevel="0" collapsed="false">
      <c r="A22" s="509" t="s">
        <v>404</v>
      </c>
      <c r="B22" s="509" t="s">
        <v>405</v>
      </c>
      <c r="C22" s="509"/>
      <c r="D22" s="515"/>
    </row>
    <row r="23" customFormat="false" ht="12.75" hidden="false" customHeight="false" outlineLevel="0" collapsed="false">
      <c r="A23" s="494" t="s">
        <v>406</v>
      </c>
      <c r="B23" s="494"/>
      <c r="C23" s="494"/>
      <c r="D23" s="517" t="n">
        <f aca="false">SUM(D12:D22)</f>
        <v>0</v>
      </c>
    </row>
    <row r="25" customFormat="false" ht="12.75" hidden="false" customHeight="false" outlineLevel="0" collapsed="false">
      <c r="A25" s="505" t="s">
        <v>407</v>
      </c>
      <c r="B25" s="505"/>
      <c r="C25" s="505"/>
      <c r="D25" s="505"/>
    </row>
    <row r="27" customFormat="false" ht="12.75" hidden="false" customHeight="false" outlineLevel="0" collapsed="false">
      <c r="A27" s="505" t="s">
        <v>408</v>
      </c>
      <c r="B27" s="505"/>
      <c r="C27" s="505"/>
      <c r="D27" s="505"/>
    </row>
    <row r="28" customFormat="false" ht="12.75" hidden="false" customHeight="false" outlineLevel="0" collapsed="false">
      <c r="A28" s="518" t="s">
        <v>409</v>
      </c>
      <c r="B28" s="519" t="s">
        <v>410</v>
      </c>
      <c r="C28" s="520" t="s">
        <v>386</v>
      </c>
      <c r="D28" s="521" t="s">
        <v>387</v>
      </c>
    </row>
    <row r="29" customFormat="false" ht="12.75" hidden="false" customHeight="false" outlineLevel="0" collapsed="false">
      <c r="A29" s="509" t="s">
        <v>15</v>
      </c>
      <c r="B29" s="522" t="s">
        <v>411</v>
      </c>
      <c r="C29" s="523" t="e">
        <f aca="false">ROUND(+D29/$D$23,4)</f>
        <v>#DIV/0!</v>
      </c>
      <c r="D29" s="515" t="n">
        <f aca="false">ROUND(+D23/12,2)</f>
        <v>0</v>
      </c>
    </row>
    <row r="30" customFormat="false" ht="12.75" hidden="false" customHeight="false" outlineLevel="0" collapsed="false">
      <c r="A30" s="524" t="s">
        <v>17</v>
      </c>
      <c r="B30" s="525" t="s">
        <v>412</v>
      </c>
      <c r="C30" s="526" t="e">
        <f aca="false">ROUND(+D30/$D$23,4)</f>
        <v>#DIV/0!</v>
      </c>
      <c r="D30" s="527" t="n">
        <f aca="false">+D31+D32</f>
        <v>0</v>
      </c>
    </row>
    <row r="31" customFormat="false" ht="12.75" hidden="false" customHeight="false" outlineLevel="0" collapsed="false">
      <c r="A31" s="509" t="s">
        <v>77</v>
      </c>
      <c r="B31" s="528" t="s">
        <v>413</v>
      </c>
      <c r="C31" s="529" t="e">
        <f aca="false">ROUND(+D31/$D$23,4)</f>
        <v>#DIV/0!</v>
      </c>
      <c r="D31" s="530" t="n">
        <f aca="false">ROUND(+D23/12,2)</f>
        <v>0</v>
      </c>
    </row>
    <row r="32" customFormat="false" ht="12.75" hidden="false" customHeight="false" outlineLevel="0" collapsed="false">
      <c r="A32" s="509" t="s">
        <v>91</v>
      </c>
      <c r="B32" s="528" t="s">
        <v>414</v>
      </c>
      <c r="C32" s="529" t="e">
        <f aca="false">ROUND(+D32/$D$23,4)</f>
        <v>#DIV/0!</v>
      </c>
      <c r="D32" s="530" t="n">
        <f aca="false">ROUND(+(D23*1/3)/12,2)</f>
        <v>0</v>
      </c>
    </row>
    <row r="33" customFormat="false" ht="12.75" hidden="false" customHeight="false" outlineLevel="0" collapsed="false">
      <c r="A33" s="494" t="s">
        <v>406</v>
      </c>
      <c r="B33" s="494"/>
      <c r="C33" s="494"/>
      <c r="D33" s="517" t="n">
        <f aca="false">+D30+D29</f>
        <v>0</v>
      </c>
    </row>
    <row r="35" customFormat="false" ht="12.75" hidden="false" customHeight="true" outlineLevel="0" collapsed="false">
      <c r="A35" s="531" t="s">
        <v>415</v>
      </c>
      <c r="B35" s="531"/>
      <c r="C35" s="531"/>
      <c r="D35" s="531"/>
    </row>
    <row r="36" customFormat="false" ht="12.75" hidden="false" customHeight="false" outlineLevel="0" collapsed="false">
      <c r="A36" s="518" t="s">
        <v>416</v>
      </c>
      <c r="B36" s="532" t="s">
        <v>417</v>
      </c>
      <c r="C36" s="520" t="s">
        <v>386</v>
      </c>
      <c r="D36" s="521" t="s">
        <v>387</v>
      </c>
    </row>
    <row r="37" customFormat="false" ht="12.75" hidden="false" customHeight="false" outlineLevel="0" collapsed="false">
      <c r="A37" s="509" t="s">
        <v>15</v>
      </c>
      <c r="B37" s="522" t="s">
        <v>418</v>
      </c>
      <c r="C37" s="533" t="n">
        <v>0.2</v>
      </c>
      <c r="D37" s="534" t="n">
        <f aca="false">ROUND(C37*($D$23+$D$33),2)</f>
        <v>0</v>
      </c>
    </row>
    <row r="38" customFormat="false" ht="12.75" hidden="false" customHeight="false" outlineLevel="0" collapsed="false">
      <c r="A38" s="509" t="s">
        <v>17</v>
      </c>
      <c r="B38" s="522" t="s">
        <v>419</v>
      </c>
      <c r="C38" s="533" t="n">
        <v>0.025</v>
      </c>
      <c r="D38" s="534" t="n">
        <f aca="false">ROUND(C38*($D$23+$D$33),2)</f>
        <v>0</v>
      </c>
    </row>
    <row r="39" customFormat="false" ht="12.75" hidden="false" customHeight="false" outlineLevel="0" collapsed="false">
      <c r="A39" s="509" t="s">
        <v>20</v>
      </c>
      <c r="B39" s="522" t="s">
        <v>420</v>
      </c>
      <c r="C39" s="533" t="n">
        <f aca="false">3%</f>
        <v>0.03</v>
      </c>
      <c r="D39" s="534" t="n">
        <f aca="false">ROUND(C39*($D$23+$D$33),2)</f>
        <v>0</v>
      </c>
    </row>
    <row r="40" customFormat="false" ht="12.75" hidden="false" customHeight="false" outlineLevel="0" collapsed="false">
      <c r="A40" s="509" t="s">
        <v>22</v>
      </c>
      <c r="B40" s="522" t="s">
        <v>421</v>
      </c>
      <c r="C40" s="533" t="n">
        <v>0.015</v>
      </c>
      <c r="D40" s="534" t="n">
        <f aca="false">ROUND(C40*($D$23+$D$33),2)</f>
        <v>0</v>
      </c>
    </row>
    <row r="41" customFormat="false" ht="12.75" hidden="false" customHeight="false" outlineLevel="0" collapsed="false">
      <c r="A41" s="509" t="s">
        <v>392</v>
      </c>
      <c r="B41" s="522" t="s">
        <v>422</v>
      </c>
      <c r="C41" s="533" t="n">
        <v>0.01</v>
      </c>
      <c r="D41" s="534" t="n">
        <f aca="false">ROUND(C41*($D$23+$D$33),2)</f>
        <v>0</v>
      </c>
    </row>
    <row r="42" customFormat="false" ht="12.75" hidden="false" customHeight="false" outlineLevel="0" collapsed="false">
      <c r="A42" s="509" t="s">
        <v>394</v>
      </c>
      <c r="B42" s="522" t="s">
        <v>423</v>
      </c>
      <c r="C42" s="533" t="n">
        <v>0.006</v>
      </c>
      <c r="D42" s="534" t="n">
        <f aca="false">ROUND(C42*($D$23+$D$33),2)</f>
        <v>0</v>
      </c>
    </row>
    <row r="43" customFormat="false" ht="12.75" hidden="false" customHeight="false" outlineLevel="0" collapsed="false">
      <c r="A43" s="509" t="s">
        <v>396</v>
      </c>
      <c r="B43" s="522" t="s">
        <v>424</v>
      </c>
      <c r="C43" s="533" t="n">
        <v>0.002</v>
      </c>
      <c r="D43" s="534" t="n">
        <f aca="false">ROUND(C43*($D$23+$D$33),2)</f>
        <v>0</v>
      </c>
    </row>
    <row r="44" customFormat="false" ht="12.75" hidden="false" customHeight="false" outlineLevel="0" collapsed="false">
      <c r="A44" s="509" t="s">
        <v>398</v>
      </c>
      <c r="B44" s="522" t="s">
        <v>425</v>
      </c>
      <c r="C44" s="533" t="n">
        <v>0.08</v>
      </c>
      <c r="D44" s="534" t="n">
        <f aca="false">ROUND(C44*($D$23+$D$33),2)</f>
        <v>0</v>
      </c>
    </row>
    <row r="45" customFormat="false" ht="12.75" hidden="false" customHeight="false" outlineLevel="0" collapsed="false">
      <c r="A45" s="535" t="s">
        <v>406</v>
      </c>
      <c r="B45" s="536"/>
      <c r="C45" s="537" t="n">
        <f aca="false">SUM(C37:C44)</f>
        <v>0.368</v>
      </c>
      <c r="D45" s="538" t="n">
        <f aca="false">SUM(D37:D44)</f>
        <v>0</v>
      </c>
    </row>
    <row r="46" customFormat="false" ht="12.75" hidden="false" customHeight="false" outlineLevel="0" collapsed="false">
      <c r="A46" s="539"/>
      <c r="B46" s="539"/>
      <c r="C46" s="539"/>
      <c r="D46" s="539"/>
    </row>
    <row r="47" customFormat="false" ht="12.75" hidden="false" customHeight="true" outlineLevel="0" collapsed="false">
      <c r="A47" s="531" t="s">
        <v>426</v>
      </c>
      <c r="B47" s="531"/>
      <c r="C47" s="531"/>
      <c r="D47" s="531"/>
    </row>
    <row r="48" customFormat="false" ht="12.75" hidden="false" customHeight="false" outlineLevel="0" collapsed="false">
      <c r="A48" s="518" t="s">
        <v>427</v>
      </c>
      <c r="B48" s="532" t="s">
        <v>428</v>
      </c>
      <c r="C48" s="520"/>
      <c r="D48" s="521" t="s">
        <v>387</v>
      </c>
    </row>
    <row r="49" customFormat="false" ht="12.75" hidden="false" customHeight="false" outlineLevel="0" collapsed="false">
      <c r="A49" s="540" t="s">
        <v>15</v>
      </c>
      <c r="B49" s="522" t="s">
        <v>429</v>
      </c>
      <c r="C49" s="541"/>
      <c r="D49" s="534" t="n">
        <f aca="false">+Men_Cal_Serv_Lider_44_seg_a_sab!C16</f>
        <v>0</v>
      </c>
    </row>
    <row r="50" s="46" customFormat="true" ht="12.75" hidden="false" customHeight="false" outlineLevel="0" collapsed="false">
      <c r="A50" s="542" t="s">
        <v>52</v>
      </c>
      <c r="B50" s="543" t="s">
        <v>336</v>
      </c>
      <c r="C50" s="523" t="n">
        <f aca="false">+$C$131+$C$132</f>
        <v>0.0925</v>
      </c>
      <c r="D50" s="544" t="n">
        <f aca="false">+(C50*D49)*-1</f>
        <v>0</v>
      </c>
    </row>
    <row r="51" customFormat="false" ht="12.75" hidden="false" customHeight="false" outlineLevel="0" collapsed="false">
      <c r="A51" s="540" t="s">
        <v>17</v>
      </c>
      <c r="B51" s="522" t="s">
        <v>430</v>
      </c>
      <c r="C51" s="541"/>
      <c r="D51" s="534" t="n">
        <f aca="false">+Men_Cal_Serv_Lider_44_seg_a_sab!C25</f>
        <v>0</v>
      </c>
    </row>
    <row r="52" s="46" customFormat="true" ht="12.75" hidden="false" customHeight="false" outlineLevel="0" collapsed="false">
      <c r="A52" s="542" t="s">
        <v>77</v>
      </c>
      <c r="B52" s="543" t="s">
        <v>336</v>
      </c>
      <c r="C52" s="523" t="n">
        <f aca="false">+$C$131+$C$132</f>
        <v>0.0925</v>
      </c>
      <c r="D52" s="544" t="n">
        <f aca="false">+(C52*D51)*-1</f>
        <v>0</v>
      </c>
      <c r="F52" s="545"/>
    </row>
    <row r="53" customFormat="false" ht="12.75" hidden="false" customHeight="false" outlineLevel="0" collapsed="false">
      <c r="A53" s="546" t="s">
        <v>20</v>
      </c>
      <c r="B53" s="546" t="s">
        <v>431</v>
      </c>
      <c r="C53" s="541"/>
      <c r="D53" s="547"/>
    </row>
    <row r="54" customFormat="false" ht="12.75" hidden="false" customHeight="false" outlineLevel="0" collapsed="false">
      <c r="A54" s="546" t="s">
        <v>22</v>
      </c>
      <c r="B54" s="548" t="s">
        <v>432</v>
      </c>
      <c r="C54" s="541"/>
      <c r="D54" s="547"/>
    </row>
    <row r="55" customFormat="false" ht="25.5" hidden="false" customHeight="false" outlineLevel="0" collapsed="false">
      <c r="A55" s="546" t="s">
        <v>392</v>
      </c>
      <c r="B55" s="549" t="s">
        <v>433</v>
      </c>
      <c r="C55" s="541"/>
      <c r="D55" s="550"/>
      <c r="F55" s="551"/>
    </row>
    <row r="56" customFormat="false" ht="12.75" hidden="false" customHeight="false" outlineLevel="0" collapsed="false">
      <c r="A56" s="546" t="s">
        <v>394</v>
      </c>
      <c r="B56" s="552" t="s">
        <v>434</v>
      </c>
      <c r="C56" s="541"/>
      <c r="D56" s="553"/>
    </row>
    <row r="57" customFormat="false" ht="12.75" hidden="false" customHeight="false" outlineLevel="0" collapsed="false">
      <c r="A57" s="494" t="s">
        <v>406</v>
      </c>
      <c r="B57" s="494"/>
      <c r="C57" s="554"/>
      <c r="D57" s="555" t="n">
        <f aca="false">SUM(D49:D56)</f>
        <v>0</v>
      </c>
    </row>
    <row r="59" customFormat="false" ht="12.75" hidden="false" customHeight="false" outlineLevel="0" collapsed="false">
      <c r="A59" s="505" t="s">
        <v>435</v>
      </c>
      <c r="B59" s="505"/>
      <c r="C59" s="505"/>
      <c r="D59" s="505"/>
    </row>
    <row r="60" customFormat="false" ht="12.75" hidden="false" customHeight="false" outlineLevel="0" collapsed="false">
      <c r="A60" s="556" t="n">
        <v>2</v>
      </c>
      <c r="B60" s="557" t="s">
        <v>436</v>
      </c>
      <c r="C60" s="557"/>
      <c r="D60" s="558" t="s">
        <v>387</v>
      </c>
    </row>
    <row r="61" customFormat="false" ht="12.75" hidden="false" customHeight="false" outlineLevel="0" collapsed="false">
      <c r="A61" s="543" t="s">
        <v>409</v>
      </c>
      <c r="B61" s="559" t="s">
        <v>410</v>
      </c>
      <c r="C61" s="559"/>
      <c r="D61" s="534" t="n">
        <f aca="false">+D33</f>
        <v>0</v>
      </c>
    </row>
    <row r="62" customFormat="false" ht="12.75" hidden="false" customHeight="false" outlineLevel="0" collapsed="false">
      <c r="A62" s="543" t="s">
        <v>416</v>
      </c>
      <c r="B62" s="559" t="s">
        <v>417</v>
      </c>
      <c r="C62" s="559"/>
      <c r="D62" s="534" t="n">
        <f aca="false">+D45</f>
        <v>0</v>
      </c>
    </row>
    <row r="63" customFormat="false" ht="12.75" hidden="false" customHeight="false" outlineLevel="0" collapsed="false">
      <c r="A63" s="543" t="s">
        <v>427</v>
      </c>
      <c r="B63" s="559" t="s">
        <v>428</v>
      </c>
      <c r="C63" s="559"/>
      <c r="D63" s="560" t="n">
        <f aca="false">+D57</f>
        <v>0</v>
      </c>
    </row>
    <row r="64" customFormat="false" ht="12.75" hidden="false" customHeight="false" outlineLevel="0" collapsed="false">
      <c r="A64" s="557" t="s">
        <v>406</v>
      </c>
      <c r="B64" s="557"/>
      <c r="C64" s="557"/>
      <c r="D64" s="561" t="n">
        <f aca="false">SUM(D61:D63)</f>
        <v>0</v>
      </c>
    </row>
    <row r="66" customFormat="false" ht="12.75" hidden="false" customHeight="false" outlineLevel="0" collapsed="false">
      <c r="A66" s="505" t="s">
        <v>437</v>
      </c>
      <c r="B66" s="505"/>
      <c r="C66" s="505"/>
      <c r="D66" s="505"/>
    </row>
    <row r="68" customFormat="false" ht="12.75" hidden="false" customHeight="false" outlineLevel="0" collapsed="false">
      <c r="A68" s="562" t="n">
        <v>3</v>
      </c>
      <c r="B68" s="519" t="s">
        <v>438</v>
      </c>
      <c r="C68" s="492" t="s">
        <v>386</v>
      </c>
      <c r="D68" s="492" t="s">
        <v>387</v>
      </c>
    </row>
    <row r="69" customFormat="false" ht="12.75" hidden="false" customHeight="false" outlineLevel="0" collapsed="false">
      <c r="A69" s="509" t="s">
        <v>15</v>
      </c>
      <c r="B69" s="543" t="s">
        <v>439</v>
      </c>
      <c r="C69" s="523" t="e">
        <f aca="false">+D69/$D$23</f>
        <v>#DIV/0!</v>
      </c>
      <c r="D69" s="563" t="n">
        <f aca="false">+Men_Cal_Serv_Lider_44_seg_a_sab!C31</f>
        <v>0</v>
      </c>
    </row>
    <row r="70" customFormat="false" ht="12.75" hidden="false" customHeight="false" outlineLevel="0" collapsed="false">
      <c r="A70" s="509" t="s">
        <v>17</v>
      </c>
      <c r="B70" s="522" t="s">
        <v>440</v>
      </c>
      <c r="C70" s="564"/>
      <c r="D70" s="515" t="n">
        <f aca="false">ROUND(+D69*$C$44,2)</f>
        <v>0</v>
      </c>
    </row>
    <row r="71" customFormat="false" ht="25.5" hidden="false" customHeight="false" outlineLevel="0" collapsed="false">
      <c r="A71" s="509" t="s">
        <v>20</v>
      </c>
      <c r="B71" s="565" t="s">
        <v>441</v>
      </c>
      <c r="C71" s="533" t="e">
        <f aca="false">+D71/$D$23</f>
        <v>#DIV/0!</v>
      </c>
      <c r="D71" s="515" t="n">
        <f aca="false">+Men_Cal_Serv_Lider_44_seg_a_sab!C43</f>
        <v>0</v>
      </c>
    </row>
    <row r="72" customFormat="false" ht="12.75" hidden="false" customHeight="false" outlineLevel="0" collapsed="false">
      <c r="A72" s="559" t="s">
        <v>22</v>
      </c>
      <c r="B72" s="522" t="s">
        <v>442</v>
      </c>
      <c r="C72" s="533" t="e">
        <f aca="false">+D72/$D$23</f>
        <v>#DIV/0!</v>
      </c>
      <c r="D72" s="515" t="n">
        <f aca="false">+Men_Cal_Serv_Lider_44_seg_a_sab!C51</f>
        <v>0</v>
      </c>
    </row>
    <row r="73" customFormat="false" ht="25.5" hidden="false" customHeight="false" outlineLevel="0" collapsed="false">
      <c r="A73" s="559" t="s">
        <v>392</v>
      </c>
      <c r="B73" s="565" t="s">
        <v>443</v>
      </c>
      <c r="C73" s="564"/>
      <c r="D73" s="566"/>
    </row>
    <row r="74" customFormat="false" ht="25.5" hidden="false" customHeight="false" outlineLevel="0" collapsed="false">
      <c r="A74" s="559" t="s">
        <v>394</v>
      </c>
      <c r="B74" s="565" t="s">
        <v>444</v>
      </c>
      <c r="C74" s="533" t="e">
        <f aca="false">+D74/$D$23</f>
        <v>#DIV/0!</v>
      </c>
      <c r="D74" s="534" t="n">
        <f aca="false">+Men_Cal_Serv_Lider_44_seg_a_sab!C63</f>
        <v>0</v>
      </c>
    </row>
    <row r="75" customFormat="false" ht="12.75" hidden="false" customHeight="false" outlineLevel="0" collapsed="false">
      <c r="A75" s="494" t="s">
        <v>406</v>
      </c>
      <c r="B75" s="494"/>
      <c r="C75" s="494"/>
      <c r="D75" s="567" t="n">
        <f aca="false">SUM(D69:D74)</f>
        <v>0</v>
      </c>
    </row>
    <row r="77" customFormat="false" ht="12.75" hidden="false" customHeight="false" outlineLevel="0" collapsed="false">
      <c r="A77" s="505" t="s">
        <v>445</v>
      </c>
      <c r="B77" s="505"/>
      <c r="C77" s="505"/>
      <c r="D77" s="505"/>
    </row>
    <row r="79" customFormat="false" ht="12.75" hidden="false" customHeight="true" outlineLevel="0" collapsed="false">
      <c r="A79" s="568" t="s">
        <v>446</v>
      </c>
      <c r="B79" s="568"/>
      <c r="C79" s="568"/>
      <c r="D79" s="568"/>
    </row>
    <row r="80" customFormat="false" ht="12.75" hidden="false" customHeight="false" outlineLevel="0" collapsed="false">
      <c r="A80" s="562" t="s">
        <v>447</v>
      </c>
      <c r="B80" s="494" t="s">
        <v>448</v>
      </c>
      <c r="C80" s="494"/>
      <c r="D80" s="492" t="s">
        <v>387</v>
      </c>
    </row>
    <row r="81" customFormat="false" ht="12.75" hidden="false" customHeight="false" outlineLevel="0" collapsed="false">
      <c r="A81" s="522" t="s">
        <v>15</v>
      </c>
      <c r="B81" s="305" t="s">
        <v>449</v>
      </c>
      <c r="C81" s="305"/>
      <c r="D81" s="515"/>
    </row>
    <row r="82" customFormat="false" ht="12.75" hidden="false" customHeight="false" outlineLevel="0" collapsed="false">
      <c r="A82" s="543" t="s">
        <v>17</v>
      </c>
      <c r="B82" s="569" t="s">
        <v>448</v>
      </c>
      <c r="C82" s="569"/>
      <c r="D82" s="570" t="n">
        <f aca="false">+Men_Cal_Serv_Lider_44_seg_a_sab!C76</f>
        <v>0</v>
      </c>
    </row>
    <row r="83" s="46" customFormat="true" ht="12.75" hidden="false" customHeight="false" outlineLevel="0" collapsed="false">
      <c r="A83" s="543" t="s">
        <v>20</v>
      </c>
      <c r="B83" s="569" t="s">
        <v>450</v>
      </c>
      <c r="C83" s="569"/>
      <c r="D83" s="570" t="n">
        <f aca="false">+Men_Cal_Serv_Lider_44_seg_a_sab!C85</f>
        <v>0</v>
      </c>
    </row>
    <row r="84" s="46" customFormat="true" ht="12.75" hidden="false" customHeight="false" outlineLevel="0" collapsed="false">
      <c r="A84" s="543" t="s">
        <v>22</v>
      </c>
      <c r="B84" s="569" t="s">
        <v>451</v>
      </c>
      <c r="C84" s="569"/>
      <c r="D84" s="570" t="n">
        <f aca="false">+Men_Cal_Serv_Lider_44_seg_a_sab!C93</f>
        <v>0</v>
      </c>
    </row>
    <row r="85" s="46" customFormat="true" ht="14.25" hidden="false" customHeight="false" outlineLevel="0" collapsed="false">
      <c r="A85" s="543" t="s">
        <v>392</v>
      </c>
      <c r="B85" s="569" t="s">
        <v>452</v>
      </c>
      <c r="C85" s="569"/>
      <c r="D85" s="570"/>
    </row>
    <row r="86" s="46" customFormat="true" ht="12.75" hidden="false" customHeight="false" outlineLevel="0" collapsed="false">
      <c r="A86" s="543" t="s">
        <v>394</v>
      </c>
      <c r="B86" s="569" t="s">
        <v>453</v>
      </c>
      <c r="C86" s="569"/>
      <c r="D86" s="570" t="n">
        <f aca="false">+Men_Cal_Serv_Lider_44_seg_a_sab!C101</f>
        <v>0</v>
      </c>
    </row>
    <row r="87" customFormat="false" ht="12.75" hidden="false" customHeight="false" outlineLevel="0" collapsed="false">
      <c r="A87" s="522" t="s">
        <v>396</v>
      </c>
      <c r="B87" s="305" t="s">
        <v>405</v>
      </c>
      <c r="C87" s="305"/>
      <c r="D87" s="515"/>
    </row>
    <row r="88" customFormat="false" ht="12.75" hidden="false" customHeight="false" outlineLevel="0" collapsed="false">
      <c r="A88" s="522" t="s">
        <v>398</v>
      </c>
      <c r="B88" s="305" t="s">
        <v>454</v>
      </c>
      <c r="C88" s="305"/>
      <c r="D88" s="566"/>
    </row>
    <row r="89" customFormat="false" ht="12.75" hidden="false" customHeight="false" outlineLevel="0" collapsed="false">
      <c r="A89" s="494" t="s">
        <v>406</v>
      </c>
      <c r="B89" s="494"/>
      <c r="C89" s="494"/>
      <c r="D89" s="517" t="n">
        <f aca="false">SUM(D81:D88)</f>
        <v>0</v>
      </c>
    </row>
    <row r="90" customFormat="false" ht="12.75" hidden="false" customHeight="false" outlineLevel="0" collapsed="false">
      <c r="D90" s="571"/>
    </row>
    <row r="91" customFormat="false" ht="12.75" hidden="false" customHeight="false" outlineLevel="0" collapsed="false">
      <c r="A91" s="562" t="s">
        <v>455</v>
      </c>
      <c r="B91" s="494" t="s">
        <v>456</v>
      </c>
      <c r="C91" s="494"/>
      <c r="D91" s="492" t="s">
        <v>387</v>
      </c>
    </row>
    <row r="92" s="46" customFormat="true" ht="12.75" hidden="false" customHeight="false" outlineLevel="0" collapsed="false">
      <c r="A92" s="543" t="s">
        <v>15</v>
      </c>
      <c r="B92" s="559" t="s">
        <v>457</v>
      </c>
      <c r="C92" s="559"/>
      <c r="D92" s="570" t="n">
        <f aca="false">+Men_Cal_Serv_Lider_44_seg_a_sab!C112</f>
        <v>0</v>
      </c>
    </row>
    <row r="93" s="46" customFormat="true" ht="31.5" hidden="false" customHeight="true" outlineLevel="0" collapsed="false">
      <c r="A93" s="543" t="s">
        <v>17</v>
      </c>
      <c r="B93" s="572" t="s">
        <v>458</v>
      </c>
      <c r="C93" s="572"/>
      <c r="D93" s="566"/>
    </row>
    <row r="94" s="46" customFormat="true" ht="30.75" hidden="false" customHeight="true" outlineLevel="0" collapsed="false">
      <c r="A94" s="543" t="s">
        <v>20</v>
      </c>
      <c r="B94" s="572" t="s">
        <v>459</v>
      </c>
      <c r="C94" s="572"/>
      <c r="D94" s="566"/>
    </row>
    <row r="95" customFormat="false" ht="12.75" hidden="false" customHeight="false" outlineLevel="0" collapsed="false">
      <c r="A95" s="522" t="s">
        <v>22</v>
      </c>
      <c r="B95" s="305" t="s">
        <v>405</v>
      </c>
      <c r="C95" s="305"/>
      <c r="D95" s="515"/>
    </row>
    <row r="96" customFormat="false" ht="12.75" hidden="false" customHeight="false" outlineLevel="0" collapsed="false">
      <c r="A96" s="494" t="s">
        <v>406</v>
      </c>
      <c r="B96" s="494"/>
      <c r="C96" s="494"/>
      <c r="D96" s="517" t="n">
        <f aca="false">SUM(D92:D95)</f>
        <v>0</v>
      </c>
    </row>
    <row r="97" customFormat="false" ht="12.75" hidden="false" customHeight="false" outlineLevel="0" collapsed="false">
      <c r="D97" s="571"/>
    </row>
    <row r="98" customFormat="false" ht="12.75" hidden="false" customHeight="false" outlineLevel="0" collapsed="false">
      <c r="A98" s="562" t="s">
        <v>460</v>
      </c>
      <c r="B98" s="494" t="s">
        <v>461</v>
      </c>
      <c r="C98" s="494"/>
      <c r="D98" s="492" t="s">
        <v>387</v>
      </c>
    </row>
    <row r="99" s="574" customFormat="true" ht="12.75" hidden="false" customHeight="true" outlineLevel="0" collapsed="false">
      <c r="A99" s="559" t="s">
        <v>15</v>
      </c>
      <c r="B99" s="572" t="s">
        <v>462</v>
      </c>
      <c r="C99" s="572"/>
      <c r="D99" s="573"/>
    </row>
    <row r="100" customFormat="false" ht="12.75" hidden="false" customHeight="false" outlineLevel="0" collapsed="false">
      <c r="A100" s="494" t="s">
        <v>406</v>
      </c>
      <c r="B100" s="494"/>
      <c r="C100" s="494"/>
      <c r="D100" s="517" t="n">
        <f aca="false">SUM(D99:D99)</f>
        <v>0</v>
      </c>
    </row>
    <row r="102" customFormat="false" ht="12.75" hidden="false" customHeight="false" outlineLevel="0" collapsed="false">
      <c r="A102" s="575" t="s">
        <v>463</v>
      </c>
      <c r="B102" s="575"/>
      <c r="C102" s="575"/>
      <c r="D102" s="575"/>
    </row>
    <row r="103" customFormat="false" ht="12.75" hidden="false" customHeight="false" outlineLevel="0" collapsed="false">
      <c r="A103" s="522" t="s">
        <v>447</v>
      </c>
      <c r="B103" s="305" t="s">
        <v>448</v>
      </c>
      <c r="C103" s="305"/>
      <c r="D103" s="534" t="n">
        <f aca="false">+D89</f>
        <v>0</v>
      </c>
    </row>
    <row r="104" customFormat="false" ht="12.75" hidden="false" customHeight="false" outlineLevel="0" collapsed="false">
      <c r="A104" s="522" t="s">
        <v>455</v>
      </c>
      <c r="B104" s="305" t="s">
        <v>456</v>
      </c>
      <c r="C104" s="305"/>
      <c r="D104" s="534" t="n">
        <f aca="false">+D96</f>
        <v>0</v>
      </c>
    </row>
    <row r="105" customFormat="false" ht="12.75" hidden="false" customHeight="false" outlineLevel="0" collapsed="false">
      <c r="A105" s="576"/>
      <c r="B105" s="577" t="s">
        <v>464</v>
      </c>
      <c r="C105" s="577"/>
      <c r="D105" s="578" t="n">
        <f aca="false">+D104+D103</f>
        <v>0</v>
      </c>
    </row>
    <row r="106" customFormat="false" ht="12.75" hidden="false" customHeight="false" outlineLevel="0" collapsed="false">
      <c r="A106" s="522" t="s">
        <v>460</v>
      </c>
      <c r="B106" s="305" t="s">
        <v>461</v>
      </c>
      <c r="C106" s="305"/>
      <c r="D106" s="534"/>
    </row>
    <row r="107" customFormat="false" ht="12.75" hidden="false" customHeight="false" outlineLevel="0" collapsed="false">
      <c r="A107" s="575" t="s">
        <v>406</v>
      </c>
      <c r="B107" s="575"/>
      <c r="C107" s="575"/>
      <c r="D107" s="579" t="n">
        <f aca="false">+D106+D105</f>
        <v>0</v>
      </c>
    </row>
    <row r="109" customFormat="false" ht="12.75" hidden="false" customHeight="false" outlineLevel="0" collapsed="false">
      <c r="A109" s="505" t="s">
        <v>465</v>
      </c>
      <c r="B109" s="505"/>
      <c r="C109" s="505"/>
      <c r="D109" s="505"/>
    </row>
    <row r="111" customFormat="false" ht="12.75" hidden="false" customHeight="false" outlineLevel="0" collapsed="false">
      <c r="A111" s="562" t="n">
        <v>5</v>
      </c>
      <c r="B111" s="494" t="s">
        <v>466</v>
      </c>
      <c r="C111" s="494"/>
      <c r="D111" s="492" t="s">
        <v>387</v>
      </c>
    </row>
    <row r="112" customFormat="false" ht="12.75" hidden="false" customHeight="false" outlineLevel="0" collapsed="false">
      <c r="A112" s="522" t="s">
        <v>15</v>
      </c>
      <c r="B112" s="509" t="s">
        <v>467</v>
      </c>
      <c r="C112" s="509"/>
      <c r="D112" s="515" t="n">
        <f aca="false">+Uniformes!F8</f>
        <v>0</v>
      </c>
    </row>
    <row r="113" customFormat="false" ht="12.75" hidden="false" customHeight="false" outlineLevel="0" collapsed="false">
      <c r="A113" s="522" t="s">
        <v>52</v>
      </c>
      <c r="B113" s="543" t="s">
        <v>336</v>
      </c>
      <c r="C113" s="523" t="n">
        <f aca="false">+$C$131+$C$132</f>
        <v>0.0925</v>
      </c>
      <c r="D113" s="544" t="n">
        <f aca="false">+(C113*D112)*-1</f>
        <v>0</v>
      </c>
    </row>
    <row r="114" customFormat="false" ht="12.75" hidden="false" customHeight="false" outlineLevel="0" collapsed="false">
      <c r="A114" s="522" t="s">
        <v>17</v>
      </c>
      <c r="B114" s="509" t="s">
        <v>468</v>
      </c>
      <c r="C114" s="509"/>
      <c r="D114" s="515"/>
    </row>
    <row r="115" customFormat="false" ht="12.75" hidden="false" customHeight="false" outlineLevel="0" collapsed="false">
      <c r="A115" s="522" t="s">
        <v>77</v>
      </c>
      <c r="B115" s="543" t="s">
        <v>336</v>
      </c>
      <c r="C115" s="523" t="n">
        <f aca="false">+$C$131+$C$132</f>
        <v>0.0925</v>
      </c>
      <c r="D115" s="544" t="n">
        <f aca="false">+(C115*D114)*-1</f>
        <v>0</v>
      </c>
    </row>
    <row r="116" customFormat="false" ht="12.75" hidden="false" customHeight="false" outlineLevel="0" collapsed="false">
      <c r="A116" s="522" t="s">
        <v>20</v>
      </c>
      <c r="B116" s="509" t="s">
        <v>469</v>
      </c>
      <c r="C116" s="509"/>
      <c r="D116" s="515"/>
    </row>
    <row r="117" customFormat="false" ht="12.75" hidden="false" customHeight="false" outlineLevel="0" collapsed="false">
      <c r="A117" s="522" t="s">
        <v>96</v>
      </c>
      <c r="B117" s="543" t="s">
        <v>336</v>
      </c>
      <c r="C117" s="523" t="n">
        <f aca="false">+$C$131+$C$132</f>
        <v>0.0925</v>
      </c>
      <c r="D117" s="544" t="n">
        <f aca="false">+(C117*D116)*-1</f>
        <v>0</v>
      </c>
    </row>
    <row r="118" customFormat="false" ht="12.75" hidden="false" customHeight="false" outlineLevel="0" collapsed="false">
      <c r="A118" s="522" t="s">
        <v>22</v>
      </c>
      <c r="B118" s="509" t="s">
        <v>405</v>
      </c>
      <c r="C118" s="509"/>
      <c r="D118" s="515"/>
    </row>
    <row r="119" customFormat="false" ht="12.75" hidden="false" customHeight="false" outlineLevel="0" collapsed="false">
      <c r="A119" s="522" t="s">
        <v>470</v>
      </c>
      <c r="B119" s="543" t="s">
        <v>336</v>
      </c>
      <c r="C119" s="523" t="n">
        <f aca="false">+$C$131+$C$132</f>
        <v>0.0925</v>
      </c>
      <c r="D119" s="544" t="n">
        <f aca="false">+(C119*D118)*-1</f>
        <v>0</v>
      </c>
    </row>
    <row r="120" customFormat="false" ht="12.75" hidden="false" customHeight="false" outlineLevel="0" collapsed="false">
      <c r="A120" s="494" t="s">
        <v>406</v>
      </c>
      <c r="B120" s="494"/>
      <c r="C120" s="494"/>
      <c r="D120" s="517" t="n">
        <f aca="false">SUM(D112:D118)</f>
        <v>0</v>
      </c>
    </row>
    <row r="122" customFormat="false" ht="12.75" hidden="false" customHeight="false" outlineLevel="0" collapsed="false">
      <c r="A122" s="505" t="s">
        <v>471</v>
      </c>
      <c r="B122" s="505"/>
      <c r="C122" s="505"/>
      <c r="D122" s="505"/>
    </row>
    <row r="124" customFormat="false" ht="12.75" hidden="false" customHeight="false" outlineLevel="0" collapsed="false">
      <c r="A124" s="562" t="n">
        <v>6</v>
      </c>
      <c r="B124" s="519" t="s">
        <v>472</v>
      </c>
      <c r="C124" s="580" t="s">
        <v>386</v>
      </c>
      <c r="D124" s="492" t="s">
        <v>387</v>
      </c>
    </row>
    <row r="125" customFormat="false" ht="12.75" hidden="false" customHeight="false" outlineLevel="0" collapsed="false">
      <c r="A125" s="522" t="s">
        <v>15</v>
      </c>
      <c r="B125" s="522" t="s">
        <v>328</v>
      </c>
      <c r="C125" s="533" t="n">
        <v>0.03</v>
      </c>
      <c r="D125" s="624" t="n">
        <f aca="false">($D$120+$D$107+$D$75+$D$64+$D$23)*C125</f>
        <v>0</v>
      </c>
    </row>
    <row r="126" customFormat="false" ht="12.75" hidden="false" customHeight="false" outlineLevel="0" collapsed="false">
      <c r="A126" s="522" t="s">
        <v>17</v>
      </c>
      <c r="B126" s="522" t="s">
        <v>329</v>
      </c>
      <c r="C126" s="533" t="n">
        <v>0.03</v>
      </c>
      <c r="D126" s="624" t="n">
        <f aca="false">($D$120+$D$107+$D$75+$D$64+$D$23+D125)*C126</f>
        <v>0</v>
      </c>
    </row>
    <row r="127" s="584" customFormat="true" ht="12.75" hidden="false" customHeight="false" outlineLevel="0" collapsed="false">
      <c r="A127" s="582" t="s">
        <v>473</v>
      </c>
      <c r="B127" s="582"/>
      <c r="C127" s="582"/>
      <c r="D127" s="583" t="n">
        <f aca="false">++D126+D125+D120+D107+D75+D64+D23</f>
        <v>0</v>
      </c>
    </row>
    <row r="128" s="584" customFormat="true" ht="12.75" hidden="false" customHeight="true" outlineLevel="0" collapsed="false">
      <c r="A128" s="585" t="s">
        <v>474</v>
      </c>
      <c r="B128" s="585"/>
      <c r="C128" s="585"/>
      <c r="D128" s="583" t="n">
        <f aca="false">ROUND(D127/(1-(C131+C132+C134+C136+C137)),2)</f>
        <v>0</v>
      </c>
    </row>
    <row r="129" customFormat="false" ht="12.75" hidden="false" customHeight="false" outlineLevel="0" collapsed="false">
      <c r="A129" s="522" t="s">
        <v>20</v>
      </c>
      <c r="B129" s="522" t="s">
        <v>475</v>
      </c>
      <c r="C129" s="533"/>
      <c r="D129" s="624"/>
    </row>
    <row r="130" customFormat="false" ht="12.75" hidden="false" customHeight="false" outlineLevel="0" collapsed="false">
      <c r="A130" s="522" t="s">
        <v>96</v>
      </c>
      <c r="B130" s="522" t="s">
        <v>476</v>
      </c>
      <c r="C130" s="533"/>
      <c r="D130" s="624"/>
    </row>
    <row r="131" customFormat="false" ht="12.75" hidden="false" customHeight="false" outlineLevel="0" collapsed="false">
      <c r="A131" s="522" t="s">
        <v>477</v>
      </c>
      <c r="B131" s="522" t="s">
        <v>330</v>
      </c>
      <c r="C131" s="533" t="n">
        <v>0.0165</v>
      </c>
      <c r="D131" s="624" t="n">
        <f aca="false">ROUND(C131*$D$128,2)</f>
        <v>0</v>
      </c>
      <c r="G131" s="586"/>
    </row>
    <row r="132" customFormat="false" ht="12.75" hidden="false" customHeight="false" outlineLevel="0" collapsed="false">
      <c r="A132" s="522" t="s">
        <v>478</v>
      </c>
      <c r="B132" s="522" t="s">
        <v>331</v>
      </c>
      <c r="C132" s="533" t="n">
        <v>0.076</v>
      </c>
      <c r="D132" s="624" t="n">
        <f aca="false">ROUND(C132*$D$128,2)</f>
        <v>0</v>
      </c>
      <c r="G132" s="586"/>
    </row>
    <row r="133" customFormat="false" ht="12.75" hidden="false" customHeight="false" outlineLevel="0" collapsed="false">
      <c r="A133" s="522" t="s">
        <v>479</v>
      </c>
      <c r="B133" s="522" t="s">
        <v>480</v>
      </c>
      <c r="C133" s="533"/>
      <c r="D133" s="624"/>
      <c r="G133" s="586"/>
    </row>
    <row r="134" customFormat="false" ht="12.75" hidden="false" customHeight="false" outlineLevel="0" collapsed="false">
      <c r="A134" s="522" t="s">
        <v>481</v>
      </c>
      <c r="B134" s="522" t="s">
        <v>482</v>
      </c>
      <c r="C134" s="533"/>
      <c r="D134" s="624"/>
      <c r="G134" s="586"/>
    </row>
    <row r="135" customFormat="false" ht="12.75" hidden="false" customHeight="false" outlineLevel="0" collapsed="false">
      <c r="A135" s="522" t="s">
        <v>483</v>
      </c>
      <c r="B135" s="522" t="s">
        <v>484</v>
      </c>
      <c r="C135" s="533"/>
      <c r="D135" s="624"/>
    </row>
    <row r="136" customFormat="false" ht="12.75" hidden="false" customHeight="false" outlineLevel="0" collapsed="false">
      <c r="A136" s="522" t="s">
        <v>485</v>
      </c>
      <c r="B136" s="522" t="s">
        <v>332</v>
      </c>
      <c r="C136" s="533" t="n">
        <v>0.05</v>
      </c>
      <c r="D136" s="624" t="n">
        <f aca="false">ROUND(C136*$D$128,2)</f>
        <v>0</v>
      </c>
    </row>
    <row r="137" customFormat="false" ht="12.75" hidden="false" customHeight="false" outlineLevel="0" collapsed="false">
      <c r="A137" s="522" t="s">
        <v>486</v>
      </c>
      <c r="B137" s="522" t="s">
        <v>487</v>
      </c>
      <c r="C137" s="533"/>
      <c r="D137" s="624"/>
    </row>
    <row r="138" customFormat="false" ht="12.75" hidden="false" customHeight="false" outlineLevel="0" collapsed="false">
      <c r="A138" s="522" t="s">
        <v>22</v>
      </c>
      <c r="B138" s="522" t="s">
        <v>488</v>
      </c>
      <c r="C138" s="533"/>
      <c r="D138" s="624"/>
    </row>
    <row r="139" customFormat="false" ht="14.25" hidden="false" customHeight="false" outlineLevel="0" collapsed="false">
      <c r="A139" s="522" t="s">
        <v>489</v>
      </c>
      <c r="B139" s="522" t="s">
        <v>490</v>
      </c>
      <c r="C139" s="533"/>
      <c r="D139" s="624" t="n">
        <f aca="false">+'LOTE_I_-_Custo_M2'!$T$192</f>
        <v>0.33</v>
      </c>
    </row>
    <row r="140" customFormat="false" ht="12.75" hidden="false" customHeight="false" outlineLevel="0" collapsed="false">
      <c r="A140" s="522" t="s">
        <v>491</v>
      </c>
      <c r="B140" s="522" t="s">
        <v>492</v>
      </c>
      <c r="C140" s="533"/>
      <c r="D140" s="624" t="n">
        <f aca="false">+'LOTE_I_-_Custo_M2'!$T$193</f>
        <v>0.88</v>
      </c>
    </row>
    <row r="141" customFormat="false" ht="12.75" hidden="false" customHeight="false" outlineLevel="0" collapsed="false">
      <c r="A141" s="535" t="s">
        <v>406</v>
      </c>
      <c r="B141" s="535"/>
      <c r="C141" s="587" t="n">
        <f aca="false">+C137+C136+C134+C132+C131+C126+C125</f>
        <v>0.2025</v>
      </c>
      <c r="D141" s="625" t="n">
        <f aca="false">+D136+D134+D132+D131+D126+D125+D139+D140</f>
        <v>1.21</v>
      </c>
    </row>
    <row r="143" customFormat="false" ht="12.75" hidden="false" customHeight="false" outlineLevel="0" collapsed="false">
      <c r="A143" s="589" t="s">
        <v>493</v>
      </c>
      <c r="B143" s="589"/>
      <c r="C143" s="589"/>
      <c r="D143" s="589"/>
    </row>
    <row r="144" customFormat="false" ht="12.75" hidden="false" customHeight="false" outlineLevel="0" collapsed="false">
      <c r="A144" s="522" t="s">
        <v>15</v>
      </c>
      <c r="B144" s="305" t="s">
        <v>494</v>
      </c>
      <c r="C144" s="305"/>
      <c r="D144" s="626" t="n">
        <f aca="false">+D23</f>
        <v>0</v>
      </c>
    </row>
    <row r="145" customFormat="false" ht="12.75" hidden="false" customHeight="false" outlineLevel="0" collapsed="false">
      <c r="A145" s="522" t="s">
        <v>495</v>
      </c>
      <c r="B145" s="305" t="s">
        <v>496</v>
      </c>
      <c r="C145" s="305"/>
      <c r="D145" s="626" t="n">
        <f aca="false">+D64</f>
        <v>0</v>
      </c>
    </row>
    <row r="146" customFormat="false" ht="12.75" hidden="false" customHeight="false" outlineLevel="0" collapsed="false">
      <c r="A146" s="522" t="s">
        <v>20</v>
      </c>
      <c r="B146" s="305" t="s">
        <v>497</v>
      </c>
      <c r="C146" s="305"/>
      <c r="D146" s="626" t="n">
        <f aca="false">+D75</f>
        <v>0</v>
      </c>
    </row>
    <row r="147" customFormat="false" ht="12.75" hidden="false" customHeight="false" outlineLevel="0" collapsed="false">
      <c r="A147" s="522" t="s">
        <v>22</v>
      </c>
      <c r="B147" s="305" t="s">
        <v>498</v>
      </c>
      <c r="C147" s="305"/>
      <c r="D147" s="626" t="n">
        <f aca="false">+D107</f>
        <v>0</v>
      </c>
    </row>
    <row r="148" customFormat="false" ht="12.75" hidden="false" customHeight="false" outlineLevel="0" collapsed="false">
      <c r="A148" s="522" t="s">
        <v>392</v>
      </c>
      <c r="B148" s="305" t="s">
        <v>499</v>
      </c>
      <c r="C148" s="305"/>
      <c r="D148" s="626" t="n">
        <f aca="false">+D120</f>
        <v>0</v>
      </c>
    </row>
    <row r="149" customFormat="false" ht="12.75" hidden="false" customHeight="false" outlineLevel="0" collapsed="false">
      <c r="B149" s="591" t="s">
        <v>500</v>
      </c>
      <c r="C149" s="591"/>
      <c r="D149" s="627" t="n">
        <f aca="false">SUM(D144:D148)</f>
        <v>0</v>
      </c>
    </row>
    <row r="150" customFormat="false" ht="12.75" hidden="false" customHeight="false" outlineLevel="0" collapsed="false">
      <c r="A150" s="522" t="s">
        <v>394</v>
      </c>
      <c r="B150" s="305" t="s">
        <v>501</v>
      </c>
      <c r="C150" s="305"/>
      <c r="D150" s="626" t="n">
        <f aca="false">+D141</f>
        <v>1.21</v>
      </c>
    </row>
    <row r="151" customFormat="false" ht="12.75" hidden="false" customHeight="false" outlineLevel="0" collapsed="false">
      <c r="D151" s="628"/>
    </row>
    <row r="152" customFormat="false" ht="12.75" hidden="false" customHeight="false" outlineLevel="0" collapsed="false">
      <c r="A152" s="594" t="s">
        <v>502</v>
      </c>
      <c r="B152" s="594"/>
      <c r="C152" s="594"/>
      <c r="D152" s="629" t="n">
        <f aca="false">ROUND(+D150+D149,2)</f>
        <v>1.21</v>
      </c>
    </row>
    <row r="154" customFormat="false" ht="39" hidden="false" customHeight="true" outlineLevel="0" collapsed="false">
      <c r="A154" s="597" t="s">
        <v>503</v>
      </c>
      <c r="B154" s="597"/>
      <c r="C154" s="597"/>
      <c r="D154" s="597"/>
    </row>
    <row r="155" customFormat="false" ht="14.25" hidden="false" customHeight="false" outlineLevel="0" collapsed="false">
      <c r="A155" s="599" t="s">
        <v>504</v>
      </c>
      <c r="B155" s="599"/>
      <c r="C155" s="599"/>
      <c r="D155" s="599"/>
      <c r="E155" s="598"/>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4:D154"/>
    <mergeCell ref="A155:D155"/>
  </mergeCells>
  <printOptions headings="false" gridLines="false" gridLinesSet="true" horizontalCentered="false" verticalCentered="false"/>
  <pageMargins left="1.62013888888889" right="0.511805555555555"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C124"/>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9.66"/>
    <col collapsed="false" customWidth="true" hidden="false" outlineLevel="0" max="2" min="2" style="44" width="15.53"/>
    <col collapsed="false" customWidth="true" hidden="false" outlineLevel="0" max="3" min="3" style="44" width="13.09"/>
    <col collapsed="false" customWidth="true" hidden="false" outlineLevel="0" max="4" min="4" style="44" width="10.12"/>
    <col collapsed="false" customWidth="true" hidden="false" outlineLevel="0" max="5" min="5" style="44" width="74.65"/>
    <col collapsed="false" customWidth="true" hidden="false" outlineLevel="0" max="1025" min="6" style="44" width="8.64"/>
  </cols>
  <sheetData>
    <row r="1" customFormat="false" ht="12.75" hidden="false" customHeight="false" outlineLevel="0" collapsed="false">
      <c r="A1" s="678" t="s">
        <v>587</v>
      </c>
      <c r="B1" s="678"/>
      <c r="C1" s="678"/>
    </row>
    <row r="3" customFormat="false" ht="12.75" hidden="false" customHeight="false" outlineLevel="0" collapsed="false">
      <c r="A3" s="522" t="s">
        <v>506</v>
      </c>
      <c r="B3" s="522" t="n">
        <v>220</v>
      </c>
    </row>
    <row r="4" customFormat="false" ht="12.75" hidden="false" customHeight="false" outlineLevel="0" collapsed="false">
      <c r="A4" s="522" t="s">
        <v>507</v>
      </c>
      <c r="B4" s="522" t="n">
        <v>365.25</v>
      </c>
    </row>
    <row r="5" customFormat="false" ht="12.75" hidden="false" customHeight="false" outlineLevel="0" collapsed="false">
      <c r="A5" s="522" t="s">
        <v>508</v>
      </c>
      <c r="B5" s="601" t="n">
        <f aca="false">(365.25/12)/(7/6)</f>
        <v>26.0892857142857</v>
      </c>
    </row>
    <row r="6" customFormat="false" ht="12.75" hidden="false" customHeight="false" outlineLevel="0" collapsed="false">
      <c r="A6" s="543" t="s">
        <v>388</v>
      </c>
      <c r="B6" s="534" t="n">
        <f aca="false">+Servente_Lider_44_seg_a_sab!D12</f>
        <v>0</v>
      </c>
    </row>
    <row r="7" customFormat="false" ht="12.75" hidden="false" customHeight="false" outlineLevel="0" collapsed="false">
      <c r="A7" s="543" t="s">
        <v>509</v>
      </c>
      <c r="B7" s="534" t="n">
        <f aca="false">+Servente_Lider_44_seg_a_sab!D23</f>
        <v>0</v>
      </c>
    </row>
    <row r="9" customFormat="false" ht="12.75" hidden="false" customHeight="false" outlineLevel="0" collapsed="false">
      <c r="A9" s="602" t="s">
        <v>510</v>
      </c>
      <c r="B9" s="602"/>
      <c r="C9" s="602"/>
    </row>
    <row r="10" customFormat="false" ht="12.75" hidden="false" customHeight="false" outlineLevel="0" collapsed="false">
      <c r="A10" s="522" t="s">
        <v>511</v>
      </c>
      <c r="B10" s="522" t="n">
        <f aca="false">+$B$4</f>
        <v>365.25</v>
      </c>
      <c r="C10" s="564"/>
    </row>
    <row r="11" customFormat="false" ht="12.75" hidden="false" customHeight="false" outlineLevel="0" collapsed="false">
      <c r="A11" s="522" t="s">
        <v>512</v>
      </c>
      <c r="B11" s="543" t="n">
        <v>12</v>
      </c>
      <c r="C11" s="564"/>
    </row>
    <row r="12" customFormat="false" ht="12.75" hidden="false" customHeight="false" outlineLevel="0" collapsed="false">
      <c r="A12" s="522" t="s">
        <v>513</v>
      </c>
      <c r="B12" s="533" t="n">
        <v>1</v>
      </c>
      <c r="C12" s="564"/>
    </row>
    <row r="13" customFormat="false" ht="12.75" hidden="false" customHeight="false" outlineLevel="0" collapsed="false">
      <c r="A13" s="543" t="s">
        <v>514</v>
      </c>
      <c r="B13" s="603" t="n">
        <f aca="false">+B5</f>
        <v>26.0892857142857</v>
      </c>
      <c r="C13" s="564"/>
    </row>
    <row r="14" customFormat="false" ht="12.75" hidden="false" customHeight="false" outlineLevel="0" collapsed="false">
      <c r="A14" s="548" t="s">
        <v>515</v>
      </c>
      <c r="B14" s="604"/>
      <c r="C14" s="564"/>
    </row>
    <row r="15" customFormat="false" ht="12.75" hidden="false" customHeight="false" outlineLevel="0" collapsed="false">
      <c r="A15" s="522" t="s">
        <v>516</v>
      </c>
      <c r="B15" s="533" t="n">
        <v>0.06</v>
      </c>
      <c r="C15" s="564"/>
    </row>
    <row r="16" customFormat="false" ht="12.75" hidden="false" customHeight="false" outlineLevel="0" collapsed="false">
      <c r="A16" s="575" t="s">
        <v>517</v>
      </c>
      <c r="B16" s="575"/>
      <c r="C16" s="605" t="n">
        <f aca="false">ROUND((B13*(B14*2)-($B$6*B15)),2)</f>
        <v>0</v>
      </c>
    </row>
    <row r="18" customFormat="false" ht="12.75" hidden="false" customHeight="false" outlineLevel="0" collapsed="false">
      <c r="A18" s="602" t="s">
        <v>518</v>
      </c>
      <c r="B18" s="602"/>
      <c r="C18" s="602"/>
    </row>
    <row r="19" customFormat="false" ht="12.75" hidden="false" customHeight="false" outlineLevel="0" collapsed="false">
      <c r="A19" s="522" t="s">
        <v>511</v>
      </c>
      <c r="B19" s="522" t="n">
        <f aca="false">+$B$4</f>
        <v>365.25</v>
      </c>
      <c r="C19" s="564"/>
    </row>
    <row r="20" customFormat="false" ht="12.75" hidden="false" customHeight="false" outlineLevel="0" collapsed="false">
      <c r="A20" s="522" t="s">
        <v>512</v>
      </c>
      <c r="B20" s="543" t="n">
        <v>12</v>
      </c>
      <c r="C20" s="564"/>
    </row>
    <row r="21" customFormat="false" ht="12.75" hidden="false" customHeight="false" outlineLevel="0" collapsed="false">
      <c r="A21" s="522" t="s">
        <v>513</v>
      </c>
      <c r="B21" s="533" t="n">
        <v>1</v>
      </c>
      <c r="C21" s="564"/>
    </row>
    <row r="22" customFormat="false" ht="12.75" hidden="false" customHeight="false" outlineLevel="0" collapsed="false">
      <c r="A22" s="543" t="s">
        <v>514</v>
      </c>
      <c r="B22" s="601" t="n">
        <f aca="false">(365.25/12)/(7/5)</f>
        <v>21.7410714285714</v>
      </c>
      <c r="C22" s="564"/>
    </row>
    <row r="23" customFormat="false" ht="12.75" hidden="false" customHeight="false" outlineLevel="0" collapsed="false">
      <c r="A23" s="548" t="s">
        <v>519</v>
      </c>
      <c r="B23" s="604"/>
      <c r="C23" s="564"/>
    </row>
    <row r="24" customFormat="false" ht="12.75" hidden="false" customHeight="false" outlineLevel="0" collapsed="false">
      <c r="A24" s="522" t="s">
        <v>520</v>
      </c>
      <c r="B24" s="533" t="n">
        <v>0.1</v>
      </c>
      <c r="C24" s="564"/>
    </row>
    <row r="25" customFormat="false" ht="12.75" hidden="false" customHeight="false" outlineLevel="0" collapsed="false">
      <c r="A25" s="575" t="s">
        <v>519</v>
      </c>
      <c r="B25" s="575"/>
      <c r="C25" s="605" t="n">
        <f aca="false">ROUND((B22*(B23)-((B22*B23)*B24)),2)</f>
        <v>0</v>
      </c>
    </row>
    <row r="27" customFormat="false" ht="12.75" hidden="false" customHeight="false" outlineLevel="0" collapsed="false">
      <c r="A27" s="602" t="s">
        <v>521</v>
      </c>
      <c r="B27" s="602"/>
      <c r="C27" s="602"/>
    </row>
    <row r="28" customFormat="false" ht="12.75" hidden="false" customHeight="false" outlineLevel="0" collapsed="false">
      <c r="A28" s="522" t="s">
        <v>522</v>
      </c>
      <c r="B28" s="534" t="n">
        <f aca="false">+B7</f>
        <v>0</v>
      </c>
      <c r="C28" s="564"/>
    </row>
    <row r="29" customFormat="false" ht="12.75" hidden="false" customHeight="false" outlineLevel="0" collapsed="false">
      <c r="A29" s="522" t="s">
        <v>523</v>
      </c>
      <c r="B29" s="522" t="n">
        <v>12</v>
      </c>
      <c r="C29" s="564"/>
    </row>
    <row r="30" customFormat="false" ht="12.75" hidden="false" customHeight="false" outlineLevel="0" collapsed="false">
      <c r="A30" s="546" t="s">
        <v>524</v>
      </c>
      <c r="B30" s="606"/>
      <c r="C30" s="564"/>
    </row>
    <row r="31" customFormat="false" ht="12.75" hidden="false" customHeight="false" outlineLevel="0" collapsed="false">
      <c r="A31" s="575" t="s">
        <v>525</v>
      </c>
      <c r="B31" s="575"/>
      <c r="C31" s="605" t="n">
        <f aca="false">ROUND(+(B28/B29)*B30,2)</f>
        <v>0</v>
      </c>
    </row>
    <row r="33" customFormat="false" ht="12.75" hidden="false" customHeight="true" outlineLevel="0" collapsed="false">
      <c r="A33" s="607" t="s">
        <v>526</v>
      </c>
      <c r="B33" s="607"/>
      <c r="C33" s="607"/>
    </row>
    <row r="34" s="46" customFormat="true" ht="12.75" hidden="false" customHeight="false" outlineLevel="0" collapsed="false">
      <c r="A34" s="608" t="s">
        <v>527</v>
      </c>
      <c r="B34" s="606" t="n">
        <f aca="false">+B30</f>
        <v>0</v>
      </c>
      <c r="C34" s="564"/>
    </row>
    <row r="35" customFormat="false" ht="12.75" hidden="false" customHeight="false" outlineLevel="0" collapsed="false">
      <c r="A35" s="522" t="s">
        <v>528</v>
      </c>
      <c r="B35" s="534" t="n">
        <f aca="false">+Servente_Lider_44_seg_a_sab!$D$23</f>
        <v>0</v>
      </c>
      <c r="C35" s="564"/>
    </row>
    <row r="36" customFormat="false" ht="12.75" hidden="false" customHeight="false" outlineLevel="0" collapsed="false">
      <c r="A36" s="522" t="s">
        <v>411</v>
      </c>
      <c r="B36" s="534" t="n">
        <f aca="false">+Servente_Lider_44_seg_a_sab!$D$29</f>
        <v>0</v>
      </c>
      <c r="C36" s="564"/>
    </row>
    <row r="37" customFormat="false" ht="12.75" hidden="false" customHeight="false" outlineLevel="0" collapsed="false">
      <c r="A37" s="522" t="s">
        <v>413</v>
      </c>
      <c r="B37" s="534" t="n">
        <f aca="false">+Servente_Lider_44_seg_a_sab!$D$31</f>
        <v>0</v>
      </c>
      <c r="C37" s="564"/>
    </row>
    <row r="38" customFormat="false" ht="12.75" hidden="false" customHeight="false" outlineLevel="0" collapsed="false">
      <c r="A38" s="522" t="s">
        <v>414</v>
      </c>
      <c r="B38" s="534" t="n">
        <f aca="false">+Servente_Lider_44_seg_a_sab!$D$32</f>
        <v>0</v>
      </c>
      <c r="C38" s="564"/>
    </row>
    <row r="39" customFormat="false" ht="12.75" hidden="false" customHeight="false" outlineLevel="0" collapsed="false">
      <c r="A39" s="609" t="s">
        <v>529</v>
      </c>
      <c r="B39" s="610" t="n">
        <f aca="false">SUM(B35:B38)</f>
        <v>0</v>
      </c>
      <c r="C39" s="564"/>
    </row>
    <row r="40" customFormat="false" ht="12.75" hidden="false" customHeight="false" outlineLevel="0" collapsed="false">
      <c r="A40" s="543" t="s">
        <v>530</v>
      </c>
      <c r="B40" s="533" t="n">
        <v>0.4</v>
      </c>
      <c r="C40" s="564"/>
    </row>
    <row r="41" customFormat="false" ht="12.75" hidden="false" customHeight="false" outlineLevel="0" collapsed="false">
      <c r="A41" s="543" t="s">
        <v>531</v>
      </c>
      <c r="B41" s="533" t="n">
        <f aca="false">+Servente_Lider_44_seg_a_sab!$C$44</f>
        <v>0.08</v>
      </c>
      <c r="C41" s="564"/>
    </row>
    <row r="42" customFormat="false" ht="12.75" hidden="false" customHeight="false" outlineLevel="0" collapsed="false">
      <c r="A42" s="577" t="s">
        <v>532</v>
      </c>
      <c r="B42" s="577"/>
      <c r="C42" s="578" t="n">
        <f aca="false">ROUND(+B39*B40*B41*B34,2)</f>
        <v>0</v>
      </c>
    </row>
    <row r="43" customFormat="false" ht="12.75" hidden="false" customHeight="false" outlineLevel="0" collapsed="false">
      <c r="A43" s="575" t="s">
        <v>533</v>
      </c>
      <c r="B43" s="575"/>
      <c r="C43" s="579" t="n">
        <f aca="false">+C42</f>
        <v>0</v>
      </c>
    </row>
    <row r="45" customFormat="false" ht="12.75" hidden="false" customHeight="false" outlineLevel="0" collapsed="false">
      <c r="A45" s="602" t="s">
        <v>534</v>
      </c>
      <c r="B45" s="602"/>
      <c r="C45" s="602"/>
    </row>
    <row r="46" customFormat="false" ht="12.75" hidden="false" customHeight="false" outlineLevel="0" collapsed="false">
      <c r="A46" s="522" t="s">
        <v>522</v>
      </c>
      <c r="B46" s="534" t="n">
        <f aca="false">+B7</f>
        <v>0</v>
      </c>
      <c r="C46" s="564"/>
    </row>
    <row r="47" customFormat="false" ht="12.75" hidden="false" customHeight="false" outlineLevel="0" collapsed="false">
      <c r="A47" s="522" t="s">
        <v>535</v>
      </c>
      <c r="B47" s="611" t="n">
        <v>30</v>
      </c>
      <c r="C47" s="564"/>
    </row>
    <row r="48" customFormat="false" ht="12.75" hidden="false" customHeight="false" outlineLevel="0" collapsed="false">
      <c r="A48" s="522" t="s">
        <v>523</v>
      </c>
      <c r="B48" s="522" t="n">
        <v>12</v>
      </c>
      <c r="C48" s="564"/>
    </row>
    <row r="49" customFormat="false" ht="12.75" hidden="false" customHeight="false" outlineLevel="0" collapsed="false">
      <c r="A49" s="522" t="s">
        <v>536</v>
      </c>
      <c r="B49" s="522" t="n">
        <v>7</v>
      </c>
      <c r="C49" s="564"/>
    </row>
    <row r="50" customFormat="false" ht="12.75" hidden="false" customHeight="false" outlineLevel="0" collapsed="false">
      <c r="A50" s="546" t="s">
        <v>537</v>
      </c>
      <c r="B50" s="606"/>
      <c r="C50" s="564"/>
    </row>
    <row r="51" customFormat="false" ht="12.75" hidden="false" customHeight="false" outlineLevel="0" collapsed="false">
      <c r="A51" s="575" t="s">
        <v>538</v>
      </c>
      <c r="B51" s="575"/>
      <c r="C51" s="605" t="n">
        <f aca="false">+ROUND(((B46/B47/B48)*B49)*B50,2)</f>
        <v>0</v>
      </c>
    </row>
    <row r="53" customFormat="false" ht="12.75" hidden="false" customHeight="true" outlineLevel="0" collapsed="false">
      <c r="A53" s="607" t="s">
        <v>539</v>
      </c>
      <c r="B53" s="607"/>
      <c r="C53" s="607"/>
    </row>
    <row r="54" customFormat="false" ht="12.75" hidden="false" customHeight="false" outlineLevel="0" collapsed="false">
      <c r="A54" s="608" t="s">
        <v>540</v>
      </c>
      <c r="B54" s="606" t="n">
        <f aca="false">+B50</f>
        <v>0</v>
      </c>
      <c r="C54" s="564"/>
    </row>
    <row r="55" customFormat="false" ht="12.75" hidden="false" customHeight="false" outlineLevel="0" collapsed="false">
      <c r="A55" s="522" t="s">
        <v>528</v>
      </c>
      <c r="B55" s="534" t="n">
        <f aca="false">+Servente_Lider_44_seg_a_sab!$D$23</f>
        <v>0</v>
      </c>
      <c r="C55" s="564"/>
    </row>
    <row r="56" customFormat="false" ht="12.75" hidden="false" customHeight="false" outlineLevel="0" collapsed="false">
      <c r="A56" s="522" t="s">
        <v>411</v>
      </c>
      <c r="B56" s="534" t="n">
        <f aca="false">+Servente_Lider_44_seg_a_sab!$D$29</f>
        <v>0</v>
      </c>
      <c r="C56" s="564"/>
    </row>
    <row r="57" customFormat="false" ht="12.75" hidden="false" customHeight="false" outlineLevel="0" collapsed="false">
      <c r="A57" s="522" t="s">
        <v>413</v>
      </c>
      <c r="B57" s="534" t="n">
        <f aca="false">+Servente_Lider_44_seg_a_sab!$D$31</f>
        <v>0</v>
      </c>
      <c r="C57" s="564"/>
    </row>
    <row r="58" customFormat="false" ht="12.75" hidden="false" customHeight="false" outlineLevel="0" collapsed="false">
      <c r="A58" s="522" t="s">
        <v>414</v>
      </c>
      <c r="B58" s="534" t="n">
        <f aca="false">+Servente_Lider_44_seg_a_sab!$D$32</f>
        <v>0</v>
      </c>
      <c r="C58" s="564"/>
    </row>
    <row r="59" customFormat="false" ht="12.75" hidden="false" customHeight="false" outlineLevel="0" collapsed="false">
      <c r="A59" s="609" t="s">
        <v>529</v>
      </c>
      <c r="B59" s="610" t="n">
        <f aca="false">SUM(B55:B58)</f>
        <v>0</v>
      </c>
      <c r="C59" s="564"/>
    </row>
    <row r="60" customFormat="false" ht="12.75" hidden="false" customHeight="false" outlineLevel="0" collapsed="false">
      <c r="A60" s="543" t="s">
        <v>530</v>
      </c>
      <c r="B60" s="533" t="n">
        <v>0.4</v>
      </c>
      <c r="C60" s="564"/>
    </row>
    <row r="61" customFormat="false" ht="12.75" hidden="false" customHeight="false" outlineLevel="0" collapsed="false">
      <c r="A61" s="543" t="s">
        <v>531</v>
      </c>
      <c r="B61" s="533" t="n">
        <f aca="false">+Servente_Lider_44_seg_a_sab!$C$44</f>
        <v>0.08</v>
      </c>
      <c r="C61" s="564"/>
    </row>
    <row r="62" customFormat="false" ht="12.75" hidden="false" customHeight="false" outlineLevel="0" collapsed="false">
      <c r="A62" s="577" t="s">
        <v>532</v>
      </c>
      <c r="B62" s="577"/>
      <c r="C62" s="578" t="n">
        <f aca="false">ROUND(+B59*B60*B61*B54,2)</f>
        <v>0</v>
      </c>
    </row>
    <row r="63" customFormat="false" ht="12.75" hidden="false" customHeight="false" outlineLevel="0" collapsed="false">
      <c r="A63" s="575" t="s">
        <v>541</v>
      </c>
      <c r="B63" s="575"/>
      <c r="C63" s="579" t="n">
        <f aca="false">+C62</f>
        <v>0</v>
      </c>
    </row>
    <row r="65" customFormat="false" ht="12.75" hidden="false" customHeight="true" outlineLevel="0" collapsed="false">
      <c r="A65" s="607" t="s">
        <v>542</v>
      </c>
      <c r="B65" s="607"/>
      <c r="C65" s="607"/>
    </row>
    <row r="66" customFormat="false" ht="12.75" hidden="false" customHeight="true" outlineLevel="0" collapsed="false">
      <c r="A66" s="612" t="s">
        <v>543</v>
      </c>
      <c r="B66" s="612"/>
      <c r="C66" s="612"/>
    </row>
    <row r="67" customFormat="false" ht="12.75" hidden="false" customHeight="false" outlineLevel="0" collapsed="false">
      <c r="A67" s="612"/>
      <c r="B67" s="612"/>
      <c r="C67" s="612"/>
    </row>
    <row r="68" customFormat="false" ht="12.75" hidden="false" customHeight="false" outlineLevel="0" collapsed="false">
      <c r="A68" s="612"/>
      <c r="B68" s="612"/>
      <c r="C68" s="612"/>
    </row>
    <row r="69" customFormat="false" ht="12.75" hidden="false" customHeight="false" outlineLevel="0" collapsed="false">
      <c r="A69" s="612"/>
      <c r="B69" s="612"/>
      <c r="C69" s="612"/>
    </row>
    <row r="70" customFormat="false" ht="12.75" hidden="false" customHeight="false" outlineLevel="0" collapsed="false">
      <c r="A70" s="613"/>
      <c r="B70" s="613"/>
      <c r="C70" s="613"/>
    </row>
    <row r="71" customFormat="false" ht="12.75" hidden="false" customHeight="true" outlineLevel="0" collapsed="false">
      <c r="A71" s="607" t="s">
        <v>544</v>
      </c>
      <c r="B71" s="607"/>
      <c r="C71" s="607"/>
    </row>
    <row r="72" customFormat="false" ht="12.75" hidden="false" customHeight="false" outlineLevel="0" collapsed="false">
      <c r="A72" s="522" t="s">
        <v>545</v>
      </c>
      <c r="B72" s="534" t="n">
        <f aca="false">+$B$7</f>
        <v>0</v>
      </c>
      <c r="C72" s="564"/>
    </row>
    <row r="73" customFormat="false" ht="12.75" hidden="false" customHeight="false" outlineLevel="0" collapsed="false">
      <c r="A73" s="522" t="s">
        <v>512</v>
      </c>
      <c r="B73" s="522" t="n">
        <v>30</v>
      </c>
      <c r="C73" s="564"/>
    </row>
    <row r="74" customFormat="false" ht="12.75" hidden="false" customHeight="false" outlineLevel="0" collapsed="false">
      <c r="A74" s="522" t="s">
        <v>546</v>
      </c>
      <c r="B74" s="522" t="n">
        <v>12</v>
      </c>
      <c r="C74" s="564"/>
    </row>
    <row r="75" customFormat="false" ht="12.75" hidden="false" customHeight="false" outlineLevel="0" collapsed="false">
      <c r="A75" s="546" t="s">
        <v>547</v>
      </c>
      <c r="B75" s="546"/>
      <c r="C75" s="564"/>
    </row>
    <row r="76" customFormat="false" ht="12.75" hidden="false" customHeight="false" outlineLevel="0" collapsed="false">
      <c r="A76" s="575" t="s">
        <v>548</v>
      </c>
      <c r="B76" s="575"/>
      <c r="C76" s="556" t="n">
        <f aca="false">+ROUND((B72/B73/B74)*B75,2)</f>
        <v>0</v>
      </c>
    </row>
    <row r="78" customFormat="false" ht="12.75" hidden="false" customHeight="true" outlineLevel="0" collapsed="false">
      <c r="A78" s="607" t="s">
        <v>549</v>
      </c>
      <c r="B78" s="607"/>
      <c r="C78" s="607"/>
    </row>
    <row r="79" customFormat="false" ht="12.75" hidden="false" customHeight="false" outlineLevel="0" collapsed="false">
      <c r="A79" s="522" t="s">
        <v>545</v>
      </c>
      <c r="B79" s="534" t="n">
        <f aca="false">+$B$7</f>
        <v>0</v>
      </c>
      <c r="C79" s="564"/>
    </row>
    <row r="80" customFormat="false" ht="12.75" hidden="false" customHeight="false" outlineLevel="0" collapsed="false">
      <c r="A80" s="522" t="s">
        <v>512</v>
      </c>
      <c r="B80" s="522" t="n">
        <v>30</v>
      </c>
      <c r="C80" s="564"/>
    </row>
    <row r="81" customFormat="false" ht="12.75" hidden="false" customHeight="false" outlineLevel="0" collapsed="false">
      <c r="A81" s="522" t="s">
        <v>546</v>
      </c>
      <c r="B81" s="522" t="n">
        <v>12</v>
      </c>
      <c r="C81" s="564"/>
    </row>
    <row r="82" customFormat="false" ht="12.75" hidden="false" customHeight="false" outlineLevel="0" collapsed="false">
      <c r="A82" s="543" t="s">
        <v>550</v>
      </c>
      <c r="B82" s="522" t="n">
        <v>5</v>
      </c>
      <c r="C82" s="564"/>
    </row>
    <row r="83" customFormat="false" ht="12.75" hidden="false" customHeight="false" outlineLevel="0" collapsed="false">
      <c r="A83" s="546" t="s">
        <v>551</v>
      </c>
      <c r="B83" s="606"/>
      <c r="C83" s="564"/>
    </row>
    <row r="84" customFormat="false" ht="12.75" hidden="false" customHeight="false" outlineLevel="0" collapsed="false">
      <c r="A84" s="546" t="s">
        <v>552</v>
      </c>
      <c r="B84" s="606"/>
      <c r="C84" s="564"/>
    </row>
    <row r="85" customFormat="false" ht="12.75" hidden="false" customHeight="false" outlineLevel="0" collapsed="false">
      <c r="A85" s="575" t="s">
        <v>553</v>
      </c>
      <c r="B85" s="575"/>
      <c r="C85" s="605" t="n">
        <f aca="false">ROUND(+B79/B80/B81*B82*B83*B84,2)</f>
        <v>0</v>
      </c>
    </row>
    <row r="87" customFormat="false" ht="12.75" hidden="false" customHeight="true" outlineLevel="0" collapsed="false">
      <c r="A87" s="607" t="s">
        <v>554</v>
      </c>
      <c r="B87" s="607"/>
      <c r="C87" s="607"/>
    </row>
    <row r="88" customFormat="false" ht="12.75" hidden="false" customHeight="false" outlineLevel="0" collapsed="false">
      <c r="A88" s="522" t="s">
        <v>545</v>
      </c>
      <c r="B88" s="534" t="n">
        <f aca="false">+$B$7</f>
        <v>0</v>
      </c>
      <c r="C88" s="564"/>
    </row>
    <row r="89" customFormat="false" ht="12.75" hidden="false" customHeight="false" outlineLevel="0" collapsed="false">
      <c r="A89" s="522" t="s">
        <v>512</v>
      </c>
      <c r="B89" s="522" t="n">
        <v>30</v>
      </c>
      <c r="C89" s="564"/>
    </row>
    <row r="90" customFormat="false" ht="12.75" hidden="false" customHeight="false" outlineLevel="0" collapsed="false">
      <c r="A90" s="522" t="s">
        <v>546</v>
      </c>
      <c r="B90" s="522" t="n">
        <v>12</v>
      </c>
      <c r="C90" s="564"/>
    </row>
    <row r="91" customFormat="false" ht="12.75" hidden="false" customHeight="false" outlineLevel="0" collapsed="false">
      <c r="A91" s="543" t="s">
        <v>555</v>
      </c>
      <c r="B91" s="522" t="n">
        <v>15</v>
      </c>
      <c r="C91" s="564"/>
    </row>
    <row r="92" customFormat="false" ht="12.75" hidden="false" customHeight="false" outlineLevel="0" collapsed="false">
      <c r="A92" s="546" t="s">
        <v>556</v>
      </c>
      <c r="B92" s="606"/>
      <c r="C92" s="564"/>
    </row>
    <row r="93" customFormat="false" ht="12.75" hidden="false" customHeight="false" outlineLevel="0" collapsed="false">
      <c r="A93" s="575" t="s">
        <v>557</v>
      </c>
      <c r="B93" s="575"/>
      <c r="C93" s="605" t="n">
        <f aca="false">ROUND(+B88/B89/B90*B91*B92,2)</f>
        <v>0</v>
      </c>
    </row>
    <row r="95" customFormat="false" ht="12.75" hidden="false" customHeight="true" outlineLevel="0" collapsed="false">
      <c r="A95" s="607" t="s">
        <v>558</v>
      </c>
      <c r="B95" s="607"/>
      <c r="C95" s="607"/>
    </row>
    <row r="96" customFormat="false" ht="12.75" hidden="false" customHeight="false" outlineLevel="0" collapsed="false">
      <c r="A96" s="522" t="s">
        <v>545</v>
      </c>
      <c r="B96" s="534" t="n">
        <f aca="false">+$B$7</f>
        <v>0</v>
      </c>
      <c r="C96" s="564"/>
    </row>
    <row r="97" customFormat="false" ht="12.75" hidden="false" customHeight="false" outlineLevel="0" collapsed="false">
      <c r="A97" s="522" t="s">
        <v>512</v>
      </c>
      <c r="B97" s="522" t="n">
        <v>30</v>
      </c>
      <c r="C97" s="564"/>
    </row>
    <row r="98" customFormat="false" ht="12.75" hidden="false" customHeight="false" outlineLevel="0" collapsed="false">
      <c r="A98" s="522" t="s">
        <v>546</v>
      </c>
      <c r="B98" s="522" t="n">
        <v>12</v>
      </c>
      <c r="C98" s="564"/>
    </row>
    <row r="99" customFormat="false" ht="12.75" hidden="false" customHeight="false" outlineLevel="0" collapsed="false">
      <c r="A99" s="543" t="s">
        <v>555</v>
      </c>
      <c r="B99" s="522" t="n">
        <v>5</v>
      </c>
      <c r="C99" s="564"/>
    </row>
    <row r="100" customFormat="false" ht="12.75" hidden="false" customHeight="false" outlineLevel="0" collapsed="false">
      <c r="A100" s="546" t="s">
        <v>559</v>
      </c>
      <c r="B100" s="606"/>
      <c r="C100" s="564"/>
    </row>
    <row r="101" customFormat="false" ht="12.75" hidden="false" customHeight="false" outlineLevel="0" collapsed="false">
      <c r="A101" s="575" t="s">
        <v>560</v>
      </c>
      <c r="B101" s="575"/>
      <c r="C101" s="605" t="n">
        <f aca="false">ROUND(+B96/B97/B98*B99*B100,2)</f>
        <v>0</v>
      </c>
    </row>
    <row r="103" customFormat="false" ht="12.75" hidden="false" customHeight="true" outlineLevel="0" collapsed="false">
      <c r="A103" s="607" t="s">
        <v>562</v>
      </c>
      <c r="B103" s="607"/>
      <c r="C103" s="607"/>
    </row>
    <row r="104" customFormat="false" ht="12.75" hidden="false" customHeight="true" outlineLevel="0" collapsed="false">
      <c r="A104" s="614" t="s">
        <v>563</v>
      </c>
      <c r="B104" s="614"/>
      <c r="C104" s="614"/>
    </row>
    <row r="105" customFormat="false" ht="12.75" hidden="false" customHeight="false" outlineLevel="0" collapsed="false">
      <c r="A105" s="522" t="s">
        <v>545</v>
      </c>
      <c r="B105" s="534" t="n">
        <f aca="false">+$B$7</f>
        <v>0</v>
      </c>
      <c r="C105" s="564"/>
    </row>
    <row r="106" customFormat="false" ht="12.75" hidden="false" customHeight="false" outlineLevel="0" collapsed="false">
      <c r="A106" s="522" t="s">
        <v>564</v>
      </c>
      <c r="B106" s="534" t="n">
        <f aca="false">+B105*(1/3)</f>
        <v>0</v>
      </c>
      <c r="C106" s="564"/>
    </row>
    <row r="107" customFormat="false" ht="12.75" hidden="false" customHeight="false" outlineLevel="0" collapsed="false">
      <c r="A107" s="609" t="s">
        <v>529</v>
      </c>
      <c r="B107" s="610" t="n">
        <f aca="false">SUM(B105:B106)</f>
        <v>0</v>
      </c>
      <c r="C107" s="564"/>
    </row>
    <row r="108" customFormat="false" ht="12.75" hidden="false" customHeight="false" outlineLevel="0" collapsed="false">
      <c r="A108" s="522" t="s">
        <v>565</v>
      </c>
      <c r="B108" s="522" t="n">
        <v>4</v>
      </c>
      <c r="C108" s="564"/>
    </row>
    <row r="109" customFormat="false" ht="12.75" hidden="false" customHeight="false" outlineLevel="0" collapsed="false">
      <c r="A109" s="522" t="s">
        <v>546</v>
      </c>
      <c r="B109" s="522" t="n">
        <v>12</v>
      </c>
      <c r="C109" s="564"/>
    </row>
    <row r="110" customFormat="false" ht="12.75" hidden="false" customHeight="false" outlineLevel="0" collapsed="false">
      <c r="A110" s="546" t="s">
        <v>566</v>
      </c>
      <c r="B110" s="606"/>
      <c r="C110" s="564"/>
    </row>
    <row r="111" customFormat="false" ht="12.75" hidden="false" customHeight="false" outlineLevel="0" collapsed="false">
      <c r="A111" s="546" t="s">
        <v>567</v>
      </c>
      <c r="B111" s="606"/>
      <c r="C111" s="564"/>
    </row>
    <row r="112" customFormat="false" ht="12.75" hidden="false" customHeight="false" outlineLevel="0" collapsed="false">
      <c r="A112" s="575" t="s">
        <v>568</v>
      </c>
      <c r="B112" s="575"/>
      <c r="C112" s="605" t="n">
        <f aca="false">ROUND((((+B107*(B108/B109)/B109)*B110)*B111),2)</f>
        <v>0</v>
      </c>
    </row>
    <row r="113" customFormat="false" ht="12.75" hidden="false" customHeight="false" outlineLevel="0" collapsed="false">
      <c r="A113" s="575" t="s">
        <v>569</v>
      </c>
      <c r="B113" s="575"/>
      <c r="C113" s="575"/>
    </row>
    <row r="114" customFormat="false" ht="12.75" hidden="false" customHeight="false" outlineLevel="0" collapsed="false">
      <c r="A114" s="522" t="s">
        <v>545</v>
      </c>
      <c r="B114" s="534" t="n">
        <f aca="false">+Servente_Lider_44_seg_a_sab!D23</f>
        <v>0</v>
      </c>
      <c r="C114" s="564"/>
    </row>
    <row r="115" customFormat="false" ht="12.75" hidden="false" customHeight="false" outlineLevel="0" collapsed="false">
      <c r="A115" s="522" t="s">
        <v>411</v>
      </c>
      <c r="B115" s="534" t="n">
        <f aca="false">+Servente_Lider_44_seg_a_sab!D29</f>
        <v>0</v>
      </c>
      <c r="C115" s="564"/>
    </row>
    <row r="116" customFormat="false" ht="12.75" hidden="false" customHeight="false" outlineLevel="0" collapsed="false">
      <c r="A116" s="609" t="s">
        <v>529</v>
      </c>
      <c r="B116" s="610" t="n">
        <f aca="false">SUM(B114:B115)</f>
        <v>0</v>
      </c>
      <c r="C116" s="564"/>
    </row>
    <row r="117" customFormat="false" ht="12.75" hidden="false" customHeight="false" outlineLevel="0" collapsed="false">
      <c r="A117" s="522" t="s">
        <v>565</v>
      </c>
      <c r="B117" s="522" t="n">
        <v>4</v>
      </c>
      <c r="C117" s="564"/>
    </row>
    <row r="118" customFormat="false" ht="12.75" hidden="false" customHeight="false" outlineLevel="0" collapsed="false">
      <c r="A118" s="522" t="s">
        <v>546</v>
      </c>
      <c r="B118" s="522" t="n">
        <v>12</v>
      </c>
      <c r="C118" s="564"/>
    </row>
    <row r="119" customFormat="false" ht="12.75" hidden="false" customHeight="false" outlineLevel="0" collapsed="false">
      <c r="A119" s="546" t="s">
        <v>566</v>
      </c>
      <c r="B119" s="606" t="n">
        <f aca="false">+B110</f>
        <v>0</v>
      </c>
      <c r="C119" s="564"/>
    </row>
    <row r="120" customFormat="false" ht="12.75" hidden="false" customHeight="false" outlineLevel="0" collapsed="false">
      <c r="A120" s="546" t="s">
        <v>567</v>
      </c>
      <c r="B120" s="606" t="n">
        <f aca="false">+B111</f>
        <v>0</v>
      </c>
      <c r="C120" s="564"/>
    </row>
    <row r="121" customFormat="false" ht="12.75" hidden="false" customHeight="false" outlineLevel="0" collapsed="false">
      <c r="A121" s="543" t="s">
        <v>570</v>
      </c>
      <c r="B121" s="533" t="n">
        <f aca="false">+Servente_Lider_44_seg_a_sab!C45</f>
        <v>0.368</v>
      </c>
      <c r="C121" s="564"/>
    </row>
    <row r="122" customFormat="false" ht="12.75" hidden="false" customHeight="false" outlineLevel="0" collapsed="false">
      <c r="A122" s="575" t="s">
        <v>571</v>
      </c>
      <c r="B122" s="575"/>
      <c r="C122" s="579" t="n">
        <f aca="false">ROUND((((B116*(B117/B118)*B119)*B120)*B121),2)</f>
        <v>0</v>
      </c>
    </row>
    <row r="124" customFormat="false" ht="38.25" hidden="false" customHeight="true" outlineLevel="0" collapsed="false">
      <c r="A124" s="615" t="s">
        <v>575</v>
      </c>
      <c r="B124" s="615"/>
      <c r="C124" s="615"/>
    </row>
  </sheetData>
  <mergeCells count="31">
    <mergeCell ref="A1:C1"/>
    <mergeCell ref="A9:C9"/>
    <mergeCell ref="A16:B16"/>
    <mergeCell ref="A18:C18"/>
    <mergeCell ref="A25:B25"/>
    <mergeCell ref="A27:C27"/>
    <mergeCell ref="A31:B31"/>
    <mergeCell ref="A33:C33"/>
    <mergeCell ref="A42:B42"/>
    <mergeCell ref="A43:B43"/>
    <mergeCell ref="A45:C45"/>
    <mergeCell ref="A51:B51"/>
    <mergeCell ref="A53:C53"/>
    <mergeCell ref="A62:B62"/>
    <mergeCell ref="A63:B63"/>
    <mergeCell ref="A65:C65"/>
    <mergeCell ref="A66:C69"/>
    <mergeCell ref="A71:C71"/>
    <mergeCell ref="A76:B76"/>
    <mergeCell ref="A78:C78"/>
    <mergeCell ref="A85:B85"/>
    <mergeCell ref="A87:C87"/>
    <mergeCell ref="A93:B93"/>
    <mergeCell ref="A95:C95"/>
    <mergeCell ref="A101:B101"/>
    <mergeCell ref="A103:C103"/>
    <mergeCell ref="A104:C104"/>
    <mergeCell ref="A112:B112"/>
    <mergeCell ref="A113:C113"/>
    <mergeCell ref="A122:B122"/>
    <mergeCell ref="A124:C124"/>
  </mergeCells>
  <printOptions headings="false" gridLines="false" gridLinesSet="true" horizontalCentered="false" verticalCentered="false"/>
  <pageMargins left="1.45972222222222" right="0.118055555555556"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G156"/>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08"/>
    <col collapsed="false" customWidth="true" hidden="false" outlineLevel="0" max="2" min="2" style="44" width="54.54"/>
    <col collapsed="false" customWidth="true" hidden="false" outlineLevel="0" max="3" min="3" style="44" width="10.12"/>
    <col collapsed="false" customWidth="true" hidden="false" outlineLevel="0" max="4" min="4" style="44" width="16.87"/>
    <col collapsed="false" customWidth="true" hidden="false" outlineLevel="0" max="5" min="5" style="44" width="12.69"/>
    <col collapsed="false" customWidth="true" hidden="false" outlineLevel="0" max="1025" min="6" style="44" width="8.64"/>
  </cols>
  <sheetData>
    <row r="1" customFormat="false" ht="12.75" hidden="false" customHeight="false" outlineLevel="0" collapsed="false">
      <c r="A1" s="492" t="s">
        <v>374</v>
      </c>
      <c r="B1" s="492"/>
      <c r="C1" s="492"/>
      <c r="D1" s="492"/>
      <c r="E1" s="493"/>
      <c r="F1" s="493"/>
    </row>
    <row r="3" customFormat="false" ht="12.75" hidden="false" customHeight="false" outlineLevel="0" collapsed="false">
      <c r="A3" s="494" t="s">
        <v>375</v>
      </c>
      <c r="B3" s="494"/>
      <c r="C3" s="494"/>
      <c r="D3" s="494"/>
    </row>
    <row r="4" s="498" customFormat="true" ht="25.5" hidden="false" customHeight="true" outlineLevel="0" collapsed="false">
      <c r="A4" s="630" t="n">
        <v>1</v>
      </c>
      <c r="B4" s="631" t="s">
        <v>376</v>
      </c>
      <c r="C4" s="632" t="s">
        <v>588</v>
      </c>
      <c r="D4" s="632"/>
    </row>
    <row r="5" s="498" customFormat="true" ht="12.75" hidden="false" customHeight="false" outlineLevel="0" collapsed="false">
      <c r="A5" s="630" t="n">
        <v>2</v>
      </c>
      <c r="B5" s="631" t="s">
        <v>378</v>
      </c>
      <c r="C5" s="633" t="s">
        <v>589</v>
      </c>
      <c r="D5" s="633"/>
      <c r="F5" s="679"/>
    </row>
    <row r="6" s="498" customFormat="true" ht="12.75" hidden="false" customHeight="false" outlineLevel="0" collapsed="false">
      <c r="A6" s="630" t="n">
        <v>3</v>
      </c>
      <c r="B6" s="631" t="s">
        <v>590</v>
      </c>
      <c r="C6" s="634" t="n">
        <f aca="false">+APRESENTACAO!G21</f>
        <v>0</v>
      </c>
      <c r="D6" s="634"/>
      <c r="F6" s="679"/>
    </row>
    <row r="7" s="498" customFormat="true" ht="12.75" hidden="false" customHeight="false" outlineLevel="0" collapsed="false">
      <c r="A7" s="630" t="n">
        <v>5</v>
      </c>
      <c r="B7" s="631" t="s">
        <v>380</v>
      </c>
      <c r="C7" s="634" t="n">
        <f aca="false">+APRESENTACAO!G23</f>
        <v>0</v>
      </c>
      <c r="D7" s="634"/>
      <c r="F7" s="680"/>
    </row>
    <row r="8" s="498" customFormat="true" ht="12.75" hidden="false" customHeight="true" outlineLevel="0" collapsed="false">
      <c r="A8" s="630" t="n">
        <v>5</v>
      </c>
      <c r="B8" s="631" t="s">
        <v>381</v>
      </c>
      <c r="C8" s="635" t="s">
        <v>382</v>
      </c>
      <c r="D8" s="635"/>
    </row>
    <row r="9" s="498" customFormat="true" ht="12.75" hidden="false" customHeight="false" outlineLevel="0" collapsed="false">
      <c r="A9" s="630" t="n">
        <v>6</v>
      </c>
      <c r="B9" s="631" t="s">
        <v>383</v>
      </c>
      <c r="C9" s="636" t="n">
        <v>43524</v>
      </c>
      <c r="D9" s="636"/>
    </row>
    <row r="10" customFormat="false" ht="12.75" hidden="false" customHeight="false" outlineLevel="0" collapsed="false">
      <c r="D10" s="623"/>
    </row>
    <row r="11" customFormat="false" ht="12.75" hidden="false" customHeight="false" outlineLevel="0" collapsed="false">
      <c r="A11" s="505" t="s">
        <v>384</v>
      </c>
      <c r="B11" s="505"/>
      <c r="C11" s="505"/>
      <c r="D11" s="505"/>
    </row>
    <row r="12" customFormat="false" ht="12.75" hidden="false" customHeight="false" outlineLevel="0" collapsed="false">
      <c r="A12" s="506" t="n">
        <v>1</v>
      </c>
      <c r="B12" s="507" t="s">
        <v>385</v>
      </c>
      <c r="C12" s="492" t="s">
        <v>386</v>
      </c>
      <c r="D12" s="508" t="s">
        <v>387</v>
      </c>
    </row>
    <row r="13" customFormat="false" ht="12.75" hidden="false" customHeight="false" outlineLevel="0" collapsed="false">
      <c r="A13" s="509" t="s">
        <v>15</v>
      </c>
      <c r="B13" s="509" t="s">
        <v>388</v>
      </c>
      <c r="C13" s="509"/>
      <c r="D13" s="510" t="n">
        <f aca="false">+C7</f>
        <v>0</v>
      </c>
    </row>
    <row r="14" customFormat="false" ht="12.75" hidden="false" customHeight="false" outlineLevel="0" collapsed="false">
      <c r="A14" s="509" t="s">
        <v>17</v>
      </c>
      <c r="B14" s="511" t="s">
        <v>389</v>
      </c>
      <c r="C14" s="512"/>
      <c r="D14" s="510"/>
      <c r="E14" s="513"/>
    </row>
    <row r="15" customFormat="false" ht="12.75" hidden="false" customHeight="false" outlineLevel="0" collapsed="false">
      <c r="A15" s="509" t="s">
        <v>20</v>
      </c>
      <c r="B15" s="511" t="s">
        <v>390</v>
      </c>
      <c r="C15" s="512"/>
      <c r="D15" s="510" t="n">
        <f aca="false">+C15*D13</f>
        <v>0</v>
      </c>
    </row>
    <row r="16" customFormat="false" ht="12.75" hidden="false" customHeight="false" outlineLevel="0" collapsed="false">
      <c r="A16" s="509" t="s">
        <v>22</v>
      </c>
      <c r="B16" s="509" t="s">
        <v>391</v>
      </c>
      <c r="C16" s="509"/>
      <c r="D16" s="510"/>
    </row>
    <row r="17" customFormat="false" ht="12.75" hidden="false" customHeight="false" outlineLevel="0" collapsed="false">
      <c r="A17" s="509" t="s">
        <v>392</v>
      </c>
      <c r="B17" s="509" t="s">
        <v>393</v>
      </c>
      <c r="C17" s="509"/>
      <c r="D17" s="510"/>
    </row>
    <row r="18" customFormat="false" ht="12.75" hidden="false" customHeight="false" outlineLevel="0" collapsed="false">
      <c r="A18" s="509" t="s">
        <v>394</v>
      </c>
      <c r="B18" s="509" t="s">
        <v>395</v>
      </c>
      <c r="C18" s="509"/>
      <c r="D18" s="510"/>
    </row>
    <row r="19" customFormat="false" ht="12.75" hidden="false" customHeight="false" outlineLevel="0" collapsed="false">
      <c r="A19" s="509" t="s">
        <v>396</v>
      </c>
      <c r="B19" s="509" t="s">
        <v>397</v>
      </c>
      <c r="C19" s="509"/>
      <c r="D19" s="510"/>
    </row>
    <row r="20" customFormat="false" ht="12.75" hidden="false" customHeight="false" outlineLevel="0" collapsed="false">
      <c r="A20" s="509" t="s">
        <v>398</v>
      </c>
      <c r="B20" s="509" t="s">
        <v>399</v>
      </c>
      <c r="C20" s="509"/>
      <c r="D20" s="514"/>
    </row>
    <row r="21" customFormat="false" ht="12.75" hidden="false" customHeight="false" outlineLevel="0" collapsed="false">
      <c r="A21" s="509" t="s">
        <v>400</v>
      </c>
      <c r="B21" s="511" t="s">
        <v>401</v>
      </c>
      <c r="C21" s="512" t="n">
        <v>0.25</v>
      </c>
      <c r="D21" s="510" t="n">
        <f aca="false">+C6*C21</f>
        <v>0</v>
      </c>
    </row>
    <row r="22" customFormat="false" ht="12.75" hidden="false" customHeight="false" outlineLevel="0" collapsed="false">
      <c r="A22" s="509" t="s">
        <v>402</v>
      </c>
      <c r="B22" s="509" t="s">
        <v>403</v>
      </c>
      <c r="C22" s="509"/>
      <c r="D22" s="515"/>
      <c r="F22" s="516"/>
    </row>
    <row r="23" customFormat="false" ht="12.75" hidden="false" customHeight="false" outlineLevel="0" collapsed="false">
      <c r="A23" s="509" t="s">
        <v>404</v>
      </c>
      <c r="B23" s="509" t="s">
        <v>405</v>
      </c>
      <c r="C23" s="509"/>
      <c r="D23" s="515"/>
    </row>
    <row r="24" customFormat="false" ht="12.75" hidden="false" customHeight="false" outlineLevel="0" collapsed="false">
      <c r="A24" s="494" t="s">
        <v>406</v>
      </c>
      <c r="B24" s="494"/>
      <c r="C24" s="494"/>
      <c r="D24" s="517" t="n">
        <f aca="false">SUM(D13:D23)</f>
        <v>0</v>
      </c>
    </row>
    <row r="26" customFormat="false" ht="12.75" hidden="false" customHeight="false" outlineLevel="0" collapsed="false">
      <c r="A26" s="505" t="s">
        <v>407</v>
      </c>
      <c r="B26" s="505"/>
      <c r="C26" s="505"/>
      <c r="D26" s="505"/>
    </row>
    <row r="28" customFormat="false" ht="12.75" hidden="false" customHeight="false" outlineLevel="0" collapsed="false">
      <c r="A28" s="505" t="s">
        <v>408</v>
      </c>
      <c r="B28" s="505"/>
      <c r="C28" s="505"/>
      <c r="D28" s="505"/>
    </row>
    <row r="29" customFormat="false" ht="12.75" hidden="false" customHeight="false" outlineLevel="0" collapsed="false">
      <c r="A29" s="518" t="s">
        <v>409</v>
      </c>
      <c r="B29" s="519" t="s">
        <v>410</v>
      </c>
      <c r="C29" s="520" t="s">
        <v>386</v>
      </c>
      <c r="D29" s="521" t="s">
        <v>387</v>
      </c>
    </row>
    <row r="30" customFormat="false" ht="12.75" hidden="false" customHeight="false" outlineLevel="0" collapsed="false">
      <c r="A30" s="509" t="s">
        <v>15</v>
      </c>
      <c r="B30" s="522" t="s">
        <v>411</v>
      </c>
      <c r="C30" s="523" t="e">
        <f aca="false">ROUND(+D30/$D$24,4)</f>
        <v>#DIV/0!</v>
      </c>
      <c r="D30" s="515" t="n">
        <f aca="false">ROUND(+D24/12,2)</f>
        <v>0</v>
      </c>
    </row>
    <row r="31" customFormat="false" ht="12.75" hidden="false" customHeight="false" outlineLevel="0" collapsed="false">
      <c r="A31" s="524" t="s">
        <v>17</v>
      </c>
      <c r="B31" s="525" t="s">
        <v>412</v>
      </c>
      <c r="C31" s="526" t="e">
        <f aca="false">ROUND(+D31/$D$24,4)</f>
        <v>#DIV/0!</v>
      </c>
      <c r="D31" s="527" t="n">
        <f aca="false">+D32+D33</f>
        <v>0</v>
      </c>
    </row>
    <row r="32" customFormat="false" ht="12.75" hidden="false" customHeight="false" outlineLevel="0" collapsed="false">
      <c r="A32" s="509" t="s">
        <v>77</v>
      </c>
      <c r="B32" s="528" t="s">
        <v>413</v>
      </c>
      <c r="C32" s="529" t="e">
        <f aca="false">ROUND(+D32/$D$24,4)</f>
        <v>#DIV/0!</v>
      </c>
      <c r="D32" s="530" t="n">
        <f aca="false">ROUND(+D24/12,2)</f>
        <v>0</v>
      </c>
    </row>
    <row r="33" customFormat="false" ht="12.75" hidden="false" customHeight="false" outlineLevel="0" collapsed="false">
      <c r="A33" s="509" t="s">
        <v>91</v>
      </c>
      <c r="B33" s="528" t="s">
        <v>414</v>
      </c>
      <c r="C33" s="529" t="e">
        <f aca="false">ROUND(+D33/$D$24,4)</f>
        <v>#DIV/0!</v>
      </c>
      <c r="D33" s="530" t="n">
        <f aca="false">ROUND(+(D24*1/3)/12,2)</f>
        <v>0</v>
      </c>
    </row>
    <row r="34" customFormat="false" ht="12.75" hidden="false" customHeight="false" outlineLevel="0" collapsed="false">
      <c r="A34" s="494" t="s">
        <v>406</v>
      </c>
      <c r="B34" s="494"/>
      <c r="C34" s="494"/>
      <c r="D34" s="517" t="n">
        <f aca="false">+D31+D30</f>
        <v>0</v>
      </c>
    </row>
    <row r="36" customFormat="false" ht="12.75" hidden="false" customHeight="true" outlineLevel="0" collapsed="false">
      <c r="A36" s="531" t="s">
        <v>415</v>
      </c>
      <c r="B36" s="531"/>
      <c r="C36" s="531"/>
      <c r="D36" s="531"/>
    </row>
    <row r="37" customFormat="false" ht="12.75" hidden="false" customHeight="false" outlineLevel="0" collapsed="false">
      <c r="A37" s="518" t="s">
        <v>416</v>
      </c>
      <c r="B37" s="532" t="s">
        <v>417</v>
      </c>
      <c r="C37" s="520" t="s">
        <v>386</v>
      </c>
      <c r="D37" s="521" t="s">
        <v>387</v>
      </c>
    </row>
    <row r="38" customFormat="false" ht="12.75" hidden="false" customHeight="false" outlineLevel="0" collapsed="false">
      <c r="A38" s="509" t="s">
        <v>15</v>
      </c>
      <c r="B38" s="522" t="s">
        <v>418</v>
      </c>
      <c r="C38" s="533" t="n">
        <v>0.2</v>
      </c>
      <c r="D38" s="534" t="n">
        <f aca="false">ROUND(C38*($D$24+$D$34),2)</f>
        <v>0</v>
      </c>
    </row>
    <row r="39" customFormat="false" ht="12.75" hidden="false" customHeight="false" outlineLevel="0" collapsed="false">
      <c r="A39" s="509" t="s">
        <v>17</v>
      </c>
      <c r="B39" s="522" t="s">
        <v>419</v>
      </c>
      <c r="C39" s="533" t="n">
        <v>0.025</v>
      </c>
      <c r="D39" s="534" t="n">
        <f aca="false">ROUND(C39*($D$24+$D$34),2)</f>
        <v>0</v>
      </c>
    </row>
    <row r="40" customFormat="false" ht="12.75" hidden="false" customHeight="false" outlineLevel="0" collapsed="false">
      <c r="A40" s="509" t="s">
        <v>20</v>
      </c>
      <c r="B40" s="522" t="s">
        <v>420</v>
      </c>
      <c r="C40" s="533" t="n">
        <f aca="false">3%</f>
        <v>0.03</v>
      </c>
      <c r="D40" s="534" t="n">
        <f aca="false">ROUND(C40*($D$24+$D$34),2)</f>
        <v>0</v>
      </c>
    </row>
    <row r="41" customFormat="false" ht="12.75" hidden="false" customHeight="false" outlineLevel="0" collapsed="false">
      <c r="A41" s="509" t="s">
        <v>22</v>
      </c>
      <c r="B41" s="522" t="s">
        <v>421</v>
      </c>
      <c r="C41" s="533" t="n">
        <v>0.015</v>
      </c>
      <c r="D41" s="534" t="n">
        <f aca="false">ROUND(C41*($D$24+$D$34),2)</f>
        <v>0</v>
      </c>
    </row>
    <row r="42" customFormat="false" ht="12.75" hidden="false" customHeight="false" outlineLevel="0" collapsed="false">
      <c r="A42" s="509" t="s">
        <v>392</v>
      </c>
      <c r="B42" s="522" t="s">
        <v>422</v>
      </c>
      <c r="C42" s="533" t="n">
        <v>0.01</v>
      </c>
      <c r="D42" s="534" t="n">
        <f aca="false">ROUND(C42*($D$24+$D$34),2)</f>
        <v>0</v>
      </c>
    </row>
    <row r="43" customFormat="false" ht="12.75" hidden="false" customHeight="false" outlineLevel="0" collapsed="false">
      <c r="A43" s="509" t="s">
        <v>394</v>
      </c>
      <c r="B43" s="522" t="s">
        <v>423</v>
      </c>
      <c r="C43" s="533" t="n">
        <v>0.006</v>
      </c>
      <c r="D43" s="534" t="n">
        <f aca="false">ROUND(C43*($D$24+$D$34),2)</f>
        <v>0</v>
      </c>
    </row>
    <row r="44" customFormat="false" ht="12.75" hidden="false" customHeight="false" outlineLevel="0" collapsed="false">
      <c r="A44" s="509" t="s">
        <v>396</v>
      </c>
      <c r="B44" s="522" t="s">
        <v>424</v>
      </c>
      <c r="C44" s="533" t="n">
        <v>0.002</v>
      </c>
      <c r="D44" s="534" t="n">
        <f aca="false">ROUND(C44*($D$24+$D$34),2)</f>
        <v>0</v>
      </c>
    </row>
    <row r="45" customFormat="false" ht="12.75" hidden="false" customHeight="false" outlineLevel="0" collapsed="false">
      <c r="A45" s="509" t="s">
        <v>398</v>
      </c>
      <c r="B45" s="522" t="s">
        <v>425</v>
      </c>
      <c r="C45" s="533" t="n">
        <v>0.08</v>
      </c>
      <c r="D45" s="534" t="n">
        <f aca="false">ROUND(C45*($D$24+$D$34),2)</f>
        <v>0</v>
      </c>
    </row>
    <row r="46" customFormat="false" ht="12.75" hidden="false" customHeight="false" outlineLevel="0" collapsed="false">
      <c r="A46" s="535" t="s">
        <v>406</v>
      </c>
      <c r="B46" s="536"/>
      <c r="C46" s="537" t="n">
        <f aca="false">SUM(C38:C45)</f>
        <v>0.368</v>
      </c>
      <c r="D46" s="538" t="n">
        <f aca="false">SUM(D38:D45)</f>
        <v>0</v>
      </c>
    </row>
    <row r="47" customFormat="false" ht="12.75" hidden="false" customHeight="false" outlineLevel="0" collapsed="false">
      <c r="A47" s="539"/>
      <c r="B47" s="539"/>
      <c r="C47" s="539"/>
      <c r="D47" s="539"/>
    </row>
    <row r="48" customFormat="false" ht="12.75" hidden="false" customHeight="true" outlineLevel="0" collapsed="false">
      <c r="A48" s="531" t="s">
        <v>426</v>
      </c>
      <c r="B48" s="531"/>
      <c r="C48" s="531"/>
      <c r="D48" s="531"/>
    </row>
    <row r="49" customFormat="false" ht="12.75" hidden="false" customHeight="false" outlineLevel="0" collapsed="false">
      <c r="A49" s="518" t="s">
        <v>427</v>
      </c>
      <c r="B49" s="532" t="s">
        <v>428</v>
      </c>
      <c r="C49" s="520"/>
      <c r="D49" s="521" t="s">
        <v>387</v>
      </c>
    </row>
    <row r="50" customFormat="false" ht="12.75" hidden="false" customHeight="false" outlineLevel="0" collapsed="false">
      <c r="A50" s="540" t="s">
        <v>15</v>
      </c>
      <c r="B50" s="522" t="s">
        <v>429</v>
      </c>
      <c r="C50" s="541"/>
      <c r="D50" s="534" t="n">
        <f aca="false">+Mem_Calc_Encerregado_44h!C17</f>
        <v>0</v>
      </c>
    </row>
    <row r="51" s="46" customFormat="true" ht="12.75" hidden="false" customHeight="false" outlineLevel="0" collapsed="false">
      <c r="A51" s="542" t="s">
        <v>52</v>
      </c>
      <c r="B51" s="543" t="s">
        <v>336</v>
      </c>
      <c r="C51" s="523" t="n">
        <f aca="false">+$C$132+$C$133</f>
        <v>0.0925</v>
      </c>
      <c r="D51" s="544" t="n">
        <f aca="false">+(C51*D50)*-1</f>
        <v>0</v>
      </c>
    </row>
    <row r="52" customFormat="false" ht="12.75" hidden="false" customHeight="false" outlineLevel="0" collapsed="false">
      <c r="A52" s="540" t="s">
        <v>17</v>
      </c>
      <c r="B52" s="522" t="s">
        <v>430</v>
      </c>
      <c r="C52" s="541"/>
      <c r="D52" s="534" t="n">
        <f aca="false">+Mem_Calc_Encerregado_44h!C26</f>
        <v>0</v>
      </c>
    </row>
    <row r="53" s="46" customFormat="true" ht="12.75" hidden="false" customHeight="false" outlineLevel="0" collapsed="false">
      <c r="A53" s="542" t="s">
        <v>77</v>
      </c>
      <c r="B53" s="543" t="s">
        <v>336</v>
      </c>
      <c r="C53" s="523" t="n">
        <f aca="false">+$C$132+$C$133</f>
        <v>0.0925</v>
      </c>
      <c r="D53" s="544" t="n">
        <f aca="false">+(C53*D52)*-1</f>
        <v>0</v>
      </c>
      <c r="F53" s="545"/>
    </row>
    <row r="54" customFormat="false" ht="12.75" hidden="false" customHeight="false" outlineLevel="0" collapsed="false">
      <c r="A54" s="546" t="s">
        <v>20</v>
      </c>
      <c r="B54" s="546" t="s">
        <v>431</v>
      </c>
      <c r="C54" s="541"/>
      <c r="D54" s="547"/>
    </row>
    <row r="55" customFormat="false" ht="12.75" hidden="false" customHeight="false" outlineLevel="0" collapsed="false">
      <c r="A55" s="546" t="s">
        <v>22</v>
      </c>
      <c r="B55" s="548" t="s">
        <v>432</v>
      </c>
      <c r="C55" s="541"/>
      <c r="D55" s="547"/>
    </row>
    <row r="56" customFormat="false" ht="25.5" hidden="false" customHeight="false" outlineLevel="0" collapsed="false">
      <c r="A56" s="546" t="s">
        <v>392</v>
      </c>
      <c r="B56" s="549" t="s">
        <v>433</v>
      </c>
      <c r="C56" s="541"/>
      <c r="D56" s="550"/>
      <c r="F56" s="551"/>
    </row>
    <row r="57" customFormat="false" ht="12.75" hidden="false" customHeight="false" outlineLevel="0" collapsed="false">
      <c r="A57" s="546" t="s">
        <v>394</v>
      </c>
      <c r="B57" s="552" t="s">
        <v>434</v>
      </c>
      <c r="C57" s="541"/>
      <c r="D57" s="553"/>
    </row>
    <row r="58" customFormat="false" ht="12.75" hidden="false" customHeight="false" outlineLevel="0" collapsed="false">
      <c r="A58" s="494" t="s">
        <v>406</v>
      </c>
      <c r="B58" s="494"/>
      <c r="C58" s="554"/>
      <c r="D58" s="555" t="n">
        <f aca="false">SUM(D50:D57)</f>
        <v>0</v>
      </c>
    </row>
    <row r="60" customFormat="false" ht="12.75" hidden="false" customHeight="false" outlineLevel="0" collapsed="false">
      <c r="A60" s="505" t="s">
        <v>435</v>
      </c>
      <c r="B60" s="505"/>
      <c r="C60" s="505"/>
      <c r="D60" s="505"/>
    </row>
    <row r="61" customFormat="false" ht="12.75" hidden="false" customHeight="false" outlineLevel="0" collapsed="false">
      <c r="A61" s="556" t="n">
        <v>2</v>
      </c>
      <c r="B61" s="557" t="s">
        <v>436</v>
      </c>
      <c r="C61" s="557"/>
      <c r="D61" s="558" t="s">
        <v>387</v>
      </c>
    </row>
    <row r="62" customFormat="false" ht="12.75" hidden="false" customHeight="false" outlineLevel="0" collapsed="false">
      <c r="A62" s="543" t="s">
        <v>409</v>
      </c>
      <c r="B62" s="559" t="s">
        <v>410</v>
      </c>
      <c r="C62" s="559"/>
      <c r="D62" s="534" t="n">
        <f aca="false">+D34</f>
        <v>0</v>
      </c>
    </row>
    <row r="63" customFormat="false" ht="12.75" hidden="false" customHeight="false" outlineLevel="0" collapsed="false">
      <c r="A63" s="543" t="s">
        <v>416</v>
      </c>
      <c r="B63" s="559" t="s">
        <v>417</v>
      </c>
      <c r="C63" s="559"/>
      <c r="D63" s="534" t="n">
        <f aca="false">+D46</f>
        <v>0</v>
      </c>
    </row>
    <row r="64" customFormat="false" ht="12.75" hidden="false" customHeight="false" outlineLevel="0" collapsed="false">
      <c r="A64" s="543" t="s">
        <v>427</v>
      </c>
      <c r="B64" s="559" t="s">
        <v>428</v>
      </c>
      <c r="C64" s="559"/>
      <c r="D64" s="560" t="n">
        <f aca="false">+D58</f>
        <v>0</v>
      </c>
    </row>
    <row r="65" customFormat="false" ht="12.75" hidden="false" customHeight="false" outlineLevel="0" collapsed="false">
      <c r="A65" s="557" t="s">
        <v>406</v>
      </c>
      <c r="B65" s="557"/>
      <c r="C65" s="557"/>
      <c r="D65" s="561" t="n">
        <f aca="false">SUM(D62:D64)</f>
        <v>0</v>
      </c>
    </row>
    <row r="67" customFormat="false" ht="12.75" hidden="false" customHeight="false" outlineLevel="0" collapsed="false">
      <c r="A67" s="505" t="s">
        <v>437</v>
      </c>
      <c r="B67" s="505"/>
      <c r="C67" s="505"/>
      <c r="D67" s="505"/>
    </row>
    <row r="69" customFormat="false" ht="12.75" hidden="false" customHeight="false" outlineLevel="0" collapsed="false">
      <c r="A69" s="562" t="n">
        <v>3</v>
      </c>
      <c r="B69" s="519" t="s">
        <v>438</v>
      </c>
      <c r="C69" s="492" t="s">
        <v>386</v>
      </c>
      <c r="D69" s="492" t="s">
        <v>387</v>
      </c>
    </row>
    <row r="70" customFormat="false" ht="12.75" hidden="false" customHeight="false" outlineLevel="0" collapsed="false">
      <c r="A70" s="509" t="s">
        <v>15</v>
      </c>
      <c r="B70" s="543" t="s">
        <v>439</v>
      </c>
      <c r="C70" s="523" t="e">
        <f aca="false">+D70/$D$24</f>
        <v>#DIV/0!</v>
      </c>
      <c r="D70" s="563" t="n">
        <f aca="false">+Mem_Calc_Encerregado_44h!C32</f>
        <v>0</v>
      </c>
    </row>
    <row r="71" customFormat="false" ht="12.75" hidden="false" customHeight="false" outlineLevel="0" collapsed="false">
      <c r="A71" s="509" t="s">
        <v>17</v>
      </c>
      <c r="B71" s="522" t="s">
        <v>440</v>
      </c>
      <c r="C71" s="564"/>
      <c r="D71" s="515" t="n">
        <f aca="false">ROUND(+D70*$C$45,2)</f>
        <v>0</v>
      </c>
    </row>
    <row r="72" customFormat="false" ht="25.5" hidden="false" customHeight="false" outlineLevel="0" collapsed="false">
      <c r="A72" s="509" t="s">
        <v>20</v>
      </c>
      <c r="B72" s="565" t="s">
        <v>441</v>
      </c>
      <c r="C72" s="533" t="e">
        <f aca="false">+D72/$D$24</f>
        <v>#DIV/0!</v>
      </c>
      <c r="D72" s="515" t="n">
        <f aca="false">+Mem_Calc_Encerregado_44h!C44</f>
        <v>0</v>
      </c>
    </row>
    <row r="73" customFormat="false" ht="12.75" hidden="false" customHeight="false" outlineLevel="0" collapsed="false">
      <c r="A73" s="559" t="s">
        <v>22</v>
      </c>
      <c r="B73" s="522" t="s">
        <v>442</v>
      </c>
      <c r="C73" s="533" t="e">
        <f aca="false">+D73/$D$24</f>
        <v>#DIV/0!</v>
      </c>
      <c r="D73" s="515" t="n">
        <f aca="false">+Mem_Calc_Encerregado_44h!C52</f>
        <v>0</v>
      </c>
    </row>
    <row r="74" customFormat="false" ht="25.5" hidden="false" customHeight="false" outlineLevel="0" collapsed="false">
      <c r="A74" s="559" t="s">
        <v>392</v>
      </c>
      <c r="B74" s="565" t="s">
        <v>443</v>
      </c>
      <c r="C74" s="564"/>
      <c r="D74" s="566"/>
    </row>
    <row r="75" customFormat="false" ht="25.5" hidden="false" customHeight="false" outlineLevel="0" collapsed="false">
      <c r="A75" s="559" t="s">
        <v>394</v>
      </c>
      <c r="B75" s="565" t="s">
        <v>444</v>
      </c>
      <c r="C75" s="533" t="e">
        <f aca="false">+D75/$D$24</f>
        <v>#DIV/0!</v>
      </c>
      <c r="D75" s="534" t="n">
        <f aca="false">+Mem_Calc_Encerregado_44h!C64</f>
        <v>0</v>
      </c>
    </row>
    <row r="76" customFormat="false" ht="12.75" hidden="false" customHeight="false" outlineLevel="0" collapsed="false">
      <c r="A76" s="494" t="s">
        <v>406</v>
      </c>
      <c r="B76" s="494"/>
      <c r="C76" s="494"/>
      <c r="D76" s="567" t="n">
        <f aca="false">SUM(D70:D75)</f>
        <v>0</v>
      </c>
    </row>
    <row r="78" customFormat="false" ht="12.75" hidden="false" customHeight="false" outlineLevel="0" collapsed="false">
      <c r="A78" s="505" t="s">
        <v>445</v>
      </c>
      <c r="B78" s="505"/>
      <c r="C78" s="505"/>
      <c r="D78" s="505"/>
    </row>
    <row r="80" customFormat="false" ht="12.75" hidden="false" customHeight="true" outlineLevel="0" collapsed="false">
      <c r="A80" s="568" t="s">
        <v>446</v>
      </c>
      <c r="B80" s="568"/>
      <c r="C80" s="568"/>
      <c r="D80" s="568"/>
    </row>
    <row r="81" customFormat="false" ht="12.75" hidden="false" customHeight="false" outlineLevel="0" collapsed="false">
      <c r="A81" s="562" t="s">
        <v>447</v>
      </c>
      <c r="B81" s="494" t="s">
        <v>448</v>
      </c>
      <c r="C81" s="494"/>
      <c r="D81" s="492" t="s">
        <v>387</v>
      </c>
    </row>
    <row r="82" customFormat="false" ht="12.75" hidden="false" customHeight="false" outlineLevel="0" collapsed="false">
      <c r="A82" s="522" t="s">
        <v>15</v>
      </c>
      <c r="B82" s="305" t="s">
        <v>449</v>
      </c>
      <c r="C82" s="305"/>
      <c r="D82" s="515"/>
    </row>
    <row r="83" customFormat="false" ht="12.75" hidden="false" customHeight="false" outlineLevel="0" collapsed="false">
      <c r="A83" s="543" t="s">
        <v>17</v>
      </c>
      <c r="B83" s="569" t="s">
        <v>448</v>
      </c>
      <c r="C83" s="569"/>
      <c r="D83" s="570" t="n">
        <f aca="false">+Mem_Calc_Encerregado_44h!C77</f>
        <v>0</v>
      </c>
    </row>
    <row r="84" s="46" customFormat="true" ht="12.75" hidden="false" customHeight="false" outlineLevel="0" collapsed="false">
      <c r="A84" s="543" t="s">
        <v>20</v>
      </c>
      <c r="B84" s="569" t="s">
        <v>450</v>
      </c>
      <c r="C84" s="569"/>
      <c r="D84" s="570" t="n">
        <f aca="false">+Mem_Calc_Encerregado_44h!C86</f>
        <v>0</v>
      </c>
    </row>
    <row r="85" s="46" customFormat="true" ht="12.75" hidden="false" customHeight="false" outlineLevel="0" collapsed="false">
      <c r="A85" s="543" t="s">
        <v>22</v>
      </c>
      <c r="B85" s="569" t="s">
        <v>451</v>
      </c>
      <c r="C85" s="569"/>
      <c r="D85" s="570" t="n">
        <f aca="false">+Mem_Calc_Encerregado_44h!C94</f>
        <v>0</v>
      </c>
    </row>
    <row r="86" s="46" customFormat="true" ht="14.25" hidden="false" customHeight="false" outlineLevel="0" collapsed="false">
      <c r="A86" s="543" t="s">
        <v>392</v>
      </c>
      <c r="B86" s="569" t="s">
        <v>452</v>
      </c>
      <c r="C86" s="569"/>
      <c r="D86" s="570"/>
    </row>
    <row r="87" s="46" customFormat="true" ht="12.75" hidden="false" customHeight="false" outlineLevel="0" collapsed="false">
      <c r="A87" s="543" t="s">
        <v>394</v>
      </c>
      <c r="B87" s="569" t="s">
        <v>453</v>
      </c>
      <c r="C87" s="569"/>
      <c r="D87" s="570" t="n">
        <f aca="false">+Mem_Calc_Encerregado_44h!C102</f>
        <v>0</v>
      </c>
    </row>
    <row r="88" customFormat="false" ht="12.75" hidden="false" customHeight="false" outlineLevel="0" collapsed="false">
      <c r="A88" s="522" t="s">
        <v>396</v>
      </c>
      <c r="B88" s="305" t="s">
        <v>405</v>
      </c>
      <c r="C88" s="305"/>
      <c r="D88" s="515"/>
    </row>
    <row r="89" customFormat="false" ht="12.75" hidden="false" customHeight="false" outlineLevel="0" collapsed="false">
      <c r="A89" s="522" t="s">
        <v>398</v>
      </c>
      <c r="B89" s="305" t="s">
        <v>454</v>
      </c>
      <c r="C89" s="305"/>
      <c r="D89" s="566"/>
    </row>
    <row r="90" customFormat="false" ht="12.75" hidden="false" customHeight="false" outlineLevel="0" collapsed="false">
      <c r="A90" s="494" t="s">
        <v>406</v>
      </c>
      <c r="B90" s="494"/>
      <c r="C90" s="494"/>
      <c r="D90" s="517" t="n">
        <f aca="false">SUM(D82:D89)</f>
        <v>0</v>
      </c>
    </row>
    <row r="91" customFormat="false" ht="12.75" hidden="false" customHeight="false" outlineLevel="0" collapsed="false">
      <c r="D91" s="571"/>
    </row>
    <row r="92" customFormat="false" ht="12.75" hidden="false" customHeight="false" outlineLevel="0" collapsed="false">
      <c r="A92" s="562" t="s">
        <v>455</v>
      </c>
      <c r="B92" s="494" t="s">
        <v>456</v>
      </c>
      <c r="C92" s="494"/>
      <c r="D92" s="492" t="s">
        <v>387</v>
      </c>
    </row>
    <row r="93" s="46" customFormat="true" ht="12.75" hidden="false" customHeight="false" outlineLevel="0" collapsed="false">
      <c r="A93" s="543" t="s">
        <v>15</v>
      </c>
      <c r="B93" s="559" t="s">
        <v>457</v>
      </c>
      <c r="C93" s="559"/>
      <c r="D93" s="570" t="n">
        <f aca="false">+Mem_Calc_Encerregado_44h!C114</f>
        <v>0</v>
      </c>
    </row>
    <row r="94" s="46" customFormat="true" ht="32.25" hidden="false" customHeight="true" outlineLevel="0" collapsed="false">
      <c r="A94" s="543" t="s">
        <v>17</v>
      </c>
      <c r="B94" s="572" t="s">
        <v>458</v>
      </c>
      <c r="C94" s="572"/>
      <c r="D94" s="566"/>
    </row>
    <row r="95" s="46" customFormat="true" ht="35.25" hidden="false" customHeight="true" outlineLevel="0" collapsed="false">
      <c r="A95" s="543" t="s">
        <v>20</v>
      </c>
      <c r="B95" s="572" t="s">
        <v>459</v>
      </c>
      <c r="C95" s="572"/>
      <c r="D95" s="566"/>
    </row>
    <row r="96" customFormat="false" ht="12.75" hidden="false" customHeight="false" outlineLevel="0" collapsed="false">
      <c r="A96" s="522" t="s">
        <v>22</v>
      </c>
      <c r="B96" s="305" t="s">
        <v>405</v>
      </c>
      <c r="C96" s="305"/>
      <c r="D96" s="515"/>
    </row>
    <row r="97" customFormat="false" ht="12.75" hidden="false" customHeight="false" outlineLevel="0" collapsed="false">
      <c r="A97" s="494" t="s">
        <v>406</v>
      </c>
      <c r="B97" s="494"/>
      <c r="C97" s="494"/>
      <c r="D97" s="517" t="n">
        <f aca="false">SUM(D93:D96)</f>
        <v>0</v>
      </c>
    </row>
    <row r="98" customFormat="false" ht="12.75" hidden="false" customHeight="false" outlineLevel="0" collapsed="false">
      <c r="D98" s="571"/>
    </row>
    <row r="99" customFormat="false" ht="12.75" hidden="false" customHeight="false" outlineLevel="0" collapsed="false">
      <c r="A99" s="562" t="s">
        <v>460</v>
      </c>
      <c r="B99" s="494" t="s">
        <v>461</v>
      </c>
      <c r="C99" s="494"/>
      <c r="D99" s="492" t="s">
        <v>387</v>
      </c>
    </row>
    <row r="100" s="574" customFormat="true" ht="12.75" hidden="false" customHeight="true" outlineLevel="0" collapsed="false">
      <c r="A100" s="559" t="s">
        <v>15</v>
      </c>
      <c r="B100" s="572" t="s">
        <v>462</v>
      </c>
      <c r="C100" s="572"/>
      <c r="D100" s="573"/>
    </row>
    <row r="101" customFormat="false" ht="12.75" hidden="false" customHeight="false" outlineLevel="0" collapsed="false">
      <c r="A101" s="494" t="s">
        <v>406</v>
      </c>
      <c r="B101" s="494"/>
      <c r="C101" s="494"/>
      <c r="D101" s="517" t="n">
        <f aca="false">SUM(D100:D100)</f>
        <v>0</v>
      </c>
    </row>
    <row r="103" customFormat="false" ht="12.75" hidden="false" customHeight="false" outlineLevel="0" collapsed="false">
      <c r="A103" s="575" t="s">
        <v>463</v>
      </c>
      <c r="B103" s="575"/>
      <c r="C103" s="575"/>
      <c r="D103" s="575"/>
    </row>
    <row r="104" customFormat="false" ht="12.75" hidden="false" customHeight="false" outlineLevel="0" collapsed="false">
      <c r="A104" s="522" t="s">
        <v>447</v>
      </c>
      <c r="B104" s="305" t="s">
        <v>448</v>
      </c>
      <c r="C104" s="305"/>
      <c r="D104" s="534" t="n">
        <f aca="false">+D90</f>
        <v>0</v>
      </c>
    </row>
    <row r="105" customFormat="false" ht="12.75" hidden="false" customHeight="false" outlineLevel="0" collapsed="false">
      <c r="A105" s="522" t="s">
        <v>455</v>
      </c>
      <c r="B105" s="305" t="s">
        <v>456</v>
      </c>
      <c r="C105" s="305"/>
      <c r="D105" s="534" t="n">
        <f aca="false">+D97</f>
        <v>0</v>
      </c>
    </row>
    <row r="106" customFormat="false" ht="12.75" hidden="false" customHeight="false" outlineLevel="0" collapsed="false">
      <c r="A106" s="576"/>
      <c r="B106" s="577" t="s">
        <v>464</v>
      </c>
      <c r="C106" s="577"/>
      <c r="D106" s="578" t="n">
        <f aca="false">+D105+D104</f>
        <v>0</v>
      </c>
    </row>
    <row r="107" customFormat="false" ht="12.75" hidden="false" customHeight="false" outlineLevel="0" collapsed="false">
      <c r="A107" s="522" t="s">
        <v>460</v>
      </c>
      <c r="B107" s="305" t="s">
        <v>461</v>
      </c>
      <c r="C107" s="305"/>
      <c r="D107" s="534" t="n">
        <f aca="false">+D101</f>
        <v>0</v>
      </c>
    </row>
    <row r="108" customFormat="false" ht="12.75" hidden="false" customHeight="false" outlineLevel="0" collapsed="false">
      <c r="A108" s="575" t="s">
        <v>406</v>
      </c>
      <c r="B108" s="575"/>
      <c r="C108" s="575"/>
      <c r="D108" s="579" t="n">
        <f aca="false">+D107+D106</f>
        <v>0</v>
      </c>
    </row>
    <row r="110" customFormat="false" ht="12.75" hidden="false" customHeight="false" outlineLevel="0" collapsed="false">
      <c r="A110" s="505" t="s">
        <v>465</v>
      </c>
      <c r="B110" s="505"/>
      <c r="C110" s="505"/>
      <c r="D110" s="505"/>
    </row>
    <row r="112" customFormat="false" ht="12.75" hidden="false" customHeight="false" outlineLevel="0" collapsed="false">
      <c r="A112" s="562" t="n">
        <v>5</v>
      </c>
      <c r="B112" s="494" t="s">
        <v>466</v>
      </c>
      <c r="C112" s="494"/>
      <c r="D112" s="492" t="s">
        <v>387</v>
      </c>
    </row>
    <row r="113" customFormat="false" ht="12.75" hidden="false" customHeight="false" outlineLevel="0" collapsed="false">
      <c r="A113" s="522" t="s">
        <v>15</v>
      </c>
      <c r="B113" s="509" t="s">
        <v>467</v>
      </c>
      <c r="C113" s="509"/>
      <c r="D113" s="515" t="n">
        <f aca="false">+Uniformes!F17</f>
        <v>0</v>
      </c>
    </row>
    <row r="114" customFormat="false" ht="12.75" hidden="false" customHeight="false" outlineLevel="0" collapsed="false">
      <c r="A114" s="522" t="s">
        <v>52</v>
      </c>
      <c r="B114" s="543" t="s">
        <v>336</v>
      </c>
      <c r="C114" s="523" t="n">
        <f aca="false">+$C$132+$C$133</f>
        <v>0.0925</v>
      </c>
      <c r="D114" s="544" t="n">
        <f aca="false">+(C114*D113)*-1</f>
        <v>0</v>
      </c>
    </row>
    <row r="115" customFormat="false" ht="12.75" hidden="false" customHeight="false" outlineLevel="0" collapsed="false">
      <c r="A115" s="522" t="s">
        <v>17</v>
      </c>
      <c r="B115" s="509" t="s">
        <v>468</v>
      </c>
      <c r="C115" s="509"/>
      <c r="D115" s="515"/>
    </row>
    <row r="116" customFormat="false" ht="12.75" hidden="false" customHeight="false" outlineLevel="0" collapsed="false">
      <c r="A116" s="522" t="s">
        <v>77</v>
      </c>
      <c r="B116" s="543" t="s">
        <v>336</v>
      </c>
      <c r="C116" s="523" t="n">
        <f aca="false">+$C$132+$C$133</f>
        <v>0.0925</v>
      </c>
      <c r="D116" s="544" t="n">
        <f aca="false">+(C116*D115)*-1</f>
        <v>0</v>
      </c>
    </row>
    <row r="117" customFormat="false" ht="12.75" hidden="false" customHeight="false" outlineLevel="0" collapsed="false">
      <c r="A117" s="522" t="s">
        <v>20</v>
      </c>
      <c r="B117" s="509" t="s">
        <v>469</v>
      </c>
      <c r="C117" s="509"/>
      <c r="D117" s="515"/>
    </row>
    <row r="118" customFormat="false" ht="12.75" hidden="false" customHeight="false" outlineLevel="0" collapsed="false">
      <c r="A118" s="522" t="s">
        <v>96</v>
      </c>
      <c r="B118" s="543" t="s">
        <v>336</v>
      </c>
      <c r="C118" s="523" t="n">
        <f aca="false">+$C$132+$C$133</f>
        <v>0.0925</v>
      </c>
      <c r="D118" s="544" t="n">
        <f aca="false">+(C118*D117)*-1</f>
        <v>0</v>
      </c>
    </row>
    <row r="119" customFormat="false" ht="12.75" hidden="false" customHeight="false" outlineLevel="0" collapsed="false">
      <c r="A119" s="522" t="s">
        <v>22</v>
      </c>
      <c r="B119" s="509" t="s">
        <v>405</v>
      </c>
      <c r="C119" s="509"/>
      <c r="D119" s="515"/>
    </row>
    <row r="120" customFormat="false" ht="12.75" hidden="false" customHeight="false" outlineLevel="0" collapsed="false">
      <c r="A120" s="522" t="s">
        <v>470</v>
      </c>
      <c r="B120" s="543" t="s">
        <v>336</v>
      </c>
      <c r="C120" s="523" t="n">
        <f aca="false">+$C$132+$C$133</f>
        <v>0.0925</v>
      </c>
      <c r="D120" s="544" t="n">
        <f aca="false">+(C120*D119)*-1</f>
        <v>0</v>
      </c>
    </row>
    <row r="121" customFormat="false" ht="12.75" hidden="false" customHeight="false" outlineLevel="0" collapsed="false">
      <c r="A121" s="494" t="s">
        <v>406</v>
      </c>
      <c r="B121" s="494"/>
      <c r="C121" s="494"/>
      <c r="D121" s="517" t="n">
        <f aca="false">SUM(D113:D119)</f>
        <v>0</v>
      </c>
    </row>
    <row r="123" customFormat="false" ht="12.75" hidden="false" customHeight="false" outlineLevel="0" collapsed="false">
      <c r="A123" s="505" t="s">
        <v>471</v>
      </c>
      <c r="B123" s="505"/>
      <c r="C123" s="505"/>
      <c r="D123" s="505"/>
    </row>
    <row r="125" customFormat="false" ht="12.75" hidden="false" customHeight="false" outlineLevel="0" collapsed="false">
      <c r="A125" s="562" t="n">
        <v>6</v>
      </c>
      <c r="B125" s="519" t="s">
        <v>472</v>
      </c>
      <c r="C125" s="580" t="s">
        <v>386</v>
      </c>
      <c r="D125" s="492" t="s">
        <v>387</v>
      </c>
    </row>
    <row r="126" customFormat="false" ht="12.75" hidden="false" customHeight="false" outlineLevel="0" collapsed="false">
      <c r="A126" s="522" t="s">
        <v>15</v>
      </c>
      <c r="B126" s="522" t="s">
        <v>328</v>
      </c>
      <c r="C126" s="533" t="n">
        <v>0.03</v>
      </c>
      <c r="D126" s="581" t="n">
        <f aca="false">($D$121+$D$108+$D$76+$D$65+$D$24)*C126</f>
        <v>0</v>
      </c>
    </row>
    <row r="127" customFormat="false" ht="12.75" hidden="false" customHeight="false" outlineLevel="0" collapsed="false">
      <c r="A127" s="522" t="s">
        <v>17</v>
      </c>
      <c r="B127" s="522" t="s">
        <v>329</v>
      </c>
      <c r="C127" s="533" t="n">
        <v>0.03</v>
      </c>
      <c r="D127" s="581" t="n">
        <f aca="false">($D$121+$D$108+$D$76+$D$65+$D$24+D126)*C127</f>
        <v>0</v>
      </c>
    </row>
    <row r="128" s="584" customFormat="true" ht="12.75" hidden="false" customHeight="false" outlineLevel="0" collapsed="false">
      <c r="A128" s="582" t="s">
        <v>473</v>
      </c>
      <c r="B128" s="582"/>
      <c r="C128" s="582"/>
      <c r="D128" s="583" t="n">
        <f aca="false">++D127+D126+D121+D108+D76+D65+D24</f>
        <v>0</v>
      </c>
    </row>
    <row r="129" s="584" customFormat="true" ht="12.75" hidden="false" customHeight="true" outlineLevel="0" collapsed="false">
      <c r="A129" s="585" t="s">
        <v>474</v>
      </c>
      <c r="B129" s="585"/>
      <c r="C129" s="585"/>
      <c r="D129" s="583" t="n">
        <f aca="false">ROUND(D128/(1-(C132+C133+C135+C137+C138)),2)</f>
        <v>0</v>
      </c>
    </row>
    <row r="130" customFormat="false" ht="12.75" hidden="false" customHeight="false" outlineLevel="0" collapsed="false">
      <c r="A130" s="522" t="s">
        <v>20</v>
      </c>
      <c r="B130" s="522" t="s">
        <v>475</v>
      </c>
      <c r="C130" s="533"/>
      <c r="D130" s="581"/>
    </row>
    <row r="131" customFormat="false" ht="12.75" hidden="false" customHeight="false" outlineLevel="0" collapsed="false">
      <c r="A131" s="522" t="s">
        <v>96</v>
      </c>
      <c r="B131" s="522" t="s">
        <v>476</v>
      </c>
      <c r="C131" s="533"/>
      <c r="D131" s="581"/>
    </row>
    <row r="132" customFormat="false" ht="12.75" hidden="false" customHeight="false" outlineLevel="0" collapsed="false">
      <c r="A132" s="522" t="s">
        <v>477</v>
      </c>
      <c r="B132" s="522" t="s">
        <v>330</v>
      </c>
      <c r="C132" s="533" t="n">
        <v>0.0165</v>
      </c>
      <c r="D132" s="581" t="n">
        <f aca="false">ROUND(C132*$D$129,2)</f>
        <v>0</v>
      </c>
      <c r="G132" s="586"/>
    </row>
    <row r="133" customFormat="false" ht="12.75" hidden="false" customHeight="false" outlineLevel="0" collapsed="false">
      <c r="A133" s="522" t="s">
        <v>478</v>
      </c>
      <c r="B133" s="522" t="s">
        <v>331</v>
      </c>
      <c r="C133" s="533" t="n">
        <v>0.076</v>
      </c>
      <c r="D133" s="581" t="n">
        <f aca="false">ROUND(C133*$D$129,2)</f>
        <v>0</v>
      </c>
      <c r="G133" s="586"/>
    </row>
    <row r="134" customFormat="false" ht="12.75" hidden="false" customHeight="false" outlineLevel="0" collapsed="false">
      <c r="A134" s="522" t="s">
        <v>479</v>
      </c>
      <c r="B134" s="522" t="s">
        <v>480</v>
      </c>
      <c r="C134" s="533"/>
      <c r="D134" s="581"/>
      <c r="G134" s="586"/>
    </row>
    <row r="135" customFormat="false" ht="12.75" hidden="false" customHeight="false" outlineLevel="0" collapsed="false">
      <c r="A135" s="522" t="s">
        <v>481</v>
      </c>
      <c r="B135" s="522" t="s">
        <v>482</v>
      </c>
      <c r="C135" s="533"/>
      <c r="D135" s="581"/>
      <c r="G135" s="586"/>
    </row>
    <row r="136" customFormat="false" ht="12.75" hidden="false" customHeight="false" outlineLevel="0" collapsed="false">
      <c r="A136" s="522" t="s">
        <v>483</v>
      </c>
      <c r="B136" s="522" t="s">
        <v>484</v>
      </c>
      <c r="C136" s="533"/>
      <c r="D136" s="581"/>
    </row>
    <row r="137" customFormat="false" ht="12.75" hidden="false" customHeight="false" outlineLevel="0" collapsed="false">
      <c r="A137" s="522" t="s">
        <v>485</v>
      </c>
      <c r="B137" s="522" t="s">
        <v>332</v>
      </c>
      <c r="C137" s="533" t="n">
        <v>0.05</v>
      </c>
      <c r="D137" s="581" t="n">
        <f aca="false">ROUND(C137*$D$129,2)</f>
        <v>0</v>
      </c>
    </row>
    <row r="138" customFormat="false" ht="12.75" hidden="false" customHeight="false" outlineLevel="0" collapsed="false">
      <c r="A138" s="522" t="s">
        <v>486</v>
      </c>
      <c r="B138" s="522" t="s">
        <v>487</v>
      </c>
      <c r="C138" s="533"/>
      <c r="D138" s="581"/>
    </row>
    <row r="139" customFormat="false" ht="12.75" hidden="false" customHeight="false" outlineLevel="0" collapsed="false">
      <c r="A139" s="522" t="s">
        <v>22</v>
      </c>
      <c r="B139" s="522" t="s">
        <v>488</v>
      </c>
      <c r="C139" s="533"/>
      <c r="D139" s="624"/>
    </row>
    <row r="140" customFormat="false" ht="14.25" hidden="false" customHeight="false" outlineLevel="0" collapsed="false">
      <c r="A140" s="522" t="s">
        <v>489</v>
      </c>
      <c r="B140" s="522" t="s">
        <v>490</v>
      </c>
      <c r="C140" s="533"/>
      <c r="D140" s="624" t="n">
        <f aca="false">+'LOTE_I_-_Custo_M2'!$T$192</f>
        <v>0.33</v>
      </c>
    </row>
    <row r="141" customFormat="false" ht="12.75" hidden="false" customHeight="false" outlineLevel="0" collapsed="false">
      <c r="A141" s="522" t="s">
        <v>491</v>
      </c>
      <c r="B141" s="522" t="s">
        <v>492</v>
      </c>
      <c r="C141" s="533"/>
      <c r="D141" s="624" t="n">
        <f aca="false">+'LOTE_I_-_Custo_M2'!$T$193</f>
        <v>0.88</v>
      </c>
    </row>
    <row r="142" customFormat="false" ht="12.75" hidden="false" customHeight="false" outlineLevel="0" collapsed="false">
      <c r="A142" s="535" t="s">
        <v>406</v>
      </c>
      <c r="B142" s="535"/>
      <c r="C142" s="587" t="n">
        <f aca="false">+C138+C137+C135+C133+C132+C127+C126</f>
        <v>0.2025</v>
      </c>
      <c r="D142" s="588" t="n">
        <f aca="false">+D137+D135+D133+D132+D127+D126+D140+D141</f>
        <v>1.21</v>
      </c>
    </row>
    <row r="144" customFormat="false" ht="12.75" hidden="false" customHeight="false" outlineLevel="0" collapsed="false">
      <c r="A144" s="589" t="s">
        <v>493</v>
      </c>
      <c r="B144" s="589"/>
      <c r="C144" s="589"/>
      <c r="D144" s="589"/>
    </row>
    <row r="145" customFormat="false" ht="12.75" hidden="false" customHeight="false" outlineLevel="0" collapsed="false">
      <c r="A145" s="522" t="s">
        <v>15</v>
      </c>
      <c r="B145" s="305" t="s">
        <v>494</v>
      </c>
      <c r="C145" s="305"/>
      <c r="D145" s="590" t="n">
        <f aca="false">+D24</f>
        <v>0</v>
      </c>
    </row>
    <row r="146" customFormat="false" ht="12.75" hidden="false" customHeight="false" outlineLevel="0" collapsed="false">
      <c r="A146" s="522" t="s">
        <v>495</v>
      </c>
      <c r="B146" s="305" t="s">
        <v>496</v>
      </c>
      <c r="C146" s="305"/>
      <c r="D146" s="590" t="n">
        <f aca="false">+D65</f>
        <v>0</v>
      </c>
    </row>
    <row r="147" customFormat="false" ht="12.75" hidden="false" customHeight="false" outlineLevel="0" collapsed="false">
      <c r="A147" s="522" t="s">
        <v>20</v>
      </c>
      <c r="B147" s="305" t="s">
        <v>497</v>
      </c>
      <c r="C147" s="305"/>
      <c r="D147" s="590" t="n">
        <f aca="false">+D76</f>
        <v>0</v>
      </c>
    </row>
    <row r="148" customFormat="false" ht="12.75" hidden="false" customHeight="false" outlineLevel="0" collapsed="false">
      <c r="A148" s="522" t="s">
        <v>22</v>
      </c>
      <c r="B148" s="305" t="s">
        <v>498</v>
      </c>
      <c r="C148" s="305"/>
      <c r="D148" s="590" t="n">
        <f aca="false">+D108</f>
        <v>0</v>
      </c>
    </row>
    <row r="149" customFormat="false" ht="12.75" hidden="false" customHeight="false" outlineLevel="0" collapsed="false">
      <c r="A149" s="522" t="s">
        <v>392</v>
      </c>
      <c r="B149" s="305" t="s">
        <v>499</v>
      </c>
      <c r="C149" s="305"/>
      <c r="D149" s="590" t="n">
        <f aca="false">+D121</f>
        <v>0</v>
      </c>
    </row>
    <row r="150" customFormat="false" ht="12.75" hidden="false" customHeight="false" outlineLevel="0" collapsed="false">
      <c r="B150" s="591" t="s">
        <v>500</v>
      </c>
      <c r="C150" s="591"/>
      <c r="D150" s="592" t="n">
        <f aca="false">SUM(D145:D149)</f>
        <v>0</v>
      </c>
    </row>
    <row r="151" customFormat="false" ht="12.75" hidden="false" customHeight="false" outlineLevel="0" collapsed="false">
      <c r="A151" s="522" t="s">
        <v>394</v>
      </c>
      <c r="B151" s="305" t="s">
        <v>501</v>
      </c>
      <c r="C151" s="305"/>
      <c r="D151" s="590" t="n">
        <f aca="false">+D142</f>
        <v>1.21</v>
      </c>
    </row>
    <row r="152" customFormat="false" ht="12.75" hidden="false" customHeight="false" outlineLevel="0" collapsed="false">
      <c r="D152" s="593"/>
    </row>
    <row r="153" customFormat="false" ht="12.75" hidden="false" customHeight="false" outlineLevel="0" collapsed="false">
      <c r="A153" s="594" t="s">
        <v>502</v>
      </c>
      <c r="B153" s="594"/>
      <c r="C153" s="594"/>
      <c r="D153" s="595" t="n">
        <f aca="false">ROUND(+D151+D150,2)</f>
        <v>1.21</v>
      </c>
    </row>
    <row r="155" customFormat="false" ht="39" hidden="false" customHeight="true" outlineLevel="0" collapsed="false">
      <c r="A155" s="597" t="s">
        <v>503</v>
      </c>
      <c r="B155" s="597"/>
      <c r="C155" s="597"/>
      <c r="D155" s="597"/>
    </row>
    <row r="156" customFormat="false" ht="14.25" hidden="false" customHeight="false" outlineLevel="0" collapsed="false">
      <c r="A156" s="599" t="s">
        <v>504</v>
      </c>
      <c r="B156" s="599"/>
      <c r="C156" s="599"/>
      <c r="D156" s="599"/>
      <c r="E156" s="598"/>
    </row>
  </sheetData>
  <mergeCells count="80">
    <mergeCell ref="A1:D1"/>
    <mergeCell ref="A3:D3"/>
    <mergeCell ref="C4:D4"/>
    <mergeCell ref="C5:D5"/>
    <mergeCell ref="C6:D6"/>
    <mergeCell ref="C7:D7"/>
    <mergeCell ref="C8:D8"/>
    <mergeCell ref="C9:D9"/>
    <mergeCell ref="A11:D11"/>
    <mergeCell ref="B13:C13"/>
    <mergeCell ref="B16:C16"/>
    <mergeCell ref="B17:C17"/>
    <mergeCell ref="B18:C18"/>
    <mergeCell ref="B19:C19"/>
    <mergeCell ref="B20:C20"/>
    <mergeCell ref="B22:C22"/>
    <mergeCell ref="B23:C23"/>
    <mergeCell ref="A24:C24"/>
    <mergeCell ref="A26:D26"/>
    <mergeCell ref="A28:D28"/>
    <mergeCell ref="A34:C34"/>
    <mergeCell ref="A36:D36"/>
    <mergeCell ref="A48:D48"/>
    <mergeCell ref="A58:B58"/>
    <mergeCell ref="A60:D60"/>
    <mergeCell ref="B61:C61"/>
    <mergeCell ref="B62:C62"/>
    <mergeCell ref="B63:C63"/>
    <mergeCell ref="B64:C64"/>
    <mergeCell ref="A65:C65"/>
    <mergeCell ref="A67:D67"/>
    <mergeCell ref="A76:C76"/>
    <mergeCell ref="A78:D78"/>
    <mergeCell ref="A80:D80"/>
    <mergeCell ref="B81:C81"/>
    <mergeCell ref="B82:C82"/>
    <mergeCell ref="B83:C83"/>
    <mergeCell ref="B84:C84"/>
    <mergeCell ref="B85:C85"/>
    <mergeCell ref="B86:C86"/>
    <mergeCell ref="B87:C87"/>
    <mergeCell ref="B88:C88"/>
    <mergeCell ref="B89:C89"/>
    <mergeCell ref="A90:C90"/>
    <mergeCell ref="B92:C92"/>
    <mergeCell ref="B93:C93"/>
    <mergeCell ref="B94:C94"/>
    <mergeCell ref="B95:C95"/>
    <mergeCell ref="B96:C96"/>
    <mergeCell ref="A97:C97"/>
    <mergeCell ref="B99:C99"/>
    <mergeCell ref="B100:C100"/>
    <mergeCell ref="A101:C101"/>
    <mergeCell ref="B104:C104"/>
    <mergeCell ref="B105:C105"/>
    <mergeCell ref="B106:C106"/>
    <mergeCell ref="B107:C107"/>
    <mergeCell ref="A108:C108"/>
    <mergeCell ref="A110:D110"/>
    <mergeCell ref="B112:C112"/>
    <mergeCell ref="B113:C113"/>
    <mergeCell ref="B115:C115"/>
    <mergeCell ref="B117:C117"/>
    <mergeCell ref="B119:C119"/>
    <mergeCell ref="A121:C121"/>
    <mergeCell ref="A123:D123"/>
    <mergeCell ref="A128:C128"/>
    <mergeCell ref="A129:C129"/>
    <mergeCell ref="A142:B142"/>
    <mergeCell ref="A144:D144"/>
    <mergeCell ref="B145:C145"/>
    <mergeCell ref="B146:C146"/>
    <mergeCell ref="B147:C147"/>
    <mergeCell ref="B148:C148"/>
    <mergeCell ref="B149:C149"/>
    <mergeCell ref="B150:C150"/>
    <mergeCell ref="B151:C151"/>
    <mergeCell ref="A153:C153"/>
    <mergeCell ref="A155:D155"/>
    <mergeCell ref="A156:D156"/>
  </mergeCells>
  <printOptions headings="false" gridLines="false" gridLinesSet="true" horizontalCentered="false" verticalCentered="false"/>
  <pageMargins left="1.6" right="0.511805555555555" top="0.157638888888889" bottom="0.454166666666667" header="0.157638888888889"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C126"/>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9.66"/>
    <col collapsed="false" customWidth="true" hidden="false" outlineLevel="0" max="2" min="2" style="44" width="15.53"/>
    <col collapsed="false" customWidth="true" hidden="false" outlineLevel="0" max="3" min="3" style="44" width="13.09"/>
    <col collapsed="false" customWidth="true" hidden="false" outlineLevel="0" max="4" min="4" style="44" width="10.12"/>
    <col collapsed="false" customWidth="true" hidden="false" outlineLevel="0" max="5" min="5" style="44" width="74.65"/>
    <col collapsed="false" customWidth="true" hidden="false" outlineLevel="0" max="1025" min="6" style="44" width="8.64"/>
  </cols>
  <sheetData>
    <row r="1" customFormat="false" ht="12.75" hidden="false" customHeight="false" outlineLevel="0" collapsed="false">
      <c r="A1" s="681" t="s">
        <v>591</v>
      </c>
      <c r="B1" s="681"/>
      <c r="C1" s="681"/>
    </row>
    <row r="3" customFormat="false" ht="12.75" hidden="false" customHeight="false" outlineLevel="0" collapsed="false">
      <c r="A3" s="522" t="s">
        <v>506</v>
      </c>
      <c r="B3" s="522" t="n">
        <v>220</v>
      </c>
    </row>
    <row r="4" customFormat="false" ht="12.75" hidden="false" customHeight="false" outlineLevel="0" collapsed="false">
      <c r="A4" s="522" t="s">
        <v>507</v>
      </c>
      <c r="B4" s="522" t="n">
        <v>365.25</v>
      </c>
    </row>
    <row r="5" customFormat="false" ht="12.75" hidden="false" customHeight="false" outlineLevel="0" collapsed="false">
      <c r="A5" s="522" t="s">
        <v>508</v>
      </c>
      <c r="B5" s="601" t="n">
        <f aca="false">(365.25/12)/(7/6)</f>
        <v>26.0892857142857</v>
      </c>
    </row>
    <row r="6" customFormat="false" ht="12.75" hidden="false" customHeight="false" outlineLevel="0" collapsed="false">
      <c r="A6" s="543" t="s">
        <v>388</v>
      </c>
      <c r="B6" s="534" t="n">
        <f aca="false">+Encarregado_44h_seg_a_sab!D13</f>
        <v>0</v>
      </c>
    </row>
    <row r="7" customFormat="false" ht="12.75" hidden="false" customHeight="false" outlineLevel="0" collapsed="false">
      <c r="A7" s="543" t="s">
        <v>509</v>
      </c>
      <c r="B7" s="534" t="n">
        <f aca="false">+Encarregado_44h_seg_a_sab!D24</f>
        <v>0</v>
      </c>
    </row>
    <row r="10" customFormat="false" ht="12.75" hidden="false" customHeight="false" outlineLevel="0" collapsed="false">
      <c r="A10" s="602" t="s">
        <v>510</v>
      </c>
      <c r="B10" s="602"/>
      <c r="C10" s="602"/>
    </row>
    <row r="11" customFormat="false" ht="12.75" hidden="false" customHeight="false" outlineLevel="0" collapsed="false">
      <c r="A11" s="522" t="s">
        <v>511</v>
      </c>
      <c r="B11" s="522" t="n">
        <f aca="false">+$B$4</f>
        <v>365.25</v>
      </c>
      <c r="C11" s="564"/>
    </row>
    <row r="12" customFormat="false" ht="12.75" hidden="false" customHeight="false" outlineLevel="0" collapsed="false">
      <c r="A12" s="522" t="s">
        <v>512</v>
      </c>
      <c r="B12" s="543" t="n">
        <v>12</v>
      </c>
      <c r="C12" s="564"/>
    </row>
    <row r="13" customFormat="false" ht="12.75" hidden="false" customHeight="false" outlineLevel="0" collapsed="false">
      <c r="A13" s="522" t="s">
        <v>513</v>
      </c>
      <c r="B13" s="533" t="n">
        <v>1</v>
      </c>
      <c r="C13" s="564"/>
    </row>
    <row r="14" customFormat="false" ht="12.75" hidden="false" customHeight="false" outlineLevel="0" collapsed="false">
      <c r="A14" s="543" t="s">
        <v>514</v>
      </c>
      <c r="B14" s="603" t="n">
        <f aca="false">+B5</f>
        <v>26.0892857142857</v>
      </c>
      <c r="C14" s="564"/>
    </row>
    <row r="15" customFormat="false" ht="12.75" hidden="false" customHeight="false" outlineLevel="0" collapsed="false">
      <c r="A15" s="548" t="s">
        <v>515</v>
      </c>
      <c r="B15" s="604"/>
      <c r="C15" s="564"/>
    </row>
    <row r="16" customFormat="false" ht="12.75" hidden="false" customHeight="false" outlineLevel="0" collapsed="false">
      <c r="A16" s="522" t="s">
        <v>516</v>
      </c>
      <c r="B16" s="533" t="n">
        <v>0.06</v>
      </c>
      <c r="C16" s="564"/>
    </row>
    <row r="17" customFormat="false" ht="12.75" hidden="false" customHeight="false" outlineLevel="0" collapsed="false">
      <c r="A17" s="575" t="s">
        <v>517</v>
      </c>
      <c r="B17" s="575"/>
      <c r="C17" s="605" t="n">
        <f aca="false">ROUND((B14*(B15*2)-($B$6*B16)),2)</f>
        <v>0</v>
      </c>
    </row>
    <row r="19" customFormat="false" ht="12.75" hidden="false" customHeight="false" outlineLevel="0" collapsed="false">
      <c r="A19" s="602" t="s">
        <v>518</v>
      </c>
      <c r="B19" s="602"/>
      <c r="C19" s="602"/>
    </row>
    <row r="20" customFormat="false" ht="12.75" hidden="false" customHeight="false" outlineLevel="0" collapsed="false">
      <c r="A20" s="522" t="s">
        <v>511</v>
      </c>
      <c r="B20" s="522" t="n">
        <f aca="false">+$B$4</f>
        <v>365.25</v>
      </c>
      <c r="C20" s="564"/>
    </row>
    <row r="21" customFormat="false" ht="12.75" hidden="false" customHeight="false" outlineLevel="0" collapsed="false">
      <c r="A21" s="522" t="s">
        <v>512</v>
      </c>
      <c r="B21" s="543" t="n">
        <v>12</v>
      </c>
      <c r="C21" s="564"/>
    </row>
    <row r="22" customFormat="false" ht="12.75" hidden="false" customHeight="false" outlineLevel="0" collapsed="false">
      <c r="A22" s="522" t="s">
        <v>513</v>
      </c>
      <c r="B22" s="533" t="n">
        <v>1</v>
      </c>
      <c r="C22" s="564"/>
    </row>
    <row r="23" customFormat="false" ht="12.75" hidden="false" customHeight="false" outlineLevel="0" collapsed="false">
      <c r="A23" s="543" t="s">
        <v>514</v>
      </c>
      <c r="B23" s="603" t="n">
        <f aca="false">(365.25/12)/(7/5)</f>
        <v>21.7410714285714</v>
      </c>
      <c r="C23" s="564"/>
    </row>
    <row r="24" customFormat="false" ht="12.75" hidden="false" customHeight="false" outlineLevel="0" collapsed="false">
      <c r="A24" s="548" t="s">
        <v>519</v>
      </c>
      <c r="B24" s="604"/>
      <c r="C24" s="564"/>
    </row>
    <row r="25" customFormat="false" ht="12.75" hidden="false" customHeight="false" outlineLevel="0" collapsed="false">
      <c r="A25" s="522" t="s">
        <v>520</v>
      </c>
      <c r="B25" s="533" t="n">
        <v>0.1</v>
      </c>
      <c r="C25" s="564"/>
    </row>
    <row r="26" customFormat="false" ht="12.75" hidden="false" customHeight="false" outlineLevel="0" collapsed="false">
      <c r="A26" s="575" t="s">
        <v>519</v>
      </c>
      <c r="B26" s="575"/>
      <c r="C26" s="605" t="n">
        <f aca="false">ROUND((B23*(B24)-((B23*B24)*B25)),2)</f>
        <v>0</v>
      </c>
    </row>
    <row r="28" customFormat="false" ht="12.75" hidden="false" customHeight="false" outlineLevel="0" collapsed="false">
      <c r="A28" s="602" t="s">
        <v>521</v>
      </c>
      <c r="B28" s="602"/>
      <c r="C28" s="602"/>
    </row>
    <row r="29" customFormat="false" ht="12.75" hidden="false" customHeight="false" outlineLevel="0" collapsed="false">
      <c r="A29" s="522" t="s">
        <v>522</v>
      </c>
      <c r="B29" s="534" t="n">
        <f aca="false">+B7</f>
        <v>0</v>
      </c>
      <c r="C29" s="564"/>
    </row>
    <row r="30" customFormat="false" ht="12.75" hidden="false" customHeight="false" outlineLevel="0" collapsed="false">
      <c r="A30" s="522" t="s">
        <v>523</v>
      </c>
      <c r="B30" s="522" t="n">
        <v>12</v>
      </c>
      <c r="C30" s="564"/>
    </row>
    <row r="31" customFormat="false" ht="12.75" hidden="false" customHeight="false" outlineLevel="0" collapsed="false">
      <c r="A31" s="546" t="s">
        <v>524</v>
      </c>
      <c r="B31" s="606"/>
      <c r="C31" s="564"/>
    </row>
    <row r="32" customFormat="false" ht="12.75" hidden="false" customHeight="false" outlineLevel="0" collapsed="false">
      <c r="A32" s="575" t="s">
        <v>525</v>
      </c>
      <c r="B32" s="575"/>
      <c r="C32" s="605" t="n">
        <f aca="false">ROUND(+(B29/B30)*B31,2)</f>
        <v>0</v>
      </c>
    </row>
    <row r="34" customFormat="false" ht="12.75" hidden="false" customHeight="true" outlineLevel="0" collapsed="false">
      <c r="A34" s="607" t="s">
        <v>526</v>
      </c>
      <c r="B34" s="607"/>
      <c r="C34" s="607"/>
    </row>
    <row r="35" s="46" customFormat="true" ht="12.75" hidden="false" customHeight="false" outlineLevel="0" collapsed="false">
      <c r="A35" s="608" t="s">
        <v>527</v>
      </c>
      <c r="B35" s="606" t="n">
        <f aca="false">+B31</f>
        <v>0</v>
      </c>
      <c r="C35" s="564"/>
    </row>
    <row r="36" customFormat="false" ht="12.75" hidden="false" customHeight="false" outlineLevel="0" collapsed="false">
      <c r="A36" s="522" t="s">
        <v>528</v>
      </c>
      <c r="B36" s="534" t="n">
        <f aca="false">+Encarregado_44h_seg_a_sab!$D$24</f>
        <v>0</v>
      </c>
      <c r="C36" s="564"/>
    </row>
    <row r="37" customFormat="false" ht="12.75" hidden="false" customHeight="false" outlineLevel="0" collapsed="false">
      <c r="A37" s="522" t="s">
        <v>411</v>
      </c>
      <c r="B37" s="534" t="n">
        <f aca="false">+Encarregado_44h_seg_a_sab!$D$30</f>
        <v>0</v>
      </c>
      <c r="C37" s="564"/>
    </row>
    <row r="38" customFormat="false" ht="12.75" hidden="false" customHeight="false" outlineLevel="0" collapsed="false">
      <c r="A38" s="522" t="s">
        <v>413</v>
      </c>
      <c r="B38" s="534" t="n">
        <f aca="false">+Encarregado_44h_seg_a_sab!$D$32</f>
        <v>0</v>
      </c>
      <c r="C38" s="564"/>
    </row>
    <row r="39" customFormat="false" ht="12.75" hidden="false" customHeight="false" outlineLevel="0" collapsed="false">
      <c r="A39" s="522" t="s">
        <v>414</v>
      </c>
      <c r="B39" s="534" t="n">
        <f aca="false">+Encarregado_44h_seg_a_sab!$D$33</f>
        <v>0</v>
      </c>
      <c r="C39" s="564"/>
    </row>
    <row r="40" customFormat="false" ht="12.75" hidden="false" customHeight="false" outlineLevel="0" collapsed="false">
      <c r="A40" s="609" t="s">
        <v>529</v>
      </c>
      <c r="B40" s="610" t="n">
        <f aca="false">SUM(B36:B39)</f>
        <v>0</v>
      </c>
      <c r="C40" s="564"/>
    </row>
    <row r="41" customFormat="false" ht="12.75" hidden="false" customHeight="false" outlineLevel="0" collapsed="false">
      <c r="A41" s="543" t="s">
        <v>530</v>
      </c>
      <c r="B41" s="533" t="n">
        <v>0.4</v>
      </c>
      <c r="C41" s="564"/>
    </row>
    <row r="42" customFormat="false" ht="12.75" hidden="false" customHeight="false" outlineLevel="0" collapsed="false">
      <c r="A42" s="543" t="s">
        <v>531</v>
      </c>
      <c r="B42" s="533" t="n">
        <f aca="false">+Encarregado_44h_seg_a_sab!$C$45</f>
        <v>0.08</v>
      </c>
      <c r="C42" s="564"/>
    </row>
    <row r="43" customFormat="false" ht="12.75" hidden="false" customHeight="false" outlineLevel="0" collapsed="false">
      <c r="A43" s="577" t="s">
        <v>532</v>
      </c>
      <c r="B43" s="577"/>
      <c r="C43" s="578" t="n">
        <f aca="false">ROUND(+B40*B41*B42*B35,2)</f>
        <v>0</v>
      </c>
    </row>
    <row r="44" customFormat="false" ht="12.75" hidden="false" customHeight="false" outlineLevel="0" collapsed="false">
      <c r="A44" s="575" t="s">
        <v>533</v>
      </c>
      <c r="B44" s="575"/>
      <c r="C44" s="579" t="n">
        <f aca="false">+C43</f>
        <v>0</v>
      </c>
    </row>
    <row r="46" customFormat="false" ht="12.75" hidden="false" customHeight="false" outlineLevel="0" collapsed="false">
      <c r="A46" s="602" t="s">
        <v>534</v>
      </c>
      <c r="B46" s="602"/>
      <c r="C46" s="602"/>
    </row>
    <row r="47" customFormat="false" ht="12.75" hidden="false" customHeight="false" outlineLevel="0" collapsed="false">
      <c r="A47" s="522" t="s">
        <v>522</v>
      </c>
      <c r="B47" s="534" t="n">
        <f aca="false">+B7</f>
        <v>0</v>
      </c>
      <c r="C47" s="564"/>
    </row>
    <row r="48" customFormat="false" ht="12.75" hidden="false" customHeight="false" outlineLevel="0" collapsed="false">
      <c r="A48" s="522" t="s">
        <v>535</v>
      </c>
      <c r="B48" s="611" t="n">
        <v>30</v>
      </c>
      <c r="C48" s="564"/>
    </row>
    <row r="49" customFormat="false" ht="12.75" hidden="false" customHeight="false" outlineLevel="0" collapsed="false">
      <c r="A49" s="522" t="s">
        <v>523</v>
      </c>
      <c r="B49" s="522" t="n">
        <v>12</v>
      </c>
      <c r="C49" s="564"/>
    </row>
    <row r="50" customFormat="false" ht="12.75" hidden="false" customHeight="false" outlineLevel="0" collapsed="false">
      <c r="A50" s="522" t="s">
        <v>536</v>
      </c>
      <c r="B50" s="522" t="n">
        <v>7</v>
      </c>
      <c r="C50" s="564"/>
    </row>
    <row r="51" customFormat="false" ht="12.75" hidden="false" customHeight="false" outlineLevel="0" collapsed="false">
      <c r="A51" s="546" t="s">
        <v>537</v>
      </c>
      <c r="B51" s="606"/>
      <c r="C51" s="564"/>
    </row>
    <row r="52" customFormat="false" ht="12.75" hidden="false" customHeight="false" outlineLevel="0" collapsed="false">
      <c r="A52" s="575" t="s">
        <v>538</v>
      </c>
      <c r="B52" s="575"/>
      <c r="C52" s="605" t="n">
        <f aca="false">+ROUND(((B47/B48/B49)*B50)*B51,2)</f>
        <v>0</v>
      </c>
    </row>
    <row r="54" customFormat="false" ht="12.75" hidden="false" customHeight="true" outlineLevel="0" collapsed="false">
      <c r="A54" s="607" t="s">
        <v>539</v>
      </c>
      <c r="B54" s="607"/>
      <c r="C54" s="607"/>
    </row>
    <row r="55" customFormat="false" ht="12.75" hidden="false" customHeight="false" outlineLevel="0" collapsed="false">
      <c r="A55" s="608" t="s">
        <v>540</v>
      </c>
      <c r="B55" s="606" t="n">
        <f aca="false">+B51</f>
        <v>0</v>
      </c>
      <c r="C55" s="564"/>
    </row>
    <row r="56" customFormat="false" ht="12.75" hidden="false" customHeight="false" outlineLevel="0" collapsed="false">
      <c r="A56" s="522" t="s">
        <v>528</v>
      </c>
      <c r="B56" s="534" t="n">
        <f aca="false">+Encarregado_44h_seg_a_sab!$D$24</f>
        <v>0</v>
      </c>
      <c r="C56" s="564"/>
    </row>
    <row r="57" customFormat="false" ht="12.75" hidden="false" customHeight="false" outlineLevel="0" collapsed="false">
      <c r="A57" s="522" t="s">
        <v>411</v>
      </c>
      <c r="B57" s="534" t="n">
        <f aca="false">+Encarregado_44h_seg_a_sab!$D$30</f>
        <v>0</v>
      </c>
      <c r="C57" s="564"/>
    </row>
    <row r="58" customFormat="false" ht="12.75" hidden="false" customHeight="false" outlineLevel="0" collapsed="false">
      <c r="A58" s="522" t="s">
        <v>413</v>
      </c>
      <c r="B58" s="534" t="n">
        <f aca="false">+Encarregado_44h_seg_a_sab!$D$32</f>
        <v>0</v>
      </c>
      <c r="C58" s="564"/>
    </row>
    <row r="59" customFormat="false" ht="12.75" hidden="false" customHeight="false" outlineLevel="0" collapsed="false">
      <c r="A59" s="522" t="s">
        <v>414</v>
      </c>
      <c r="B59" s="534" t="n">
        <f aca="false">+Encarregado_44h_seg_a_sab!$D$33</f>
        <v>0</v>
      </c>
      <c r="C59" s="564"/>
    </row>
    <row r="60" customFormat="false" ht="12.75" hidden="false" customHeight="false" outlineLevel="0" collapsed="false">
      <c r="A60" s="609" t="s">
        <v>529</v>
      </c>
      <c r="B60" s="610" t="n">
        <f aca="false">SUM(B56:B59)</f>
        <v>0</v>
      </c>
      <c r="C60" s="564"/>
    </row>
    <row r="61" customFormat="false" ht="12.75" hidden="false" customHeight="false" outlineLevel="0" collapsed="false">
      <c r="A61" s="543" t="s">
        <v>530</v>
      </c>
      <c r="B61" s="533" t="n">
        <v>0.4</v>
      </c>
      <c r="C61" s="564"/>
    </row>
    <row r="62" customFormat="false" ht="12.75" hidden="false" customHeight="false" outlineLevel="0" collapsed="false">
      <c r="A62" s="543" t="s">
        <v>531</v>
      </c>
      <c r="B62" s="533" t="n">
        <f aca="false">+Encarregado_44h_seg_a_sab!$C$45</f>
        <v>0.08</v>
      </c>
      <c r="C62" s="564"/>
    </row>
    <row r="63" customFormat="false" ht="12.75" hidden="false" customHeight="false" outlineLevel="0" collapsed="false">
      <c r="A63" s="577" t="s">
        <v>532</v>
      </c>
      <c r="B63" s="577"/>
      <c r="C63" s="578" t="n">
        <f aca="false">ROUND(+B60*B61*B62*B55,2)</f>
        <v>0</v>
      </c>
    </row>
    <row r="64" customFormat="false" ht="12.75" hidden="false" customHeight="false" outlineLevel="0" collapsed="false">
      <c r="A64" s="575" t="s">
        <v>541</v>
      </c>
      <c r="B64" s="575"/>
      <c r="C64" s="579" t="n">
        <f aca="false">+C63</f>
        <v>0</v>
      </c>
    </row>
    <row r="66" customFormat="false" ht="12.75" hidden="false" customHeight="true" outlineLevel="0" collapsed="false">
      <c r="A66" s="607" t="s">
        <v>542</v>
      </c>
      <c r="B66" s="607"/>
      <c r="C66" s="607"/>
    </row>
    <row r="67" customFormat="false" ht="12.75" hidden="false" customHeight="true" outlineLevel="0" collapsed="false">
      <c r="A67" s="612" t="s">
        <v>543</v>
      </c>
      <c r="B67" s="612"/>
      <c r="C67" s="612"/>
    </row>
    <row r="68" customFormat="false" ht="12.75" hidden="false" customHeight="false" outlineLevel="0" collapsed="false">
      <c r="A68" s="612"/>
      <c r="B68" s="612"/>
      <c r="C68" s="612"/>
    </row>
    <row r="69" customFormat="false" ht="12.75" hidden="false" customHeight="false" outlineLevel="0" collapsed="false">
      <c r="A69" s="612"/>
      <c r="B69" s="612"/>
      <c r="C69" s="612"/>
    </row>
    <row r="70" customFormat="false" ht="12.75" hidden="false" customHeight="false" outlineLevel="0" collapsed="false">
      <c r="A70" s="612"/>
      <c r="B70" s="612"/>
      <c r="C70" s="612"/>
    </row>
    <row r="71" customFormat="false" ht="12.75" hidden="false" customHeight="false" outlineLevel="0" collapsed="false">
      <c r="A71" s="613"/>
      <c r="B71" s="613"/>
      <c r="C71" s="613"/>
    </row>
    <row r="72" customFormat="false" ht="12.75" hidden="false" customHeight="true" outlineLevel="0" collapsed="false">
      <c r="A72" s="607" t="s">
        <v>544</v>
      </c>
      <c r="B72" s="607"/>
      <c r="C72" s="607"/>
    </row>
    <row r="73" customFormat="false" ht="12.75" hidden="false" customHeight="false" outlineLevel="0" collapsed="false">
      <c r="A73" s="522" t="s">
        <v>545</v>
      </c>
      <c r="B73" s="534" t="n">
        <f aca="false">+$B$7</f>
        <v>0</v>
      </c>
      <c r="C73" s="564"/>
    </row>
    <row r="74" customFormat="false" ht="12.75" hidden="false" customHeight="false" outlineLevel="0" collapsed="false">
      <c r="A74" s="522" t="s">
        <v>512</v>
      </c>
      <c r="B74" s="522" t="n">
        <v>30</v>
      </c>
      <c r="C74" s="564"/>
    </row>
    <row r="75" customFormat="false" ht="12.75" hidden="false" customHeight="false" outlineLevel="0" collapsed="false">
      <c r="A75" s="522" t="s">
        <v>546</v>
      </c>
      <c r="B75" s="522" t="n">
        <v>12</v>
      </c>
      <c r="C75" s="564"/>
    </row>
    <row r="76" customFormat="false" ht="12.75" hidden="false" customHeight="false" outlineLevel="0" collapsed="false">
      <c r="A76" s="546" t="s">
        <v>547</v>
      </c>
      <c r="B76" s="546"/>
      <c r="C76" s="564"/>
    </row>
    <row r="77" customFormat="false" ht="12.75" hidden="false" customHeight="false" outlineLevel="0" collapsed="false">
      <c r="A77" s="575" t="s">
        <v>548</v>
      </c>
      <c r="B77" s="575"/>
      <c r="C77" s="556" t="n">
        <f aca="false">+ROUND((B73/B74/B75)*B76,2)</f>
        <v>0</v>
      </c>
    </row>
    <row r="79" customFormat="false" ht="12.75" hidden="false" customHeight="true" outlineLevel="0" collapsed="false">
      <c r="A79" s="607" t="s">
        <v>549</v>
      </c>
      <c r="B79" s="607"/>
      <c r="C79" s="607"/>
    </row>
    <row r="80" customFormat="false" ht="12.75" hidden="false" customHeight="false" outlineLevel="0" collapsed="false">
      <c r="A80" s="522" t="s">
        <v>545</v>
      </c>
      <c r="B80" s="534" t="n">
        <f aca="false">+$B$7</f>
        <v>0</v>
      </c>
      <c r="C80" s="564"/>
    </row>
    <row r="81" customFormat="false" ht="12.75" hidden="false" customHeight="false" outlineLevel="0" collapsed="false">
      <c r="A81" s="522" t="s">
        <v>512</v>
      </c>
      <c r="B81" s="522" t="n">
        <v>30</v>
      </c>
      <c r="C81" s="564"/>
    </row>
    <row r="82" customFormat="false" ht="12.75" hidden="false" customHeight="false" outlineLevel="0" collapsed="false">
      <c r="A82" s="522" t="s">
        <v>546</v>
      </c>
      <c r="B82" s="522" t="n">
        <v>12</v>
      </c>
      <c r="C82" s="564"/>
    </row>
    <row r="83" customFormat="false" ht="12.75" hidden="false" customHeight="false" outlineLevel="0" collapsed="false">
      <c r="A83" s="543" t="s">
        <v>550</v>
      </c>
      <c r="B83" s="522" t="n">
        <v>5</v>
      </c>
      <c r="C83" s="564"/>
    </row>
    <row r="84" customFormat="false" ht="12.75" hidden="false" customHeight="false" outlineLevel="0" collapsed="false">
      <c r="A84" s="546" t="s">
        <v>551</v>
      </c>
      <c r="B84" s="606"/>
      <c r="C84" s="564"/>
    </row>
    <row r="85" customFormat="false" ht="12.75" hidden="false" customHeight="false" outlineLevel="0" collapsed="false">
      <c r="A85" s="546" t="s">
        <v>552</v>
      </c>
      <c r="B85" s="606"/>
      <c r="C85" s="564"/>
    </row>
    <row r="86" customFormat="false" ht="12.75" hidden="false" customHeight="false" outlineLevel="0" collapsed="false">
      <c r="A86" s="575" t="s">
        <v>553</v>
      </c>
      <c r="B86" s="575"/>
      <c r="C86" s="605" t="n">
        <f aca="false">ROUND(+B80/B81/B82*B83*B84*B85,2)</f>
        <v>0</v>
      </c>
    </row>
    <row r="88" customFormat="false" ht="12.75" hidden="false" customHeight="true" outlineLevel="0" collapsed="false">
      <c r="A88" s="607" t="s">
        <v>554</v>
      </c>
      <c r="B88" s="607"/>
      <c r="C88" s="607"/>
    </row>
    <row r="89" customFormat="false" ht="12.75" hidden="false" customHeight="false" outlineLevel="0" collapsed="false">
      <c r="A89" s="522" t="s">
        <v>545</v>
      </c>
      <c r="B89" s="534" t="n">
        <f aca="false">+$B$7</f>
        <v>0</v>
      </c>
      <c r="C89" s="564"/>
    </row>
    <row r="90" customFormat="false" ht="12.75" hidden="false" customHeight="false" outlineLevel="0" collapsed="false">
      <c r="A90" s="522" t="s">
        <v>512</v>
      </c>
      <c r="B90" s="522" t="n">
        <v>30</v>
      </c>
      <c r="C90" s="564"/>
    </row>
    <row r="91" customFormat="false" ht="12.75" hidden="false" customHeight="false" outlineLevel="0" collapsed="false">
      <c r="A91" s="522" t="s">
        <v>546</v>
      </c>
      <c r="B91" s="522" t="n">
        <v>12</v>
      </c>
      <c r="C91" s="564"/>
    </row>
    <row r="92" customFormat="false" ht="12.75" hidden="false" customHeight="false" outlineLevel="0" collapsed="false">
      <c r="A92" s="543" t="s">
        <v>555</v>
      </c>
      <c r="B92" s="522" t="n">
        <v>15</v>
      </c>
      <c r="C92" s="564"/>
    </row>
    <row r="93" customFormat="false" ht="12.75" hidden="false" customHeight="false" outlineLevel="0" collapsed="false">
      <c r="A93" s="546" t="s">
        <v>556</v>
      </c>
      <c r="B93" s="606"/>
      <c r="C93" s="564"/>
    </row>
    <row r="94" customFormat="false" ht="12.75" hidden="false" customHeight="false" outlineLevel="0" collapsed="false">
      <c r="A94" s="575" t="s">
        <v>557</v>
      </c>
      <c r="B94" s="575"/>
      <c r="C94" s="605" t="n">
        <f aca="false">ROUND(+B89/B90/B91*B92*B93,2)</f>
        <v>0</v>
      </c>
    </row>
    <row r="96" customFormat="false" ht="12.75" hidden="false" customHeight="true" outlineLevel="0" collapsed="false">
      <c r="A96" s="607" t="s">
        <v>558</v>
      </c>
      <c r="B96" s="607"/>
      <c r="C96" s="607"/>
    </row>
    <row r="97" customFormat="false" ht="12.75" hidden="false" customHeight="false" outlineLevel="0" collapsed="false">
      <c r="A97" s="522" t="s">
        <v>545</v>
      </c>
      <c r="B97" s="534" t="n">
        <f aca="false">+$B$7</f>
        <v>0</v>
      </c>
      <c r="C97" s="564"/>
    </row>
    <row r="98" customFormat="false" ht="12.75" hidden="false" customHeight="false" outlineLevel="0" collapsed="false">
      <c r="A98" s="522" t="s">
        <v>512</v>
      </c>
      <c r="B98" s="522" t="n">
        <v>30</v>
      </c>
      <c r="C98" s="564"/>
    </row>
    <row r="99" customFormat="false" ht="12.75" hidden="false" customHeight="false" outlineLevel="0" collapsed="false">
      <c r="A99" s="522" t="s">
        <v>546</v>
      </c>
      <c r="B99" s="522" t="n">
        <v>12</v>
      </c>
      <c r="C99" s="564"/>
    </row>
    <row r="100" customFormat="false" ht="12.75" hidden="false" customHeight="false" outlineLevel="0" collapsed="false">
      <c r="A100" s="543" t="s">
        <v>555</v>
      </c>
      <c r="B100" s="522" t="n">
        <v>5</v>
      </c>
      <c r="C100" s="564"/>
    </row>
    <row r="101" customFormat="false" ht="12.75" hidden="false" customHeight="false" outlineLevel="0" collapsed="false">
      <c r="A101" s="546" t="s">
        <v>559</v>
      </c>
      <c r="B101" s="606"/>
      <c r="C101" s="564"/>
    </row>
    <row r="102" customFormat="false" ht="12.75" hidden="false" customHeight="false" outlineLevel="0" collapsed="false">
      <c r="A102" s="575" t="s">
        <v>560</v>
      </c>
      <c r="B102" s="575"/>
      <c r="C102" s="605" t="n">
        <f aca="false">ROUND(+B97/B98/B99*B100*B101,2)</f>
        <v>0</v>
      </c>
    </row>
    <row r="105" customFormat="false" ht="12.75" hidden="false" customHeight="true" outlineLevel="0" collapsed="false">
      <c r="A105" s="607" t="s">
        <v>562</v>
      </c>
      <c r="B105" s="607"/>
      <c r="C105" s="607"/>
    </row>
    <row r="106" customFormat="false" ht="12.75" hidden="false" customHeight="true" outlineLevel="0" collapsed="false">
      <c r="A106" s="614" t="s">
        <v>563</v>
      </c>
      <c r="B106" s="614"/>
      <c r="C106" s="614"/>
    </row>
    <row r="107" customFormat="false" ht="12.75" hidden="false" customHeight="false" outlineLevel="0" collapsed="false">
      <c r="A107" s="522" t="s">
        <v>545</v>
      </c>
      <c r="B107" s="534" t="n">
        <f aca="false">+$B$7</f>
        <v>0</v>
      </c>
      <c r="C107" s="564"/>
    </row>
    <row r="108" customFormat="false" ht="12.75" hidden="false" customHeight="false" outlineLevel="0" collapsed="false">
      <c r="A108" s="522" t="s">
        <v>564</v>
      </c>
      <c r="B108" s="534" t="n">
        <f aca="false">+B107*(1/3)</f>
        <v>0</v>
      </c>
      <c r="C108" s="564"/>
    </row>
    <row r="109" customFormat="false" ht="12.75" hidden="false" customHeight="false" outlineLevel="0" collapsed="false">
      <c r="A109" s="609" t="s">
        <v>529</v>
      </c>
      <c r="B109" s="610" t="n">
        <f aca="false">SUM(B107:B108)</f>
        <v>0</v>
      </c>
      <c r="C109" s="564"/>
    </row>
    <row r="110" customFormat="false" ht="12.75" hidden="false" customHeight="false" outlineLevel="0" collapsed="false">
      <c r="A110" s="522" t="s">
        <v>565</v>
      </c>
      <c r="B110" s="522" t="n">
        <v>4</v>
      </c>
      <c r="C110" s="564"/>
    </row>
    <row r="111" customFormat="false" ht="12.75" hidden="false" customHeight="false" outlineLevel="0" collapsed="false">
      <c r="A111" s="522" t="s">
        <v>546</v>
      </c>
      <c r="B111" s="522" t="n">
        <v>12</v>
      </c>
      <c r="C111" s="564"/>
    </row>
    <row r="112" customFormat="false" ht="12.75" hidden="false" customHeight="false" outlineLevel="0" collapsed="false">
      <c r="A112" s="546" t="s">
        <v>566</v>
      </c>
      <c r="B112" s="606"/>
      <c r="C112" s="564"/>
    </row>
    <row r="113" customFormat="false" ht="12.75" hidden="false" customHeight="false" outlineLevel="0" collapsed="false">
      <c r="A113" s="546" t="s">
        <v>567</v>
      </c>
      <c r="B113" s="606"/>
      <c r="C113" s="564"/>
    </row>
    <row r="114" customFormat="false" ht="12.75" hidden="false" customHeight="false" outlineLevel="0" collapsed="false">
      <c r="A114" s="575" t="s">
        <v>568</v>
      </c>
      <c r="B114" s="575"/>
      <c r="C114" s="605" t="n">
        <f aca="false">ROUND((((+B109*(B110/B111)/B111)*B112)*B113),2)</f>
        <v>0</v>
      </c>
    </row>
    <row r="115" customFormat="false" ht="12.75" hidden="false" customHeight="false" outlineLevel="0" collapsed="false">
      <c r="A115" s="575" t="s">
        <v>569</v>
      </c>
      <c r="B115" s="575"/>
      <c r="C115" s="575"/>
    </row>
    <row r="116" customFormat="false" ht="12.75" hidden="false" customHeight="false" outlineLevel="0" collapsed="false">
      <c r="A116" s="522" t="s">
        <v>545</v>
      </c>
      <c r="B116" s="534" t="n">
        <f aca="false">+Encarregado_44h_seg_a_sab!D24</f>
        <v>0</v>
      </c>
      <c r="C116" s="564"/>
    </row>
    <row r="117" customFormat="false" ht="12.75" hidden="false" customHeight="false" outlineLevel="0" collapsed="false">
      <c r="A117" s="522" t="s">
        <v>411</v>
      </c>
      <c r="B117" s="534" t="n">
        <f aca="false">+Encarregado_44h_seg_a_sab!D30</f>
        <v>0</v>
      </c>
      <c r="C117" s="564"/>
    </row>
    <row r="118" customFormat="false" ht="12.75" hidden="false" customHeight="false" outlineLevel="0" collapsed="false">
      <c r="A118" s="609" t="s">
        <v>529</v>
      </c>
      <c r="B118" s="610" t="n">
        <f aca="false">SUM(B116:B117)</f>
        <v>0</v>
      </c>
      <c r="C118" s="564"/>
    </row>
    <row r="119" customFormat="false" ht="12.75" hidden="false" customHeight="false" outlineLevel="0" collapsed="false">
      <c r="A119" s="522" t="s">
        <v>565</v>
      </c>
      <c r="B119" s="522" t="n">
        <v>4</v>
      </c>
      <c r="C119" s="564"/>
    </row>
    <row r="120" customFormat="false" ht="12.75" hidden="false" customHeight="false" outlineLevel="0" collapsed="false">
      <c r="A120" s="522" t="s">
        <v>546</v>
      </c>
      <c r="B120" s="522" t="n">
        <v>12</v>
      </c>
      <c r="C120" s="564"/>
    </row>
    <row r="121" customFormat="false" ht="12.75" hidden="false" customHeight="false" outlineLevel="0" collapsed="false">
      <c r="A121" s="546" t="s">
        <v>566</v>
      </c>
      <c r="B121" s="606" t="n">
        <f aca="false">+B112</f>
        <v>0</v>
      </c>
      <c r="C121" s="564"/>
    </row>
    <row r="122" customFormat="false" ht="12.75" hidden="false" customHeight="false" outlineLevel="0" collapsed="false">
      <c r="A122" s="546" t="s">
        <v>567</v>
      </c>
      <c r="B122" s="606" t="n">
        <f aca="false">+B113</f>
        <v>0</v>
      </c>
      <c r="C122" s="564"/>
    </row>
    <row r="123" customFormat="false" ht="12.75" hidden="false" customHeight="false" outlineLevel="0" collapsed="false">
      <c r="A123" s="543" t="s">
        <v>570</v>
      </c>
      <c r="B123" s="533" t="n">
        <f aca="false">+Encarregado_44h_seg_a_sab!C46</f>
        <v>0.368</v>
      </c>
      <c r="C123" s="564"/>
    </row>
    <row r="124" customFormat="false" ht="12.75" hidden="false" customHeight="false" outlineLevel="0" collapsed="false">
      <c r="A124" s="575" t="s">
        <v>571</v>
      </c>
      <c r="B124" s="575"/>
      <c r="C124" s="579" t="n">
        <f aca="false">ROUND((((B118*(B119/B120)*B121)*B122)*B123),2)</f>
        <v>0</v>
      </c>
    </row>
    <row r="126" customFormat="false" ht="39.75" hidden="false" customHeight="true" outlineLevel="0" collapsed="false">
      <c r="A126" s="615" t="s">
        <v>592</v>
      </c>
      <c r="B126" s="615"/>
      <c r="C126" s="615"/>
    </row>
  </sheetData>
  <mergeCells count="31">
    <mergeCell ref="A1:C1"/>
    <mergeCell ref="A10:C10"/>
    <mergeCell ref="A17:B17"/>
    <mergeCell ref="A19:C19"/>
    <mergeCell ref="A26:B26"/>
    <mergeCell ref="A28:C28"/>
    <mergeCell ref="A32:B32"/>
    <mergeCell ref="A34:C34"/>
    <mergeCell ref="A43:B43"/>
    <mergeCell ref="A44:B44"/>
    <mergeCell ref="A46:C46"/>
    <mergeCell ref="A52:B52"/>
    <mergeCell ref="A54:C54"/>
    <mergeCell ref="A63:B63"/>
    <mergeCell ref="A64:B64"/>
    <mergeCell ref="A66:C66"/>
    <mergeCell ref="A67:C70"/>
    <mergeCell ref="A72:C72"/>
    <mergeCell ref="A77:B77"/>
    <mergeCell ref="A79:C79"/>
    <mergeCell ref="A86:B86"/>
    <mergeCell ref="A88:C88"/>
    <mergeCell ref="A94:B94"/>
    <mergeCell ref="A96:C96"/>
    <mergeCell ref="A102:B102"/>
    <mergeCell ref="A105:C105"/>
    <mergeCell ref="A106:C106"/>
    <mergeCell ref="A114:B114"/>
    <mergeCell ref="A115:C115"/>
    <mergeCell ref="A124:B124"/>
    <mergeCell ref="A126:C126"/>
  </mergeCells>
  <printOptions headings="false" gridLines="false" gridLinesSet="true" horizontalCentered="false" verticalCentered="false"/>
  <pageMargins left="0.905555555555556" right="0.157638888888889" top="0.315277777777778" bottom="0.256944444444444" header="0.315277777777778" footer="0.118055555555556"/>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T111"/>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 zeroHeight="false" outlineLevelRow="0" outlineLevelCol="0"/>
  <cols>
    <col collapsed="false" customWidth="true" hidden="false" outlineLevel="0" max="1" min="1" style="682" width="5.4"/>
    <col collapsed="false" customWidth="true" hidden="false" outlineLevel="0" max="4" min="2" style="682" width="8.64"/>
    <col collapsed="false" customWidth="true" hidden="false" outlineLevel="0" max="5" min="5" style="682" width="10.39"/>
    <col collapsed="false" customWidth="true" hidden="false" outlineLevel="0" max="6" min="6" style="682" width="8.91"/>
    <col collapsed="false" customWidth="true" hidden="false" outlineLevel="0" max="7" min="7" style="682" width="10.53"/>
    <col collapsed="false" customWidth="true" hidden="false" outlineLevel="0" max="8" min="8" style="682" width="9.72"/>
    <col collapsed="false" customWidth="true" hidden="false" outlineLevel="0" max="9" min="9" style="682" width="8.64"/>
    <col collapsed="false" customWidth="true" hidden="false" outlineLevel="0" max="10" min="10" style="683" width="0.81"/>
    <col collapsed="false" customWidth="true" hidden="false" outlineLevel="0" max="11" min="11" style="682" width="5.27"/>
    <col collapsed="false" customWidth="true" hidden="false" outlineLevel="0" max="12" min="12" style="682" width="9.99"/>
    <col collapsed="false" customWidth="true" hidden="false" outlineLevel="0" max="17" min="13" style="682" width="8.64"/>
    <col collapsed="false" customWidth="true" hidden="false" outlineLevel="0" max="18" min="18" style="682" width="12.29"/>
    <col collapsed="false" customWidth="true" hidden="false" outlineLevel="0" max="256" min="19" style="682" width="8.64"/>
    <col collapsed="false" customWidth="true" hidden="false" outlineLevel="0" max="257" min="257" style="682" width="8.91"/>
    <col collapsed="false" customWidth="true" hidden="false" outlineLevel="0" max="260" min="258" style="682" width="8.64"/>
    <col collapsed="false" customWidth="true" hidden="false" outlineLevel="0" max="261" min="261" style="682" width="10.39"/>
    <col collapsed="false" customWidth="true" hidden="false" outlineLevel="0" max="262" min="262" style="682" width="8.91"/>
    <col collapsed="false" customWidth="true" hidden="false" outlineLevel="0" max="263" min="263" style="682" width="10.93"/>
    <col collapsed="false" customWidth="true" hidden="false" outlineLevel="0" max="264" min="264" style="682" width="9.72"/>
    <col collapsed="false" customWidth="true" hidden="false" outlineLevel="0" max="265" min="265" style="682" width="8.64"/>
    <col collapsed="false" customWidth="true" hidden="false" outlineLevel="0" max="266" min="266" style="682" width="0.81"/>
    <col collapsed="false" customWidth="true" hidden="false" outlineLevel="0" max="267" min="267" style="682" width="5.27"/>
    <col collapsed="false" customWidth="true" hidden="false" outlineLevel="0" max="268" min="268" style="682" width="9.99"/>
    <col collapsed="false" customWidth="true" hidden="false" outlineLevel="0" max="273" min="269" style="682" width="8.64"/>
    <col collapsed="false" customWidth="true" hidden="false" outlineLevel="0" max="274" min="274" style="682" width="12.29"/>
    <col collapsed="false" customWidth="true" hidden="false" outlineLevel="0" max="512" min="275" style="682" width="8.64"/>
    <col collapsed="false" customWidth="true" hidden="false" outlineLevel="0" max="513" min="513" style="682" width="8.91"/>
    <col collapsed="false" customWidth="true" hidden="false" outlineLevel="0" max="516" min="514" style="682" width="8.64"/>
    <col collapsed="false" customWidth="true" hidden="false" outlineLevel="0" max="517" min="517" style="682" width="10.39"/>
    <col collapsed="false" customWidth="true" hidden="false" outlineLevel="0" max="518" min="518" style="682" width="8.91"/>
    <col collapsed="false" customWidth="true" hidden="false" outlineLevel="0" max="519" min="519" style="682" width="10.93"/>
    <col collapsed="false" customWidth="true" hidden="false" outlineLevel="0" max="520" min="520" style="682" width="9.72"/>
    <col collapsed="false" customWidth="true" hidden="false" outlineLevel="0" max="521" min="521" style="682" width="8.64"/>
    <col collapsed="false" customWidth="true" hidden="false" outlineLevel="0" max="522" min="522" style="682" width="0.81"/>
    <col collapsed="false" customWidth="true" hidden="false" outlineLevel="0" max="523" min="523" style="682" width="5.27"/>
    <col collapsed="false" customWidth="true" hidden="false" outlineLevel="0" max="524" min="524" style="682" width="9.99"/>
    <col collapsed="false" customWidth="true" hidden="false" outlineLevel="0" max="529" min="525" style="682" width="8.64"/>
    <col collapsed="false" customWidth="true" hidden="false" outlineLevel="0" max="530" min="530" style="682" width="12.29"/>
    <col collapsed="false" customWidth="true" hidden="false" outlineLevel="0" max="768" min="531" style="682" width="8.64"/>
    <col collapsed="false" customWidth="true" hidden="false" outlineLevel="0" max="769" min="769" style="682" width="8.91"/>
    <col collapsed="false" customWidth="true" hidden="false" outlineLevel="0" max="772" min="770" style="682" width="8.64"/>
    <col collapsed="false" customWidth="true" hidden="false" outlineLevel="0" max="773" min="773" style="682" width="10.39"/>
    <col collapsed="false" customWidth="true" hidden="false" outlineLevel="0" max="774" min="774" style="682" width="8.91"/>
    <col collapsed="false" customWidth="true" hidden="false" outlineLevel="0" max="775" min="775" style="682" width="10.93"/>
    <col collapsed="false" customWidth="true" hidden="false" outlineLevel="0" max="776" min="776" style="682" width="9.72"/>
    <col collapsed="false" customWidth="true" hidden="false" outlineLevel="0" max="777" min="777" style="682" width="8.64"/>
    <col collapsed="false" customWidth="true" hidden="false" outlineLevel="0" max="778" min="778" style="682" width="0.81"/>
    <col collapsed="false" customWidth="true" hidden="false" outlineLevel="0" max="779" min="779" style="682" width="5.27"/>
    <col collapsed="false" customWidth="true" hidden="false" outlineLevel="0" max="780" min="780" style="682" width="9.99"/>
    <col collapsed="false" customWidth="true" hidden="false" outlineLevel="0" max="785" min="781" style="682" width="8.64"/>
    <col collapsed="false" customWidth="true" hidden="false" outlineLevel="0" max="786" min="786" style="682" width="12.29"/>
    <col collapsed="false" customWidth="true" hidden="false" outlineLevel="0" max="1025" min="787" style="682" width="8.64"/>
  </cols>
  <sheetData>
    <row r="1" customFormat="false" ht="18" hidden="false" customHeight="true" outlineLevel="0" collapsed="false">
      <c r="A1" s="684"/>
      <c r="B1" s="685" t="s">
        <v>593</v>
      </c>
      <c r="C1" s="685"/>
      <c r="D1" s="685"/>
      <c r="E1" s="685"/>
      <c r="F1" s="685"/>
      <c r="G1" s="685"/>
      <c r="H1" s="685"/>
      <c r="I1" s="685"/>
      <c r="J1" s="685"/>
      <c r="K1" s="685"/>
      <c r="L1" s="685"/>
      <c r="M1" s="685"/>
    </row>
    <row r="2" customFormat="false" ht="15" hidden="false" customHeight="true" outlineLevel="0" collapsed="false">
      <c r="A2" s="684"/>
      <c r="B2" s="686" t="s">
        <v>594</v>
      </c>
      <c r="C2" s="686"/>
      <c r="D2" s="686"/>
      <c r="E2" s="686"/>
      <c r="F2" s="686"/>
      <c r="G2" s="686"/>
      <c r="H2" s="686"/>
      <c r="I2" s="686"/>
      <c r="J2" s="686"/>
      <c r="K2" s="686"/>
      <c r="L2" s="686"/>
      <c r="M2" s="686"/>
    </row>
    <row r="3" customFormat="false" ht="3" hidden="false" customHeight="true" outlineLevel="0" collapsed="false">
      <c r="A3" s="687"/>
      <c r="B3" s="687"/>
      <c r="C3" s="687"/>
      <c r="D3" s="687"/>
      <c r="E3" s="687"/>
      <c r="F3" s="687"/>
      <c r="G3" s="687"/>
      <c r="H3" s="687"/>
      <c r="I3" s="687"/>
      <c r="J3" s="688"/>
      <c r="K3" s="687"/>
    </row>
    <row r="4" customFormat="false" ht="24.75" hidden="false" customHeight="true" outlineLevel="0" collapsed="false">
      <c r="A4" s="689" t="s">
        <v>595</v>
      </c>
      <c r="B4" s="689"/>
      <c r="C4" s="689"/>
      <c r="D4" s="689"/>
      <c r="E4" s="689"/>
      <c r="F4" s="689"/>
      <c r="G4" s="689"/>
      <c r="H4" s="689"/>
      <c r="I4" s="689"/>
      <c r="J4" s="689"/>
      <c r="K4" s="689"/>
      <c r="L4" s="689"/>
      <c r="M4" s="689"/>
    </row>
    <row r="5" customFormat="false" ht="5.1" hidden="false" customHeight="true" outlineLevel="0" collapsed="false">
      <c r="A5" s="687"/>
      <c r="B5" s="687"/>
      <c r="C5" s="687"/>
      <c r="D5" s="687"/>
      <c r="E5" s="687"/>
      <c r="F5" s="687"/>
      <c r="G5" s="687"/>
      <c r="H5" s="687"/>
      <c r="I5" s="687"/>
      <c r="J5" s="688"/>
      <c r="K5" s="687"/>
    </row>
    <row r="6" customFormat="false" ht="20.1" hidden="false" customHeight="true" outlineLevel="0" collapsed="false">
      <c r="A6" s="690" t="s">
        <v>596</v>
      </c>
      <c r="B6" s="690"/>
      <c r="C6" s="691" t="s">
        <v>597</v>
      </c>
      <c r="D6" s="691"/>
      <c r="E6" s="691"/>
      <c r="F6" s="691"/>
      <c r="G6" s="691"/>
      <c r="H6" s="691"/>
      <c r="I6" s="691"/>
      <c r="J6" s="691"/>
      <c r="K6" s="691"/>
      <c r="L6" s="691"/>
      <c r="M6" s="691"/>
    </row>
    <row r="7" customFormat="false" ht="3.75" hidden="false" customHeight="true" outlineLevel="0" collapsed="false">
      <c r="A7" s="692"/>
      <c r="B7" s="693"/>
      <c r="C7" s="693"/>
      <c r="D7" s="693"/>
      <c r="E7" s="693"/>
      <c r="F7" s="693"/>
      <c r="G7" s="693"/>
      <c r="H7" s="693"/>
      <c r="I7" s="693"/>
      <c r="J7" s="694"/>
      <c r="K7" s="693"/>
    </row>
    <row r="8" customFormat="false" ht="20.1" hidden="false" customHeight="true" outlineLevel="0" collapsed="false">
      <c r="A8" s="690" t="s">
        <v>598</v>
      </c>
      <c r="B8" s="690"/>
      <c r="C8" s="695"/>
      <c r="D8" s="695"/>
      <c r="E8" s="695"/>
      <c r="F8" s="695"/>
      <c r="G8" s="695"/>
      <c r="H8" s="695"/>
      <c r="I8" s="695"/>
      <c r="J8" s="695"/>
      <c r="K8" s="695"/>
      <c r="L8" s="695"/>
      <c r="M8" s="695"/>
    </row>
    <row r="9" customFormat="false" ht="5.25" hidden="false" customHeight="true" outlineLevel="0" collapsed="false">
      <c r="A9" s="693"/>
      <c r="B9" s="693"/>
      <c r="C9" s="693"/>
      <c r="D9" s="693"/>
      <c r="E9" s="693"/>
      <c r="F9" s="693"/>
      <c r="G9" s="693"/>
      <c r="H9" s="693"/>
      <c r="I9" s="693"/>
      <c r="J9" s="694"/>
      <c r="K9" s="693"/>
    </row>
    <row r="10" customFormat="false" ht="20.1" hidden="false" customHeight="true" outlineLevel="0" collapsed="false">
      <c r="A10" s="690" t="s">
        <v>599</v>
      </c>
      <c r="B10" s="690"/>
      <c r="C10" s="696"/>
      <c r="D10" s="696"/>
      <c r="E10" s="693"/>
      <c r="F10" s="693"/>
      <c r="H10" s="692"/>
      <c r="I10" s="697" t="s">
        <v>600</v>
      </c>
      <c r="J10" s="697"/>
      <c r="K10" s="696"/>
      <c r="L10" s="696"/>
      <c r="M10" s="696"/>
    </row>
    <row r="11" customFormat="false" ht="20.1" hidden="false" customHeight="true" outlineLevel="0" collapsed="false">
      <c r="A11" s="698" t="s">
        <v>601</v>
      </c>
      <c r="B11" s="698"/>
      <c r="C11" s="698"/>
      <c r="D11" s="698"/>
      <c r="E11" s="698"/>
      <c r="F11" s="698"/>
      <c r="G11" s="698"/>
      <c r="H11" s="698"/>
      <c r="I11" s="698"/>
      <c r="J11" s="698"/>
      <c r="K11" s="698"/>
      <c r="L11" s="698"/>
      <c r="M11" s="698"/>
    </row>
    <row r="12" customFormat="false" ht="6" hidden="false" customHeight="true" outlineLevel="0" collapsed="false">
      <c r="A12" s="699"/>
      <c r="B12" s="687"/>
      <c r="C12" s="687"/>
      <c r="D12" s="687"/>
      <c r="E12" s="687"/>
      <c r="F12" s="687"/>
      <c r="G12" s="687"/>
      <c r="H12" s="687"/>
      <c r="I12" s="687"/>
      <c r="J12" s="688"/>
      <c r="K12" s="687"/>
      <c r="L12" s="687"/>
    </row>
    <row r="13" customFormat="false" ht="28.5" hidden="false" customHeight="true" outlineLevel="0" collapsed="false">
      <c r="A13" s="700" t="s">
        <v>602</v>
      </c>
      <c r="B13" s="700"/>
      <c r="C13" s="700"/>
      <c r="D13" s="700"/>
      <c r="E13" s="700"/>
      <c r="F13" s="701" t="s">
        <v>603</v>
      </c>
      <c r="G13" s="701" t="s">
        <v>604</v>
      </c>
      <c r="H13" s="701" t="s">
        <v>605</v>
      </c>
      <c r="I13" s="702"/>
      <c r="J13" s="703"/>
      <c r="K13" s="704" t="s">
        <v>606</v>
      </c>
      <c r="L13" s="705" t="s">
        <v>607</v>
      </c>
      <c r="M13" s="706" t="s">
        <v>608</v>
      </c>
      <c r="S13" s="707"/>
    </row>
    <row r="14" customFormat="false" ht="28.5" hidden="false" customHeight="true" outlineLevel="0" collapsed="false">
      <c r="A14" s="708" t="s">
        <v>52</v>
      </c>
      <c r="B14" s="709" t="s">
        <v>609</v>
      </c>
      <c r="C14" s="709"/>
      <c r="D14" s="709"/>
      <c r="E14" s="709"/>
      <c r="F14" s="710" t="s">
        <v>610</v>
      </c>
      <c r="G14" s="710"/>
      <c r="H14" s="710"/>
      <c r="I14" s="711"/>
      <c r="J14" s="688"/>
      <c r="K14" s="704"/>
      <c r="L14" s="704"/>
      <c r="M14" s="704"/>
      <c r="N14" s="712" t="str">
        <f aca="false">IF(S14=0,"Favor Avaliar Linha",IF(S14&gt;1,"Mais de uma Nota Atribuida na linha. Verifique","OK"))</f>
        <v>OK</v>
      </c>
      <c r="O14" s="712"/>
      <c r="P14" s="712"/>
      <c r="Q14" s="712"/>
      <c r="R14" s="712"/>
      <c r="S14" s="713" t="n">
        <f aca="false">COUNTA(F14:I14)</f>
        <v>1</v>
      </c>
    </row>
    <row r="15" customFormat="false" ht="28.5" hidden="false" customHeight="true" outlineLevel="0" collapsed="false">
      <c r="A15" s="700" t="s">
        <v>611</v>
      </c>
      <c r="B15" s="700"/>
      <c r="C15" s="700"/>
      <c r="D15" s="700"/>
      <c r="E15" s="700"/>
      <c r="F15" s="701" t="s">
        <v>603</v>
      </c>
      <c r="G15" s="701" t="s">
        <v>604</v>
      </c>
      <c r="H15" s="701" t="s">
        <v>605</v>
      </c>
      <c r="I15" s="702"/>
      <c r="J15" s="703"/>
      <c r="K15" s="704"/>
      <c r="L15" s="704"/>
      <c r="M15" s="704"/>
      <c r="S15" s="707"/>
    </row>
    <row r="16" customFormat="false" ht="28.5" hidden="false" customHeight="true" outlineLevel="0" collapsed="false">
      <c r="A16" s="714" t="s">
        <v>77</v>
      </c>
      <c r="B16" s="715" t="s">
        <v>612</v>
      </c>
      <c r="C16" s="715"/>
      <c r="D16" s="715"/>
      <c r="E16" s="715"/>
      <c r="F16" s="716" t="s">
        <v>610</v>
      </c>
      <c r="G16" s="716"/>
      <c r="H16" s="716"/>
      <c r="I16" s="717"/>
      <c r="J16" s="688"/>
      <c r="K16" s="704"/>
      <c r="L16" s="704"/>
      <c r="M16" s="704"/>
      <c r="N16" s="712" t="str">
        <f aca="false">IF(S16=0,"Favor Avaliar Linha",IF(S16&gt;1,"Mais de uma Nota Atribuida na linha. Verifique","OK"))</f>
        <v>OK</v>
      </c>
      <c r="O16" s="712"/>
      <c r="P16" s="712"/>
      <c r="Q16" s="712"/>
      <c r="R16" s="712"/>
      <c r="S16" s="713" t="n">
        <f aca="false">COUNTA(F16:I16)</f>
        <v>1</v>
      </c>
    </row>
    <row r="17" customFormat="false" ht="28.5" hidden="false" customHeight="true" outlineLevel="0" collapsed="false">
      <c r="A17" s="714" t="s">
        <v>91</v>
      </c>
      <c r="B17" s="715" t="s">
        <v>613</v>
      </c>
      <c r="C17" s="715"/>
      <c r="D17" s="715"/>
      <c r="E17" s="715"/>
      <c r="F17" s="716" t="s">
        <v>610</v>
      </c>
      <c r="G17" s="716"/>
      <c r="H17" s="716"/>
      <c r="I17" s="717"/>
      <c r="J17" s="688"/>
      <c r="K17" s="704"/>
      <c r="L17" s="704"/>
      <c r="M17" s="704"/>
      <c r="N17" s="712" t="str">
        <f aca="false">IF(S17=0,"Favor Avaliar Linha",IF(S17&gt;1,"Mais de uma Nota Atribuida na linha. Verifique","OK"))</f>
        <v>OK</v>
      </c>
      <c r="O17" s="712"/>
      <c r="P17" s="712"/>
      <c r="Q17" s="712"/>
      <c r="R17" s="712"/>
      <c r="S17" s="713" t="n">
        <f aca="false">COUNTA(F17:I17)</f>
        <v>1</v>
      </c>
    </row>
    <row r="18" customFormat="false" ht="28.5" hidden="false" customHeight="true" outlineLevel="0" collapsed="false">
      <c r="A18" s="714" t="s">
        <v>614</v>
      </c>
      <c r="B18" s="715" t="s">
        <v>615</v>
      </c>
      <c r="C18" s="715"/>
      <c r="D18" s="715"/>
      <c r="E18" s="715"/>
      <c r="F18" s="716" t="s">
        <v>610</v>
      </c>
      <c r="G18" s="716"/>
      <c r="H18" s="716"/>
      <c r="I18" s="717"/>
      <c r="J18" s="688"/>
      <c r="K18" s="704"/>
      <c r="L18" s="704"/>
      <c r="M18" s="704"/>
      <c r="N18" s="712" t="str">
        <f aca="false">IF(S18=0,"Favor Avaliar Linha",IF(S18&gt;1,"Mais de uma Nota Atribuida na linha. Verifique","OK"))</f>
        <v>OK</v>
      </c>
      <c r="O18" s="712"/>
      <c r="P18" s="712"/>
      <c r="Q18" s="712"/>
      <c r="R18" s="712"/>
      <c r="S18" s="713" t="n">
        <f aca="false">COUNTA(F18:I18)</f>
        <v>1</v>
      </c>
    </row>
    <row r="19" customFormat="false" ht="28.5" hidden="false" customHeight="true" outlineLevel="0" collapsed="false">
      <c r="A19" s="708" t="s">
        <v>616</v>
      </c>
      <c r="B19" s="709" t="s">
        <v>617</v>
      </c>
      <c r="C19" s="709"/>
      <c r="D19" s="709"/>
      <c r="E19" s="709"/>
      <c r="F19" s="710" t="s">
        <v>610</v>
      </c>
      <c r="G19" s="710"/>
      <c r="H19" s="710"/>
      <c r="I19" s="711"/>
      <c r="J19" s="688"/>
      <c r="K19" s="704"/>
      <c r="L19" s="704"/>
      <c r="M19" s="704"/>
      <c r="N19" s="712" t="str">
        <f aca="false">IF(S19=0,"Favor Avaliar Linha",IF(S19&gt;1,"Mais de uma Nota Atribuida na linha. Verifique","OK"))</f>
        <v>OK</v>
      </c>
      <c r="O19" s="712"/>
      <c r="P19" s="712"/>
      <c r="Q19" s="712"/>
      <c r="R19" s="712"/>
      <c r="S19" s="713" t="n">
        <f aca="false">COUNTA(F19:I19)</f>
        <v>1</v>
      </c>
    </row>
    <row r="20" customFormat="false" ht="28.5" hidden="false" customHeight="true" outlineLevel="0" collapsed="false">
      <c r="A20" s="700" t="s">
        <v>618</v>
      </c>
      <c r="B20" s="700"/>
      <c r="C20" s="700"/>
      <c r="D20" s="700"/>
      <c r="E20" s="700"/>
      <c r="F20" s="701" t="s">
        <v>603</v>
      </c>
      <c r="G20" s="701" t="s">
        <v>604</v>
      </c>
      <c r="H20" s="701" t="s">
        <v>605</v>
      </c>
      <c r="I20" s="702"/>
      <c r="J20" s="703"/>
      <c r="K20" s="704"/>
      <c r="L20" s="704"/>
      <c r="M20" s="704"/>
      <c r="S20" s="707"/>
    </row>
    <row r="21" customFormat="false" ht="28.5" hidden="false" customHeight="true" outlineLevel="0" collapsed="false">
      <c r="A21" s="708" t="s">
        <v>96</v>
      </c>
      <c r="B21" s="709" t="s">
        <v>619</v>
      </c>
      <c r="C21" s="709"/>
      <c r="D21" s="709"/>
      <c r="E21" s="709"/>
      <c r="F21" s="710" t="s">
        <v>610</v>
      </c>
      <c r="G21" s="710"/>
      <c r="H21" s="710"/>
      <c r="I21" s="711"/>
      <c r="J21" s="688"/>
      <c r="K21" s="704"/>
      <c r="L21" s="704"/>
      <c r="M21" s="704"/>
      <c r="N21" s="712" t="str">
        <f aca="false">IF(S21=0,"Favor Avaliar Linha",IF(S21&gt;1,"Mais de uma Nota Atribuida na linha. Verifique","OK"))</f>
        <v>OK</v>
      </c>
      <c r="O21" s="712"/>
      <c r="P21" s="712"/>
      <c r="Q21" s="712"/>
      <c r="R21" s="712"/>
      <c r="S21" s="713" t="n">
        <f aca="false">COUNTA(F21:I21)</f>
        <v>1</v>
      </c>
    </row>
    <row r="22" customFormat="false" ht="28.5" hidden="false" customHeight="true" outlineLevel="0" collapsed="false">
      <c r="A22" s="700" t="s">
        <v>620</v>
      </c>
      <c r="B22" s="700"/>
      <c r="C22" s="700"/>
      <c r="D22" s="700"/>
      <c r="E22" s="700"/>
      <c r="F22" s="701" t="s">
        <v>603</v>
      </c>
      <c r="G22" s="701" t="s">
        <v>604</v>
      </c>
      <c r="H22" s="701" t="s">
        <v>605</v>
      </c>
      <c r="I22" s="702" t="s">
        <v>621</v>
      </c>
      <c r="J22" s="703"/>
      <c r="K22" s="704"/>
      <c r="L22" s="704"/>
      <c r="M22" s="704"/>
      <c r="O22" s="718"/>
      <c r="P22" s="718"/>
      <c r="Q22" s="718"/>
      <c r="R22" s="718"/>
      <c r="S22" s="707"/>
    </row>
    <row r="23" customFormat="false" ht="28.5" hidden="false" customHeight="true" outlineLevel="0" collapsed="false">
      <c r="A23" s="714" t="s">
        <v>470</v>
      </c>
      <c r="B23" s="719" t="s">
        <v>622</v>
      </c>
      <c r="C23" s="719"/>
      <c r="D23" s="719"/>
      <c r="E23" s="719"/>
      <c r="F23" s="716" t="s">
        <v>610</v>
      </c>
      <c r="G23" s="716"/>
      <c r="H23" s="716"/>
      <c r="I23" s="720"/>
      <c r="J23" s="688"/>
      <c r="K23" s="721"/>
      <c r="L23" s="721"/>
      <c r="M23" s="721"/>
      <c r="N23" s="712" t="str">
        <f aca="false">IF(S23=0,"Favor Avaliar Linha",IF(S23&gt;1,"Mais de uma Nota Atribuida na linha. Verifique","OK"))</f>
        <v>OK</v>
      </c>
      <c r="O23" s="712"/>
      <c r="P23" s="712"/>
      <c r="Q23" s="712"/>
      <c r="R23" s="712"/>
      <c r="S23" s="713" t="n">
        <f aca="false">COUNTA(F23:I23)</f>
        <v>1</v>
      </c>
    </row>
    <row r="24" customFormat="false" ht="28.5" hidden="false" customHeight="true" outlineLevel="0" collapsed="false">
      <c r="A24" s="714" t="s">
        <v>623</v>
      </c>
      <c r="B24" s="715" t="s">
        <v>624</v>
      </c>
      <c r="C24" s="715"/>
      <c r="D24" s="715"/>
      <c r="E24" s="715"/>
      <c r="F24" s="716" t="s">
        <v>610</v>
      </c>
      <c r="G24" s="716"/>
      <c r="H24" s="716"/>
      <c r="I24" s="720"/>
      <c r="J24" s="688"/>
      <c r="K24" s="704" t="s">
        <v>625</v>
      </c>
      <c r="L24" s="705" t="s">
        <v>607</v>
      </c>
      <c r="M24" s="706" t="s">
        <v>608</v>
      </c>
      <c r="N24" s="712" t="str">
        <f aca="false">IF(S24=0,"Favor Avaliar Linha",IF(S24&gt;1,"Mais de uma Nota Atribuida na linha. Verifique","OK"))</f>
        <v>OK</v>
      </c>
      <c r="O24" s="712"/>
      <c r="P24" s="712"/>
      <c r="Q24" s="712"/>
      <c r="R24" s="712"/>
      <c r="S24" s="713" t="n">
        <f aca="false">COUNTA(F24:I24)</f>
        <v>1</v>
      </c>
    </row>
    <row r="25" customFormat="false" ht="28.5" hidden="false" customHeight="true" outlineLevel="0" collapsed="false">
      <c r="A25" s="714" t="s">
        <v>626</v>
      </c>
      <c r="B25" s="715" t="s">
        <v>627</v>
      </c>
      <c r="C25" s="715"/>
      <c r="D25" s="715"/>
      <c r="E25" s="715"/>
      <c r="F25" s="716" t="s">
        <v>610</v>
      </c>
      <c r="G25" s="716"/>
      <c r="H25" s="716"/>
      <c r="I25" s="720"/>
      <c r="J25" s="688"/>
      <c r="K25" s="704"/>
      <c r="L25" s="704"/>
      <c r="M25" s="704"/>
      <c r="N25" s="712" t="str">
        <f aca="false">IF(S25=0,"Favor Avaliar Linha",IF(S25&gt;1,"Mais de uma Nota Atribuida na linha. Verifique","OK"))</f>
        <v>OK</v>
      </c>
      <c r="O25" s="712"/>
      <c r="P25" s="712"/>
      <c r="Q25" s="712"/>
      <c r="R25" s="712"/>
      <c r="S25" s="713" t="n">
        <f aca="false">COUNTA(F25:I25)</f>
        <v>1</v>
      </c>
    </row>
    <row r="26" customFormat="false" ht="28.5" hidden="false" customHeight="true" outlineLevel="0" collapsed="false">
      <c r="A26" s="714" t="s">
        <v>628</v>
      </c>
      <c r="B26" s="715" t="s">
        <v>629</v>
      </c>
      <c r="C26" s="715"/>
      <c r="D26" s="715"/>
      <c r="E26" s="715"/>
      <c r="F26" s="716" t="s">
        <v>610</v>
      </c>
      <c r="G26" s="716"/>
      <c r="H26" s="716"/>
      <c r="I26" s="720"/>
      <c r="J26" s="688"/>
      <c r="K26" s="704"/>
      <c r="L26" s="704"/>
      <c r="M26" s="704"/>
      <c r="N26" s="712" t="str">
        <f aca="false">IF(S26=0,"Favor Avaliar Linha",IF(S26&gt;1,"Mais de uma Nota Atribuida na linha. Verifique","OK"))</f>
        <v>OK</v>
      </c>
      <c r="O26" s="712"/>
      <c r="P26" s="712"/>
      <c r="Q26" s="712"/>
      <c r="R26" s="712"/>
      <c r="S26" s="713" t="n">
        <f aca="false">COUNTA(F26:I26)</f>
        <v>1</v>
      </c>
    </row>
    <row r="27" customFormat="false" ht="28.5" hidden="false" customHeight="true" outlineLevel="0" collapsed="false">
      <c r="A27" s="714" t="s">
        <v>630</v>
      </c>
      <c r="B27" s="715" t="s">
        <v>631</v>
      </c>
      <c r="C27" s="715"/>
      <c r="D27" s="715"/>
      <c r="E27" s="715"/>
      <c r="F27" s="716" t="s">
        <v>610</v>
      </c>
      <c r="G27" s="716"/>
      <c r="H27" s="716"/>
      <c r="I27" s="720"/>
      <c r="J27" s="688"/>
      <c r="K27" s="704"/>
      <c r="L27" s="704"/>
      <c r="M27" s="704"/>
      <c r="N27" s="712" t="str">
        <f aca="false">IF(S27=0,"Favor Avaliar Linha",IF(S27&gt;1,"Mais de uma Nota Atribuida na linha. Verifique","OK"))</f>
        <v>OK</v>
      </c>
      <c r="O27" s="712"/>
      <c r="P27" s="712"/>
      <c r="Q27" s="712"/>
      <c r="R27" s="712"/>
      <c r="S27" s="713" t="n">
        <f aca="false">COUNTA(F27:I27)</f>
        <v>1</v>
      </c>
    </row>
    <row r="28" customFormat="false" ht="28.5" hidden="false" customHeight="true" outlineLevel="0" collapsed="false">
      <c r="A28" s="714" t="s">
        <v>632</v>
      </c>
      <c r="B28" s="715" t="s">
        <v>633</v>
      </c>
      <c r="C28" s="715"/>
      <c r="D28" s="715"/>
      <c r="E28" s="715"/>
      <c r="F28" s="716" t="s">
        <v>610</v>
      </c>
      <c r="G28" s="716"/>
      <c r="H28" s="716"/>
      <c r="I28" s="720"/>
      <c r="J28" s="688"/>
      <c r="K28" s="704"/>
      <c r="L28" s="704"/>
      <c r="M28" s="704"/>
      <c r="N28" s="712" t="str">
        <f aca="false">IF(S28=0,"Favor Avaliar Linha",IF(S28&gt;1,"Mais de uma Nota Atribuida na linha. Verifique","OK"))</f>
        <v>OK</v>
      </c>
      <c r="O28" s="712"/>
      <c r="P28" s="712"/>
      <c r="Q28" s="712"/>
      <c r="R28" s="712"/>
      <c r="S28" s="713" t="n">
        <f aca="false">COUNTA(F28:I28)</f>
        <v>1</v>
      </c>
    </row>
    <row r="29" customFormat="false" ht="28.5" hidden="false" customHeight="true" outlineLevel="0" collapsed="false">
      <c r="A29" s="714" t="s">
        <v>634</v>
      </c>
      <c r="B29" s="715" t="s">
        <v>635</v>
      </c>
      <c r="C29" s="715"/>
      <c r="D29" s="715"/>
      <c r="E29" s="715"/>
      <c r="F29" s="716" t="s">
        <v>610</v>
      </c>
      <c r="G29" s="716"/>
      <c r="H29" s="716"/>
      <c r="I29" s="720"/>
      <c r="J29" s="688"/>
      <c r="K29" s="704"/>
      <c r="L29" s="704"/>
      <c r="M29" s="704"/>
      <c r="N29" s="712" t="str">
        <f aca="false">IF(S29=0,"Favor Avaliar Linha",IF(S29&gt;1,"Mais de uma Nota Atribuida na linha. Verifique","OK"))</f>
        <v>OK</v>
      </c>
      <c r="O29" s="712"/>
      <c r="P29" s="712"/>
      <c r="Q29" s="712"/>
      <c r="R29" s="712"/>
      <c r="S29" s="713" t="n">
        <f aca="false">COUNTA(F29:I29)</f>
        <v>1</v>
      </c>
    </row>
    <row r="30" customFormat="false" ht="28.5" hidden="false" customHeight="true" outlineLevel="0" collapsed="false">
      <c r="A30" s="714" t="s">
        <v>636</v>
      </c>
      <c r="B30" s="715" t="s">
        <v>637</v>
      </c>
      <c r="C30" s="715"/>
      <c r="D30" s="715"/>
      <c r="E30" s="715"/>
      <c r="F30" s="716" t="s">
        <v>610</v>
      </c>
      <c r="G30" s="716"/>
      <c r="H30" s="716"/>
      <c r="I30" s="720"/>
      <c r="J30" s="688"/>
      <c r="K30" s="704"/>
      <c r="L30" s="704"/>
      <c r="M30" s="704"/>
      <c r="N30" s="712" t="str">
        <f aca="false">IF(S30=0,"Favor Avaliar Linha",IF(S30&gt;1,"Mais de uma Nota Atribuida na linha. Verifique","OK"))</f>
        <v>OK</v>
      </c>
      <c r="O30" s="712"/>
      <c r="P30" s="712"/>
      <c r="Q30" s="712"/>
      <c r="R30" s="712"/>
      <c r="S30" s="713" t="n">
        <f aca="false">COUNTA(F30:I30)</f>
        <v>1</v>
      </c>
    </row>
    <row r="31" customFormat="false" ht="28.5" hidden="false" customHeight="true" outlineLevel="0" collapsed="false">
      <c r="A31" s="714" t="s">
        <v>638</v>
      </c>
      <c r="B31" s="715" t="s">
        <v>639</v>
      </c>
      <c r="C31" s="715"/>
      <c r="D31" s="715"/>
      <c r="E31" s="715"/>
      <c r="F31" s="716" t="s">
        <v>610</v>
      </c>
      <c r="G31" s="716"/>
      <c r="H31" s="716"/>
      <c r="I31" s="720"/>
      <c r="J31" s="688"/>
      <c r="K31" s="704"/>
      <c r="L31" s="704"/>
      <c r="M31" s="704"/>
      <c r="N31" s="712" t="str">
        <f aca="false">IF(S31=0,"Favor Avaliar Linha",IF(S31&gt;1,"Mais de uma Nota Atribuida na linha. Verifique","OK"))</f>
        <v>OK</v>
      </c>
      <c r="O31" s="712"/>
      <c r="P31" s="712"/>
      <c r="Q31" s="712"/>
      <c r="R31" s="712"/>
      <c r="S31" s="713" t="n">
        <f aca="false">COUNTA(F31:I31)</f>
        <v>1</v>
      </c>
    </row>
    <row r="32" customFormat="false" ht="28.5" hidden="false" customHeight="true" outlineLevel="0" collapsed="false">
      <c r="A32" s="714" t="s">
        <v>640</v>
      </c>
      <c r="B32" s="719" t="s">
        <v>641</v>
      </c>
      <c r="C32" s="719"/>
      <c r="D32" s="719"/>
      <c r="E32" s="719"/>
      <c r="F32" s="716" t="s">
        <v>610</v>
      </c>
      <c r="G32" s="716"/>
      <c r="H32" s="716"/>
      <c r="I32" s="720"/>
      <c r="J32" s="688"/>
      <c r="K32" s="704"/>
      <c r="L32" s="704"/>
      <c r="M32" s="704"/>
      <c r="N32" s="712" t="str">
        <f aca="false">IF(S32=0,"Favor Avaliar Linha",IF(S32&gt;1,"Mais de uma Nota Atribuida na linha. Verifique","OK"))</f>
        <v>OK</v>
      </c>
      <c r="O32" s="712"/>
      <c r="P32" s="712"/>
      <c r="Q32" s="712"/>
      <c r="R32" s="712"/>
      <c r="S32" s="713" t="n">
        <f aca="false">COUNTA(F32:I32)</f>
        <v>1</v>
      </c>
    </row>
    <row r="33" customFormat="false" ht="28.5" hidden="false" customHeight="true" outlineLevel="0" collapsed="false">
      <c r="A33" s="714" t="s">
        <v>642</v>
      </c>
      <c r="B33" s="719" t="s">
        <v>643</v>
      </c>
      <c r="C33" s="719"/>
      <c r="D33" s="719"/>
      <c r="E33" s="719"/>
      <c r="F33" s="716" t="s">
        <v>610</v>
      </c>
      <c r="G33" s="716"/>
      <c r="H33" s="716"/>
      <c r="I33" s="720"/>
      <c r="J33" s="688"/>
      <c r="K33" s="704"/>
      <c r="L33" s="704"/>
      <c r="M33" s="704"/>
      <c r="N33" s="712" t="str">
        <f aca="false">IF(S33=0,"Favor Avaliar Linha",IF(S33&gt;1,"Mais de uma Nota Atribuida na linha. Verifique","OK"))</f>
        <v>OK</v>
      </c>
      <c r="O33" s="712"/>
      <c r="P33" s="712"/>
      <c r="Q33" s="712"/>
      <c r="R33" s="712"/>
      <c r="S33" s="713" t="n">
        <f aca="false">COUNTA(F33:I33)</f>
        <v>1</v>
      </c>
    </row>
    <row r="34" customFormat="false" ht="28.5" hidden="false" customHeight="true" outlineLevel="0" collapsed="false">
      <c r="A34" s="708" t="s">
        <v>644</v>
      </c>
      <c r="B34" s="709" t="s">
        <v>645</v>
      </c>
      <c r="C34" s="709"/>
      <c r="D34" s="709"/>
      <c r="E34" s="709"/>
      <c r="F34" s="710" t="s">
        <v>610</v>
      </c>
      <c r="G34" s="710"/>
      <c r="H34" s="710"/>
      <c r="I34" s="722"/>
      <c r="J34" s="688"/>
      <c r="N34" s="712" t="str">
        <f aca="false">IF(S34=0,"Favor Avaliar Linha",IF(S34&gt;1,"Mais de uma Nota Atribuida na linha. Verifique","OK"))</f>
        <v>OK</v>
      </c>
      <c r="O34" s="712"/>
      <c r="P34" s="712"/>
      <c r="Q34" s="712"/>
      <c r="R34" s="712"/>
      <c r="S34" s="713" t="n">
        <f aca="false">COUNTA(F34:I34)</f>
        <v>1</v>
      </c>
    </row>
    <row r="35" customFormat="false" ht="20.1" hidden="false" customHeight="true" outlineLevel="0" collapsed="false">
      <c r="A35" s="723" t="s">
        <v>646</v>
      </c>
      <c r="B35" s="723"/>
      <c r="C35" s="723"/>
      <c r="D35" s="724" t="s">
        <v>647</v>
      </c>
      <c r="E35" s="724"/>
      <c r="F35" s="725" t="n">
        <f aca="false">COUNTA(F14)+COUNTA(F16:F19)+COUNTA(F21)+COUNTA(F23:F34)</f>
        <v>18</v>
      </c>
      <c r="G35" s="725" t="n">
        <f aca="false">COUNTA(G14)+COUNTA(G16:G19)+COUNTA(G21)+COUNTA(G23:G34)</f>
        <v>0</v>
      </c>
      <c r="H35" s="725" t="n">
        <f aca="false">COUNTA(H14)+COUNTA(H16:H19)+COUNTA(H21)+COUNTA(H23:H34)</f>
        <v>0</v>
      </c>
      <c r="I35" s="726" t="n">
        <f aca="false">+COUNTA(I23:I34)</f>
        <v>0</v>
      </c>
      <c r="J35" s="694"/>
      <c r="K35" s="727" t="n">
        <f aca="false">SUM(F35:I35)</f>
        <v>18</v>
      </c>
      <c r="S35" s="707"/>
    </row>
    <row r="36" customFormat="false" ht="20.1" hidden="false" customHeight="true" outlineLevel="0" collapsed="false">
      <c r="A36" s="728" t="str">
        <f aca="false">IF(H38&gt;=93,"A",(IF(H38&gt;=90,"B",(IF(H38&gt;=88,"C",(IF(H38&gt;=86,"D",(IF(H38&gt;=84,"E",(IF(H38&gt;=82,"F",IF(H38&gt;=0,"G"))))))))))))</f>
        <v>A</v>
      </c>
      <c r="B36" s="728"/>
      <c r="C36" s="728"/>
      <c r="D36" s="729" t="s">
        <v>648</v>
      </c>
      <c r="E36" s="729"/>
      <c r="F36" s="725" t="n">
        <v>100</v>
      </c>
      <c r="G36" s="725" t="n">
        <v>80</v>
      </c>
      <c r="H36" s="730" t="n">
        <v>30</v>
      </c>
      <c r="I36" s="731" t="str">
        <f aca="false">IF(K35=" ","Nota Não Atribuida",(IF(K35&gt;18,"Foram Avaliados mais itens do que o necessário",(IF(K35&lt;18,"Não foram avaliados todos os itens",(IF(K35=18,"Avaliação Ok")))))))</f>
        <v>Avaliação Ok</v>
      </c>
      <c r="J36" s="731"/>
      <c r="K36" s="731"/>
      <c r="L36" s="731"/>
      <c r="M36" s="731"/>
      <c r="S36" s="707"/>
    </row>
    <row r="37" customFormat="false" ht="20.1" hidden="false" customHeight="true" outlineLevel="0" collapsed="false">
      <c r="A37" s="728"/>
      <c r="B37" s="728"/>
      <c r="C37" s="728"/>
      <c r="D37" s="729" t="s">
        <v>649</v>
      </c>
      <c r="E37" s="729"/>
      <c r="F37" s="732" t="n">
        <f aca="false">+F36*F35</f>
        <v>1800</v>
      </c>
      <c r="G37" s="732" t="n">
        <f aca="false">+G36*G35</f>
        <v>0</v>
      </c>
      <c r="H37" s="733" t="n">
        <f aca="false">+H36*H35</f>
        <v>0</v>
      </c>
      <c r="I37" s="731"/>
      <c r="J37" s="731"/>
      <c r="K37" s="731"/>
      <c r="L37" s="731"/>
      <c r="M37" s="731"/>
    </row>
    <row r="38" customFormat="false" ht="20.1" hidden="false" customHeight="true" outlineLevel="0" collapsed="false">
      <c r="A38" s="728"/>
      <c r="B38" s="728"/>
      <c r="C38" s="728"/>
      <c r="D38" s="734" t="s">
        <v>650</v>
      </c>
      <c r="E38" s="734"/>
      <c r="F38" s="735" t="n">
        <f aca="false">+F37+G37+H37</f>
        <v>1800</v>
      </c>
      <c r="G38" s="736" t="s">
        <v>651</v>
      </c>
      <c r="H38" s="737" t="n">
        <f aca="false">ROUND(+F38/(SUM(F35:H35)),0)</f>
        <v>100</v>
      </c>
      <c r="I38" s="731"/>
      <c r="J38" s="731"/>
      <c r="K38" s="731"/>
      <c r="L38" s="731"/>
      <c r="M38" s="731"/>
      <c r="O38" s="738"/>
      <c r="P38" s="738"/>
      <c r="Q38" s="738"/>
      <c r="R38" s="738"/>
      <c r="S38" s="738"/>
    </row>
    <row r="39" customFormat="false" ht="6.75" hidden="false" customHeight="true" outlineLevel="0" collapsed="false">
      <c r="G39" s="693"/>
      <c r="H39" s="693"/>
      <c r="I39" s="694"/>
      <c r="J39" s="694"/>
      <c r="K39" s="688"/>
    </row>
    <row r="40" customFormat="false" ht="20.1" hidden="false" customHeight="true" outlineLevel="0" collapsed="false">
      <c r="A40" s="739" t="s">
        <v>652</v>
      </c>
      <c r="B40" s="739"/>
      <c r="C40" s="739"/>
      <c r="D40" s="739"/>
      <c r="E40" s="739"/>
      <c r="F40" s="740" t="e">
        <f aca="false">+#REF!</f>
        <v>#REF!</v>
      </c>
      <c r="G40" s="741" t="s">
        <v>653</v>
      </c>
      <c r="H40" s="741"/>
      <c r="I40" s="741"/>
      <c r="J40" s="741"/>
      <c r="K40" s="741"/>
      <c r="L40" s="741"/>
      <c r="M40" s="742"/>
    </row>
    <row r="41" customFormat="false" ht="18" hidden="false" customHeight="false" outlineLevel="0" collapsed="false">
      <c r="A41" s="743" t="s">
        <v>654</v>
      </c>
      <c r="B41" s="744" t="s">
        <v>655</v>
      </c>
      <c r="C41" s="744"/>
      <c r="D41" s="744"/>
      <c r="E41" s="745" t="s">
        <v>656</v>
      </c>
      <c r="F41" s="746"/>
      <c r="H41" s="747"/>
      <c r="I41" s="694"/>
      <c r="J41" s="694"/>
      <c r="K41" s="688"/>
    </row>
    <row r="42" customFormat="false" ht="12" hidden="false" customHeight="false" outlineLevel="0" collapsed="false">
      <c r="A42" s="748" t="s">
        <v>15</v>
      </c>
      <c r="B42" s="288" t="s">
        <v>657</v>
      </c>
      <c r="C42" s="288"/>
      <c r="D42" s="288"/>
      <c r="E42" s="749" t="n">
        <v>1</v>
      </c>
      <c r="F42" s="750"/>
      <c r="M42" s="688"/>
    </row>
    <row r="43" customFormat="false" ht="12.75" hidden="false" customHeight="false" outlineLevel="0" collapsed="false">
      <c r="A43" s="748" t="s">
        <v>17</v>
      </c>
      <c r="B43" s="288" t="s">
        <v>658</v>
      </c>
      <c r="C43" s="288"/>
      <c r="D43" s="288"/>
      <c r="E43" s="749" t="n">
        <v>0.95</v>
      </c>
      <c r="F43" s="750"/>
    </row>
    <row r="44" customFormat="false" ht="14.25" hidden="false" customHeight="false" outlineLevel="0" collapsed="false">
      <c r="A44" s="748" t="s">
        <v>20</v>
      </c>
      <c r="B44" s="288" t="s">
        <v>659</v>
      </c>
      <c r="C44" s="288"/>
      <c r="D44" s="288"/>
      <c r="E44" s="751" t="n">
        <v>0.92</v>
      </c>
      <c r="F44" s="750"/>
      <c r="G44" s="752" t="s">
        <v>660</v>
      </c>
      <c r="H44" s="752"/>
      <c r="I44" s="752"/>
      <c r="K44" s="753" t="n">
        <f aca="false">+#REF!-#REF!</f>
        <v>0</v>
      </c>
      <c r="L44" s="753"/>
    </row>
    <row r="45" customFormat="false" ht="12.75" hidden="false" customHeight="false" outlineLevel="0" collapsed="false">
      <c r="A45" s="748" t="s">
        <v>22</v>
      </c>
      <c r="B45" s="288" t="s">
        <v>661</v>
      </c>
      <c r="C45" s="288"/>
      <c r="D45" s="288"/>
      <c r="E45" s="751" t="n">
        <v>0.89</v>
      </c>
      <c r="F45" s="750"/>
      <c r="G45" s="752" t="s">
        <v>662</v>
      </c>
      <c r="H45" s="752"/>
      <c r="I45" s="752"/>
      <c r="J45" s="694"/>
      <c r="K45" s="753"/>
      <c r="L45" s="753"/>
    </row>
    <row r="46" customFormat="false" ht="13.5" hidden="false" customHeight="false" outlineLevel="0" collapsed="false">
      <c r="A46" s="748" t="s">
        <v>392</v>
      </c>
      <c r="B46" s="288" t="s">
        <v>663</v>
      </c>
      <c r="C46" s="288"/>
      <c r="D46" s="288"/>
      <c r="E46" s="751" t="n">
        <v>0.86</v>
      </c>
      <c r="F46" s="750"/>
      <c r="G46" s="754" t="s">
        <v>664</v>
      </c>
      <c r="H46" s="754"/>
      <c r="I46" s="754"/>
      <c r="J46" s="694"/>
      <c r="K46" s="755" t="n">
        <f aca="false">+K45+K44</f>
        <v>0</v>
      </c>
      <c r="L46" s="755"/>
    </row>
    <row r="47" customFormat="false" ht="12" hidden="false" customHeight="false" outlineLevel="0" collapsed="false">
      <c r="A47" s="748" t="s">
        <v>394</v>
      </c>
      <c r="B47" s="288" t="s">
        <v>665</v>
      </c>
      <c r="C47" s="288"/>
      <c r="D47" s="288"/>
      <c r="E47" s="751" t="n">
        <v>0.83</v>
      </c>
      <c r="F47" s="750"/>
      <c r="G47" s="756" t="s">
        <v>666</v>
      </c>
      <c r="H47" s="756"/>
      <c r="I47" s="756"/>
      <c r="J47" s="694"/>
      <c r="K47" s="757" t="n">
        <f aca="false">IF(A36="A",1,(IF(A36="B",0.95,(IF(A36="C",0.92,(IF(A36="D",0.89,(IF(A36="E",0.86,(IF(A36="F",0.83,(IF(A36="G",0.8,"Nota Invalida")))))))))))))</f>
        <v>1</v>
      </c>
      <c r="L47" s="757"/>
    </row>
    <row r="48" customFormat="false" ht="12.75" hidden="false" customHeight="false" outlineLevel="0" collapsed="false">
      <c r="A48" s="758" t="s">
        <v>396</v>
      </c>
      <c r="B48" s="759" t="s">
        <v>667</v>
      </c>
      <c r="C48" s="759"/>
      <c r="D48" s="759"/>
      <c r="E48" s="760" t="n">
        <v>0.8</v>
      </c>
      <c r="F48" s="750"/>
      <c r="G48" s="761" t="s">
        <v>668</v>
      </c>
      <c r="H48" s="761"/>
      <c r="I48" s="761"/>
      <c r="J48" s="694"/>
      <c r="K48" s="762" t="n">
        <f aca="false">+K46*(K47)</f>
        <v>0</v>
      </c>
      <c r="L48" s="762"/>
    </row>
    <row r="49" customFormat="false" ht="20.1" hidden="false" customHeight="true" outlineLevel="0" collapsed="false">
      <c r="A49" s="693"/>
      <c r="B49" s="693"/>
      <c r="C49" s="693"/>
      <c r="D49" s="763"/>
      <c r="E49" s="763"/>
      <c r="F49" s="764"/>
      <c r="G49" s="765"/>
      <c r="H49" s="765"/>
      <c r="I49" s="693"/>
      <c r="J49" s="694"/>
      <c r="K49" s="693"/>
      <c r="L49" s="693"/>
      <c r="M49" s="766" t="s">
        <v>669</v>
      </c>
      <c r="O49" s="767"/>
      <c r="P49" s="693"/>
      <c r="Q49" s="768"/>
      <c r="R49" s="693"/>
      <c r="S49" s="693"/>
      <c r="T49" s="693"/>
    </row>
    <row r="50" customFormat="false" ht="20.25" hidden="false" customHeight="true" outlineLevel="0" collapsed="false">
      <c r="A50" s="723" t="s">
        <v>670</v>
      </c>
      <c r="B50" s="723"/>
      <c r="C50" s="723"/>
      <c r="D50" s="723"/>
      <c r="E50" s="723"/>
      <c r="F50" s="723"/>
      <c r="G50" s="723"/>
      <c r="H50" s="723"/>
      <c r="I50" s="723"/>
      <c r="J50" s="723"/>
      <c r="K50" s="723"/>
      <c r="L50" s="723"/>
      <c r="M50" s="723"/>
      <c r="O50" s="767"/>
      <c r="P50" s="693"/>
      <c r="Q50" s="768"/>
      <c r="R50" s="693"/>
      <c r="S50" s="693"/>
      <c r="T50" s="693"/>
    </row>
    <row r="51" customFormat="false" ht="36" hidden="false" customHeight="true" outlineLevel="0" collapsed="false">
      <c r="A51" s="769" t="s">
        <v>671</v>
      </c>
      <c r="B51" s="769"/>
      <c r="C51" s="769"/>
      <c r="D51" s="769"/>
      <c r="E51" s="769"/>
      <c r="F51" s="769"/>
      <c r="G51" s="769"/>
      <c r="H51" s="769"/>
      <c r="I51" s="769"/>
      <c r="J51" s="769"/>
      <c r="K51" s="769"/>
      <c r="L51" s="769"/>
      <c r="M51" s="769"/>
      <c r="O51" s="767"/>
      <c r="P51" s="693"/>
      <c r="Q51" s="768"/>
      <c r="R51" s="693"/>
      <c r="S51" s="693"/>
      <c r="T51" s="693"/>
    </row>
    <row r="52" customFormat="false" ht="20.1" hidden="false" customHeight="true" outlineLevel="0" collapsed="false">
      <c r="A52" s="770"/>
      <c r="B52" s="770"/>
      <c r="C52" s="770"/>
      <c r="D52" s="770"/>
      <c r="E52" s="770"/>
      <c r="F52" s="770"/>
      <c r="G52" s="770"/>
      <c r="H52" s="770"/>
      <c r="I52" s="770"/>
      <c r="J52" s="770"/>
      <c r="K52" s="770"/>
      <c r="L52" s="770"/>
      <c r="M52" s="770"/>
      <c r="O52" s="693"/>
      <c r="P52" s="693"/>
      <c r="Q52" s="693"/>
      <c r="R52" s="693"/>
      <c r="S52" s="693"/>
      <c r="T52" s="693"/>
    </row>
    <row r="53" customFormat="false" ht="20.1" hidden="false" customHeight="true" outlineLevel="0" collapsed="false">
      <c r="A53" s="770"/>
      <c r="B53" s="770"/>
      <c r="C53" s="770"/>
      <c r="D53" s="770"/>
      <c r="E53" s="770"/>
      <c r="F53" s="770"/>
      <c r="G53" s="770"/>
      <c r="H53" s="770"/>
      <c r="I53" s="770"/>
      <c r="J53" s="770"/>
      <c r="K53" s="770"/>
      <c r="L53" s="770"/>
      <c r="M53" s="770"/>
      <c r="O53" s="693"/>
      <c r="P53" s="771"/>
      <c r="Q53" s="771"/>
      <c r="R53" s="747"/>
      <c r="S53" s="747"/>
      <c r="T53" s="747"/>
    </row>
    <row r="54" customFormat="false" ht="20.1" hidden="false" customHeight="true" outlineLevel="0" collapsed="false">
      <c r="A54" s="770"/>
      <c r="B54" s="770"/>
      <c r="C54" s="770"/>
      <c r="D54" s="770"/>
      <c r="E54" s="770"/>
      <c r="F54" s="770"/>
      <c r="G54" s="770"/>
      <c r="H54" s="770"/>
      <c r="I54" s="770"/>
      <c r="J54" s="770"/>
      <c r="K54" s="770"/>
      <c r="L54" s="770"/>
      <c r="M54" s="770"/>
      <c r="O54" s="693"/>
      <c r="P54" s="771"/>
      <c r="Q54" s="771"/>
      <c r="R54" s="747"/>
      <c r="S54" s="747"/>
      <c r="T54" s="747"/>
    </row>
    <row r="55" customFormat="false" ht="20.1" hidden="false" customHeight="true" outlineLevel="0" collapsed="false">
      <c r="A55" s="770"/>
      <c r="B55" s="770"/>
      <c r="C55" s="770"/>
      <c r="D55" s="770"/>
      <c r="E55" s="770"/>
      <c r="F55" s="770"/>
      <c r="G55" s="770"/>
      <c r="H55" s="770"/>
      <c r="I55" s="770"/>
      <c r="J55" s="770"/>
      <c r="K55" s="770"/>
      <c r="L55" s="770"/>
      <c r="M55" s="770"/>
      <c r="O55" s="693"/>
      <c r="P55" s="771"/>
      <c r="Q55" s="771"/>
      <c r="R55" s="764"/>
      <c r="S55" s="765"/>
      <c r="T55" s="765"/>
    </row>
    <row r="56" customFormat="false" ht="20.1" hidden="false" customHeight="true" outlineLevel="0" collapsed="false">
      <c r="A56" s="770"/>
      <c r="B56" s="770"/>
      <c r="C56" s="770"/>
      <c r="D56" s="770"/>
      <c r="E56" s="770"/>
      <c r="F56" s="770"/>
      <c r="G56" s="770"/>
      <c r="H56" s="770"/>
      <c r="I56" s="770"/>
      <c r="J56" s="770"/>
      <c r="K56" s="770"/>
      <c r="L56" s="770"/>
      <c r="M56" s="770"/>
    </row>
    <row r="57" customFormat="false" ht="20.1" hidden="false" customHeight="true" outlineLevel="0" collapsed="false">
      <c r="A57" s="770"/>
      <c r="B57" s="770"/>
      <c r="C57" s="770"/>
      <c r="D57" s="770"/>
      <c r="E57" s="770"/>
      <c r="F57" s="770"/>
      <c r="G57" s="770"/>
      <c r="H57" s="770"/>
      <c r="I57" s="770"/>
      <c r="J57" s="770"/>
      <c r="K57" s="770"/>
      <c r="L57" s="770"/>
      <c r="M57" s="770"/>
    </row>
    <row r="58" customFormat="false" ht="20.1" hidden="false" customHeight="true" outlineLevel="0" collapsed="false">
      <c r="A58" s="770"/>
      <c r="B58" s="770"/>
      <c r="C58" s="770"/>
      <c r="D58" s="770"/>
      <c r="E58" s="770"/>
      <c r="F58" s="770"/>
      <c r="G58" s="770"/>
      <c r="H58" s="770"/>
      <c r="I58" s="770"/>
      <c r="J58" s="770"/>
      <c r="K58" s="770"/>
      <c r="L58" s="770"/>
      <c r="M58" s="770"/>
      <c r="N58" s="772"/>
    </row>
    <row r="59" customFormat="false" ht="20.1" hidden="false" customHeight="true" outlineLevel="0" collapsed="false">
      <c r="A59" s="770"/>
      <c r="B59" s="770"/>
      <c r="C59" s="770"/>
      <c r="D59" s="770"/>
      <c r="E59" s="770"/>
      <c r="F59" s="770"/>
      <c r="G59" s="770"/>
      <c r="H59" s="770"/>
      <c r="I59" s="770"/>
      <c r="J59" s="770"/>
      <c r="K59" s="770"/>
      <c r="L59" s="770"/>
      <c r="M59" s="770"/>
    </row>
    <row r="60" customFormat="false" ht="15" hidden="false" customHeight="true" outlineLevel="0" collapsed="false">
      <c r="A60" s="770"/>
      <c r="B60" s="770"/>
      <c r="C60" s="770"/>
      <c r="D60" s="770"/>
      <c r="E60" s="770"/>
      <c r="F60" s="770"/>
      <c r="G60" s="770"/>
      <c r="H60" s="770"/>
      <c r="I60" s="770"/>
      <c r="J60" s="770"/>
      <c r="K60" s="770"/>
      <c r="L60" s="770"/>
      <c r="M60" s="770"/>
    </row>
    <row r="61" customFormat="false" ht="15" hidden="false" customHeight="true" outlineLevel="0" collapsed="false">
      <c r="A61" s="770"/>
      <c r="B61" s="770"/>
      <c r="C61" s="770"/>
      <c r="D61" s="770"/>
      <c r="E61" s="770"/>
      <c r="F61" s="770"/>
      <c r="G61" s="770"/>
      <c r="H61" s="770"/>
      <c r="I61" s="770"/>
      <c r="J61" s="770"/>
      <c r="K61" s="770"/>
      <c r="L61" s="770"/>
      <c r="M61" s="770"/>
    </row>
    <row r="62" customFormat="false" ht="15" hidden="false" customHeight="true" outlineLevel="0" collapsed="false">
      <c r="A62" s="770"/>
      <c r="B62" s="770"/>
      <c r="C62" s="770"/>
      <c r="D62" s="770"/>
      <c r="E62" s="770"/>
      <c r="F62" s="770"/>
      <c r="G62" s="770"/>
      <c r="H62" s="770"/>
      <c r="I62" s="770"/>
      <c r="J62" s="770"/>
      <c r="K62" s="770"/>
      <c r="L62" s="770"/>
      <c r="M62" s="770"/>
    </row>
    <row r="63" customFormat="false" ht="15" hidden="false" customHeight="true" outlineLevel="0" collapsed="false">
      <c r="A63" s="770"/>
      <c r="B63" s="770"/>
      <c r="C63" s="770"/>
      <c r="D63" s="770"/>
      <c r="E63" s="770"/>
      <c r="F63" s="770"/>
      <c r="G63" s="770"/>
      <c r="H63" s="770"/>
      <c r="I63" s="770"/>
      <c r="J63" s="770"/>
      <c r="K63" s="770"/>
      <c r="L63" s="770"/>
      <c r="M63" s="770"/>
    </row>
    <row r="64" customFormat="false" ht="15" hidden="false" customHeight="true" outlineLevel="0" collapsed="false">
      <c r="A64" s="770"/>
      <c r="B64" s="770"/>
      <c r="C64" s="770"/>
      <c r="D64" s="770"/>
      <c r="E64" s="770"/>
      <c r="F64" s="770"/>
      <c r="G64" s="770"/>
      <c r="H64" s="770"/>
      <c r="I64" s="770"/>
      <c r="J64" s="770"/>
      <c r="K64" s="770"/>
      <c r="L64" s="770"/>
      <c r="M64" s="770"/>
    </row>
    <row r="65" customFormat="false" ht="15" hidden="false" customHeight="true" outlineLevel="0" collapsed="false">
      <c r="A65" s="770"/>
      <c r="B65" s="770"/>
      <c r="C65" s="770"/>
      <c r="D65" s="770"/>
      <c r="E65" s="770"/>
      <c r="F65" s="770"/>
      <c r="G65" s="770"/>
      <c r="H65" s="770"/>
      <c r="I65" s="770"/>
      <c r="J65" s="770"/>
      <c r="K65" s="770"/>
      <c r="L65" s="770"/>
      <c r="M65" s="770"/>
    </row>
    <row r="66" customFormat="false" ht="15" hidden="false" customHeight="true" outlineLevel="0" collapsed="false">
      <c r="A66" s="770"/>
      <c r="B66" s="770"/>
      <c r="C66" s="770"/>
      <c r="D66" s="770"/>
      <c r="E66" s="770"/>
      <c r="F66" s="770"/>
      <c r="G66" s="770"/>
      <c r="H66" s="770"/>
      <c r="I66" s="770"/>
      <c r="J66" s="770"/>
      <c r="K66" s="770"/>
      <c r="L66" s="770"/>
      <c r="M66" s="770"/>
    </row>
    <row r="67" customFormat="false" ht="15" hidden="false" customHeight="true" outlineLevel="0" collapsed="false">
      <c r="A67" s="770"/>
      <c r="B67" s="770"/>
      <c r="C67" s="770"/>
      <c r="D67" s="770"/>
      <c r="E67" s="770"/>
      <c r="F67" s="770"/>
      <c r="G67" s="770"/>
      <c r="H67" s="770"/>
      <c r="I67" s="770"/>
      <c r="J67" s="770"/>
      <c r="K67" s="770"/>
      <c r="L67" s="770"/>
      <c r="M67" s="770"/>
    </row>
    <row r="68" customFormat="false" ht="15" hidden="false" customHeight="true" outlineLevel="0" collapsed="false">
      <c r="A68" s="770"/>
      <c r="B68" s="770"/>
      <c r="C68" s="770"/>
      <c r="D68" s="770"/>
      <c r="E68" s="770"/>
      <c r="F68" s="770"/>
      <c r="G68" s="770"/>
      <c r="H68" s="770"/>
      <c r="I68" s="770"/>
      <c r="J68" s="770"/>
      <c r="K68" s="770"/>
      <c r="L68" s="770"/>
      <c r="M68" s="770"/>
    </row>
    <row r="69" customFormat="false" ht="15" hidden="false" customHeight="true" outlineLevel="0" collapsed="false">
      <c r="A69" s="770"/>
      <c r="B69" s="770"/>
      <c r="C69" s="770"/>
      <c r="D69" s="770"/>
      <c r="E69" s="770"/>
      <c r="F69" s="770"/>
      <c r="G69" s="770"/>
      <c r="H69" s="770"/>
      <c r="I69" s="770"/>
      <c r="J69" s="770"/>
      <c r="K69" s="770"/>
      <c r="L69" s="770"/>
      <c r="M69" s="770"/>
    </row>
    <row r="70" customFormat="false" ht="15" hidden="false" customHeight="true" outlineLevel="0" collapsed="false">
      <c r="A70" s="770"/>
      <c r="B70" s="770"/>
      <c r="C70" s="770"/>
      <c r="D70" s="770"/>
      <c r="E70" s="770"/>
      <c r="F70" s="770"/>
      <c r="G70" s="770"/>
      <c r="H70" s="770"/>
      <c r="I70" s="770"/>
      <c r="J70" s="770"/>
      <c r="K70" s="770"/>
      <c r="L70" s="770"/>
      <c r="M70" s="770"/>
    </row>
    <row r="71" customFormat="false" ht="15" hidden="false" customHeight="true" outlineLevel="0" collapsed="false">
      <c r="A71" s="770"/>
      <c r="B71" s="770"/>
      <c r="C71" s="770"/>
      <c r="D71" s="770"/>
      <c r="E71" s="770"/>
      <c r="F71" s="770"/>
      <c r="G71" s="770"/>
      <c r="H71" s="770"/>
      <c r="I71" s="770"/>
      <c r="J71" s="770"/>
      <c r="K71" s="770"/>
      <c r="L71" s="770"/>
      <c r="M71" s="770"/>
    </row>
    <row r="72" customFormat="false" ht="15" hidden="false" customHeight="true" outlineLevel="0" collapsed="false">
      <c r="A72" s="770"/>
      <c r="B72" s="770"/>
      <c r="C72" s="770"/>
      <c r="D72" s="770"/>
      <c r="E72" s="770"/>
      <c r="F72" s="770"/>
      <c r="G72" s="770"/>
      <c r="H72" s="770"/>
      <c r="I72" s="770"/>
      <c r="J72" s="770"/>
      <c r="K72" s="770"/>
      <c r="L72" s="770"/>
      <c r="M72" s="770"/>
    </row>
    <row r="73" customFormat="false" ht="15" hidden="false" customHeight="true" outlineLevel="0" collapsed="false">
      <c r="A73" s="770"/>
      <c r="B73" s="770"/>
      <c r="C73" s="770"/>
      <c r="D73" s="770"/>
      <c r="E73" s="770"/>
      <c r="F73" s="770"/>
      <c r="G73" s="770"/>
      <c r="H73" s="770"/>
      <c r="I73" s="770"/>
      <c r="J73" s="770"/>
      <c r="K73" s="770"/>
      <c r="L73" s="770"/>
      <c r="M73" s="770"/>
    </row>
    <row r="74" customFormat="false" ht="15" hidden="false" customHeight="true" outlineLevel="0" collapsed="false">
      <c r="A74" s="770"/>
      <c r="B74" s="770"/>
      <c r="C74" s="770"/>
      <c r="D74" s="770"/>
      <c r="E74" s="770"/>
      <c r="F74" s="770"/>
      <c r="G74" s="770"/>
      <c r="H74" s="770"/>
      <c r="I74" s="770"/>
      <c r="J74" s="770"/>
      <c r="K74" s="770"/>
      <c r="L74" s="770"/>
      <c r="M74" s="770"/>
    </row>
    <row r="75" customFormat="false" ht="15" hidden="false" customHeight="true" outlineLevel="0" collapsed="false">
      <c r="A75" s="770"/>
      <c r="B75" s="770"/>
      <c r="C75" s="770"/>
      <c r="D75" s="770"/>
      <c r="E75" s="770"/>
      <c r="F75" s="770"/>
      <c r="G75" s="770"/>
      <c r="H75" s="770"/>
      <c r="I75" s="770"/>
      <c r="J75" s="770"/>
      <c r="K75" s="770"/>
      <c r="L75" s="770"/>
      <c r="M75" s="770"/>
    </row>
    <row r="76" customFormat="false" ht="15" hidden="false" customHeight="true" outlineLevel="0" collapsed="false">
      <c r="A76" s="770"/>
      <c r="B76" s="770"/>
      <c r="C76" s="770"/>
      <c r="D76" s="770"/>
      <c r="E76" s="770"/>
      <c r="F76" s="770"/>
      <c r="G76" s="770"/>
      <c r="H76" s="770"/>
      <c r="I76" s="770"/>
      <c r="J76" s="770"/>
      <c r="K76" s="770"/>
      <c r="L76" s="770"/>
      <c r="M76" s="770"/>
    </row>
    <row r="77" customFormat="false" ht="15" hidden="false" customHeight="true" outlineLevel="0" collapsed="false">
      <c r="A77" s="770"/>
      <c r="B77" s="770"/>
      <c r="C77" s="770"/>
      <c r="D77" s="770"/>
      <c r="E77" s="770"/>
      <c r="F77" s="770"/>
      <c r="G77" s="770"/>
      <c r="H77" s="770"/>
      <c r="I77" s="770"/>
      <c r="J77" s="770"/>
      <c r="K77" s="770"/>
      <c r="L77" s="770"/>
      <c r="M77" s="770"/>
    </row>
    <row r="78" customFormat="false" ht="15" hidden="false" customHeight="true" outlineLevel="0" collapsed="false">
      <c r="A78" s="770"/>
      <c r="B78" s="770"/>
      <c r="C78" s="770"/>
      <c r="D78" s="770"/>
      <c r="E78" s="770"/>
      <c r="F78" s="770"/>
      <c r="G78" s="770"/>
      <c r="H78" s="770"/>
      <c r="I78" s="770"/>
      <c r="J78" s="770"/>
      <c r="K78" s="770"/>
      <c r="L78" s="770"/>
      <c r="M78" s="770"/>
    </row>
    <row r="79" customFormat="false" ht="15" hidden="false" customHeight="true" outlineLevel="0" collapsed="false">
      <c r="A79" s="770"/>
      <c r="B79" s="770"/>
      <c r="C79" s="770"/>
      <c r="D79" s="770"/>
      <c r="E79" s="770"/>
      <c r="F79" s="770"/>
      <c r="G79" s="770"/>
      <c r="H79" s="770"/>
      <c r="I79" s="770"/>
      <c r="J79" s="770"/>
      <c r="K79" s="770"/>
      <c r="L79" s="770"/>
      <c r="M79" s="770"/>
    </row>
    <row r="80" customFormat="false" ht="15" hidden="false" customHeight="true" outlineLevel="0" collapsed="false">
      <c r="A80" s="770"/>
      <c r="B80" s="770"/>
      <c r="C80" s="770"/>
      <c r="D80" s="770"/>
      <c r="E80" s="770"/>
      <c r="F80" s="770"/>
      <c r="G80" s="770"/>
      <c r="H80" s="770"/>
      <c r="I80" s="770"/>
      <c r="J80" s="770"/>
      <c r="K80" s="770"/>
      <c r="L80" s="770"/>
      <c r="M80" s="770"/>
    </row>
    <row r="81" customFormat="false" ht="15" hidden="false" customHeight="true" outlineLevel="0" collapsed="false">
      <c r="A81" s="770"/>
      <c r="B81" s="770"/>
      <c r="C81" s="770"/>
      <c r="D81" s="770"/>
      <c r="E81" s="770"/>
      <c r="F81" s="770"/>
      <c r="G81" s="770"/>
      <c r="H81" s="770"/>
      <c r="I81" s="770"/>
      <c r="J81" s="770"/>
      <c r="K81" s="770"/>
      <c r="L81" s="770"/>
      <c r="M81" s="770"/>
    </row>
    <row r="82" customFormat="false" ht="15" hidden="false" customHeight="true" outlineLevel="0" collapsed="false">
      <c r="A82" s="770"/>
      <c r="B82" s="770"/>
      <c r="C82" s="770"/>
      <c r="D82" s="770"/>
      <c r="E82" s="770"/>
      <c r="F82" s="770"/>
      <c r="G82" s="770"/>
      <c r="H82" s="770"/>
      <c r="I82" s="770"/>
      <c r="J82" s="770"/>
      <c r="K82" s="770"/>
      <c r="L82" s="770"/>
      <c r="M82" s="770"/>
    </row>
    <row r="83" customFormat="false" ht="15" hidden="false" customHeight="true" outlineLevel="0" collapsed="false">
      <c r="A83" s="770"/>
      <c r="B83" s="770"/>
      <c r="C83" s="770"/>
      <c r="D83" s="770"/>
      <c r="E83" s="770"/>
      <c r="F83" s="770"/>
      <c r="G83" s="770"/>
      <c r="H83" s="770"/>
      <c r="I83" s="770"/>
      <c r="J83" s="770"/>
      <c r="K83" s="770"/>
      <c r="L83" s="770"/>
      <c r="M83" s="770"/>
    </row>
    <row r="84" customFormat="false" ht="15" hidden="false" customHeight="true" outlineLevel="0" collapsed="false">
      <c r="A84" s="770"/>
      <c r="B84" s="770"/>
      <c r="C84" s="770"/>
      <c r="D84" s="770"/>
      <c r="E84" s="770"/>
      <c r="F84" s="770"/>
      <c r="G84" s="770"/>
      <c r="H84" s="770"/>
      <c r="I84" s="770"/>
      <c r="J84" s="770"/>
      <c r="K84" s="770"/>
      <c r="L84" s="770"/>
      <c r="M84" s="770"/>
    </row>
    <row r="85" customFormat="false" ht="15" hidden="false" customHeight="true" outlineLevel="0" collapsed="false">
      <c r="A85" s="770"/>
      <c r="B85" s="770"/>
      <c r="C85" s="770"/>
      <c r="D85" s="770"/>
      <c r="E85" s="770"/>
      <c r="F85" s="770"/>
      <c r="G85" s="770"/>
      <c r="H85" s="770"/>
      <c r="I85" s="770"/>
      <c r="J85" s="770"/>
      <c r="K85" s="770"/>
      <c r="L85" s="770"/>
      <c r="M85" s="770"/>
    </row>
    <row r="86" customFormat="false" ht="15" hidden="false" customHeight="true" outlineLevel="0" collapsed="false">
      <c r="A86" s="770"/>
      <c r="B86" s="770"/>
      <c r="C86" s="770"/>
      <c r="D86" s="770"/>
      <c r="E86" s="770"/>
      <c r="F86" s="770"/>
      <c r="G86" s="770"/>
      <c r="H86" s="770"/>
      <c r="I86" s="770"/>
      <c r="J86" s="770"/>
      <c r="K86" s="770"/>
      <c r="L86" s="770"/>
      <c r="M86" s="770"/>
    </row>
    <row r="87" customFormat="false" ht="15" hidden="false" customHeight="true" outlineLevel="0" collapsed="false">
      <c r="A87" s="770"/>
      <c r="B87" s="770"/>
      <c r="C87" s="770"/>
      <c r="D87" s="770"/>
      <c r="E87" s="770"/>
      <c r="F87" s="770"/>
      <c r="G87" s="770"/>
      <c r="H87" s="770"/>
      <c r="I87" s="770"/>
      <c r="J87" s="770"/>
      <c r="K87" s="770"/>
      <c r="L87" s="770"/>
      <c r="M87" s="770"/>
    </row>
    <row r="88" customFormat="false" ht="15" hidden="false" customHeight="true" outlineLevel="0" collapsed="false">
      <c r="A88" s="770"/>
      <c r="B88" s="770"/>
      <c r="C88" s="770"/>
      <c r="D88" s="770"/>
      <c r="E88" s="770"/>
      <c r="F88" s="770"/>
      <c r="G88" s="770"/>
      <c r="H88" s="770"/>
      <c r="I88" s="770"/>
      <c r="J88" s="770"/>
      <c r="K88" s="770"/>
      <c r="L88" s="770"/>
      <c r="M88" s="770"/>
    </row>
    <row r="89" customFormat="false" ht="15" hidden="false" customHeight="true" outlineLevel="0" collapsed="false">
      <c r="A89" s="770"/>
      <c r="B89" s="770"/>
      <c r="C89" s="770"/>
      <c r="D89" s="770"/>
      <c r="E89" s="770"/>
      <c r="F89" s="770"/>
      <c r="G89" s="770"/>
      <c r="H89" s="770"/>
      <c r="I89" s="770"/>
      <c r="J89" s="770"/>
      <c r="K89" s="770"/>
      <c r="L89" s="770"/>
      <c r="M89" s="770"/>
    </row>
    <row r="90" customFormat="false" ht="15" hidden="false" customHeight="true" outlineLevel="0" collapsed="false">
      <c r="A90" s="770"/>
      <c r="B90" s="770"/>
      <c r="C90" s="770"/>
      <c r="D90" s="770"/>
      <c r="E90" s="770"/>
      <c r="F90" s="770"/>
      <c r="G90" s="770"/>
      <c r="H90" s="770"/>
      <c r="I90" s="770"/>
      <c r="J90" s="770"/>
      <c r="K90" s="770"/>
      <c r="L90" s="770"/>
      <c r="M90" s="770"/>
    </row>
    <row r="91" customFormat="false" ht="15" hidden="false" customHeight="true" outlineLevel="0" collapsed="false">
      <c r="A91" s="770"/>
      <c r="B91" s="770"/>
      <c r="C91" s="770"/>
      <c r="D91" s="770"/>
      <c r="E91" s="770"/>
      <c r="F91" s="770"/>
      <c r="G91" s="770"/>
      <c r="H91" s="770"/>
      <c r="I91" s="770"/>
      <c r="J91" s="770"/>
      <c r="K91" s="770"/>
      <c r="L91" s="770"/>
      <c r="M91" s="770"/>
    </row>
    <row r="92" customFormat="false" ht="15" hidden="false" customHeight="true" outlineLevel="0" collapsed="false">
      <c r="A92" s="770"/>
      <c r="B92" s="770"/>
      <c r="C92" s="770"/>
      <c r="D92" s="770"/>
      <c r="E92" s="770"/>
      <c r="F92" s="770"/>
      <c r="G92" s="770"/>
      <c r="H92" s="770"/>
      <c r="I92" s="770"/>
      <c r="J92" s="770"/>
      <c r="K92" s="770"/>
      <c r="L92" s="770"/>
      <c r="M92" s="770"/>
    </row>
    <row r="93" customFormat="false" ht="15" hidden="false" customHeight="true" outlineLevel="0" collapsed="false">
      <c r="A93" s="770"/>
      <c r="B93" s="770"/>
      <c r="C93" s="770"/>
      <c r="D93" s="770"/>
      <c r="E93" s="770"/>
      <c r="F93" s="770"/>
      <c r="G93" s="770"/>
      <c r="H93" s="770"/>
      <c r="I93" s="770"/>
      <c r="J93" s="770"/>
      <c r="K93" s="770"/>
      <c r="L93" s="770"/>
      <c r="M93" s="770"/>
    </row>
    <row r="94" customFormat="false" ht="15" hidden="false" customHeight="true" outlineLevel="0" collapsed="false">
      <c r="A94" s="770"/>
      <c r="B94" s="770"/>
      <c r="C94" s="770"/>
      <c r="D94" s="770"/>
      <c r="E94" s="770"/>
      <c r="F94" s="770"/>
      <c r="G94" s="770"/>
      <c r="H94" s="770"/>
      <c r="I94" s="770"/>
      <c r="J94" s="770"/>
      <c r="K94" s="770"/>
      <c r="L94" s="770"/>
      <c r="M94" s="770"/>
    </row>
    <row r="95" customFormat="false" ht="15" hidden="false" customHeight="true" outlineLevel="0" collapsed="false">
      <c r="A95" s="770"/>
      <c r="B95" s="770"/>
      <c r="C95" s="770"/>
      <c r="D95" s="770"/>
      <c r="E95" s="770"/>
      <c r="F95" s="770"/>
      <c r="G95" s="770"/>
      <c r="H95" s="770"/>
      <c r="I95" s="770"/>
      <c r="J95" s="770"/>
      <c r="K95" s="770"/>
      <c r="L95" s="770"/>
      <c r="M95" s="770"/>
    </row>
    <row r="96" customFormat="false" ht="15" hidden="false" customHeight="true" outlineLevel="0" collapsed="false">
      <c r="A96" s="770"/>
      <c r="B96" s="770"/>
      <c r="C96" s="770"/>
      <c r="D96" s="770"/>
      <c r="E96" s="770"/>
      <c r="F96" s="770"/>
      <c r="G96" s="770"/>
      <c r="H96" s="770"/>
      <c r="I96" s="770"/>
      <c r="J96" s="770"/>
      <c r="K96" s="770"/>
      <c r="L96" s="770"/>
      <c r="M96" s="770"/>
    </row>
    <row r="97" customFormat="false" ht="15" hidden="false" customHeight="true" outlineLevel="0" collapsed="false">
      <c r="A97" s="770"/>
      <c r="B97" s="770"/>
      <c r="C97" s="770"/>
      <c r="D97" s="770"/>
      <c r="E97" s="770"/>
      <c r="F97" s="770"/>
      <c r="G97" s="770"/>
      <c r="H97" s="770"/>
      <c r="I97" s="770"/>
      <c r="J97" s="770"/>
      <c r="K97" s="770"/>
      <c r="L97" s="770"/>
      <c r="M97" s="770"/>
    </row>
    <row r="98" customFormat="false" ht="15" hidden="false" customHeight="true" outlineLevel="0" collapsed="false">
      <c r="A98" s="770"/>
      <c r="B98" s="770"/>
      <c r="C98" s="770"/>
      <c r="D98" s="770"/>
      <c r="E98" s="770"/>
      <c r="F98" s="770"/>
      <c r="G98" s="770"/>
      <c r="H98" s="770"/>
      <c r="I98" s="770"/>
      <c r="J98" s="770"/>
      <c r="K98" s="770"/>
      <c r="L98" s="770"/>
      <c r="M98" s="770"/>
    </row>
    <row r="99" customFormat="false" ht="15" hidden="false" customHeight="true" outlineLevel="0" collapsed="false">
      <c r="A99" s="770"/>
      <c r="B99" s="770"/>
      <c r="C99" s="770"/>
      <c r="D99" s="770"/>
      <c r="E99" s="770"/>
      <c r="F99" s="770"/>
      <c r="G99" s="770"/>
      <c r="H99" s="770"/>
      <c r="I99" s="770"/>
      <c r="J99" s="770"/>
      <c r="K99" s="770"/>
      <c r="L99" s="770"/>
      <c r="M99" s="770"/>
    </row>
    <row r="100" customFormat="false" ht="15" hidden="false" customHeight="true" outlineLevel="0" collapsed="false">
      <c r="A100" s="770"/>
      <c r="B100" s="770"/>
      <c r="C100" s="770"/>
      <c r="D100" s="770"/>
      <c r="E100" s="770"/>
      <c r="F100" s="770"/>
      <c r="G100" s="770"/>
      <c r="H100" s="770"/>
      <c r="I100" s="770"/>
      <c r="J100" s="770"/>
      <c r="K100" s="770"/>
      <c r="L100" s="770"/>
      <c r="M100" s="770"/>
    </row>
    <row r="101" customFormat="false" ht="15" hidden="false" customHeight="true" outlineLevel="0" collapsed="false">
      <c r="A101" s="770"/>
      <c r="B101" s="770"/>
      <c r="C101" s="770"/>
      <c r="D101" s="770"/>
      <c r="E101" s="770"/>
      <c r="F101" s="770"/>
      <c r="G101" s="770"/>
      <c r="H101" s="770"/>
      <c r="I101" s="770"/>
      <c r="J101" s="770"/>
      <c r="K101" s="770"/>
      <c r="L101" s="770"/>
      <c r="M101" s="770"/>
    </row>
    <row r="102" customFormat="false" ht="15" hidden="false" customHeight="true" outlineLevel="0" collapsed="false">
      <c r="A102" s="770"/>
      <c r="B102" s="770"/>
      <c r="C102" s="770"/>
      <c r="D102" s="770"/>
      <c r="E102" s="770"/>
      <c r="F102" s="770"/>
      <c r="G102" s="770"/>
      <c r="H102" s="770"/>
      <c r="I102" s="770"/>
      <c r="J102" s="770"/>
      <c r="K102" s="770"/>
      <c r="L102" s="770"/>
      <c r="M102" s="770"/>
    </row>
    <row r="103" customFormat="false" ht="15" hidden="false" customHeight="true" outlineLevel="0" collapsed="false">
      <c r="A103" s="770"/>
      <c r="B103" s="770"/>
      <c r="C103" s="770"/>
      <c r="D103" s="770"/>
      <c r="E103" s="770"/>
      <c r="F103" s="770"/>
      <c r="G103" s="770"/>
      <c r="H103" s="770"/>
      <c r="I103" s="770"/>
      <c r="J103" s="770"/>
      <c r="K103" s="770"/>
      <c r="L103" s="770"/>
      <c r="M103" s="770"/>
      <c r="O103" s="773"/>
    </row>
    <row r="104" customFormat="false" ht="15" hidden="false" customHeight="true" outlineLevel="0" collapsed="false">
      <c r="A104" s="770"/>
      <c r="B104" s="770"/>
      <c r="C104" s="770"/>
      <c r="D104" s="770"/>
      <c r="E104" s="770"/>
      <c r="F104" s="770"/>
      <c r="G104" s="770"/>
      <c r="H104" s="770"/>
      <c r="I104" s="770"/>
      <c r="J104" s="770"/>
      <c r="K104" s="770"/>
      <c r="L104" s="770"/>
      <c r="M104" s="770"/>
    </row>
    <row r="105" customFormat="false" ht="15" hidden="false" customHeight="true" outlineLevel="0" collapsed="false">
      <c r="A105" s="770"/>
      <c r="B105" s="770"/>
      <c r="C105" s="770"/>
      <c r="D105" s="770"/>
      <c r="E105" s="770"/>
      <c r="F105" s="770"/>
      <c r="G105" s="770"/>
      <c r="H105" s="770"/>
      <c r="I105" s="770"/>
      <c r="J105" s="770"/>
      <c r="K105" s="770"/>
      <c r="L105" s="770"/>
      <c r="M105" s="770"/>
    </row>
    <row r="106" customFormat="false" ht="15" hidden="false" customHeight="true" outlineLevel="0" collapsed="false">
      <c r="A106" s="774" t="s">
        <v>672</v>
      </c>
      <c r="B106" s="774"/>
      <c r="C106" s="774"/>
      <c r="D106" s="774"/>
      <c r="E106" s="774"/>
      <c r="F106" s="774"/>
      <c r="G106" s="774" t="s">
        <v>673</v>
      </c>
      <c r="H106" s="774"/>
      <c r="I106" s="774"/>
      <c r="J106" s="774"/>
      <c r="K106" s="774"/>
      <c r="L106" s="774"/>
      <c r="M106" s="774"/>
    </row>
    <row r="107" customFormat="false" ht="15" hidden="false" customHeight="true" outlineLevel="0" collapsed="false">
      <c r="A107" s="775" t="s">
        <v>607</v>
      </c>
      <c r="B107" s="775"/>
      <c r="C107" s="775"/>
      <c r="D107" s="775"/>
      <c r="E107" s="776" t="s">
        <v>608</v>
      </c>
      <c r="F107" s="776"/>
      <c r="G107" s="775" t="s">
        <v>607</v>
      </c>
      <c r="H107" s="775"/>
      <c r="I107" s="775"/>
      <c r="J107" s="775"/>
      <c r="K107" s="775"/>
      <c r="L107" s="776" t="s">
        <v>608</v>
      </c>
      <c r="M107" s="776"/>
    </row>
    <row r="108" customFormat="false" ht="45.75" hidden="false" customHeight="true" outlineLevel="0" collapsed="false">
      <c r="A108" s="775"/>
      <c r="B108" s="775"/>
      <c r="C108" s="775"/>
      <c r="D108" s="775"/>
      <c r="E108" s="776"/>
      <c r="F108" s="776"/>
      <c r="G108" s="775"/>
      <c r="H108" s="775"/>
      <c r="I108" s="775"/>
      <c r="J108" s="775"/>
      <c r="K108" s="775"/>
      <c r="L108" s="776"/>
      <c r="M108" s="776"/>
    </row>
    <row r="109" customFormat="false" ht="15" hidden="false" customHeight="true" outlineLevel="0" collapsed="false">
      <c r="A109" s="775"/>
      <c r="B109" s="775"/>
      <c r="C109" s="775"/>
      <c r="D109" s="775"/>
      <c r="E109" s="776"/>
      <c r="F109" s="776"/>
      <c r="G109" s="775"/>
      <c r="H109" s="775"/>
      <c r="I109" s="775"/>
      <c r="J109" s="775"/>
      <c r="K109" s="775"/>
      <c r="L109" s="776"/>
      <c r="M109" s="776"/>
    </row>
    <row r="110" customFormat="false" ht="15" hidden="false" customHeight="true" outlineLevel="0" collapsed="false">
      <c r="A110" s="777"/>
      <c r="B110" s="778"/>
      <c r="C110" s="778"/>
      <c r="D110" s="778"/>
      <c r="E110" s="778"/>
      <c r="F110" s="778"/>
      <c r="G110" s="778"/>
      <c r="H110" s="778"/>
      <c r="I110" s="778"/>
      <c r="J110" s="778"/>
      <c r="K110" s="778"/>
      <c r="L110" s="778"/>
      <c r="M110" s="779" t="s">
        <v>674</v>
      </c>
    </row>
    <row r="111" customFormat="false" ht="15" hidden="false" customHeight="true" outlineLevel="0" collapsed="false"/>
    <row r="112" customFormat="false" ht="15" hidden="false" customHeight="true" outlineLevel="0" collapsed="false"/>
    <row r="113" customFormat="false" ht="15" hidden="false" customHeight="true" outlineLevel="0" collapsed="false"/>
    <row r="114" customFormat="false" ht="15" hidden="false" customHeight="true" outlineLevel="0" collapsed="false"/>
    <row r="115" customFormat="false" ht="15" hidden="false" customHeight="true" outlineLevel="0" collapsed="false"/>
    <row r="116" customFormat="false" ht="15" hidden="false" customHeight="true" outlineLevel="0" collapsed="false"/>
    <row r="117" customFormat="false" ht="15" hidden="false" customHeight="true" outlineLevel="0" collapsed="false"/>
    <row r="118" customFormat="false" ht="15" hidden="false" customHeight="true" outlineLevel="0" collapsed="false"/>
    <row r="119" customFormat="false" ht="15" hidden="false" customHeight="true" outlineLevel="0" collapsed="false"/>
    <row r="120" customFormat="false" ht="15" hidden="false" customHeight="true" outlineLevel="0" collapsed="false"/>
    <row r="121" customFormat="false" ht="15" hidden="false" customHeight="true" outlineLevel="0" collapsed="false"/>
    <row r="122" customFormat="false" ht="15" hidden="false" customHeight="true" outlineLevel="0" collapsed="false"/>
    <row r="123" customFormat="false" ht="15" hidden="false" customHeight="true" outlineLevel="0" collapsed="false"/>
    <row r="124" customFormat="false" ht="15" hidden="false" customHeight="true" outlineLevel="0" collapsed="false"/>
    <row r="125" customFormat="false" ht="15" hidden="false" customHeight="true" outlineLevel="0" collapsed="false"/>
  </sheetData>
  <mergeCells count="100">
    <mergeCell ref="A1:A2"/>
    <mergeCell ref="B1:M1"/>
    <mergeCell ref="B2:M2"/>
    <mergeCell ref="A4:M4"/>
    <mergeCell ref="A6:B6"/>
    <mergeCell ref="C6:M6"/>
    <mergeCell ref="A8:B8"/>
    <mergeCell ref="C8:M8"/>
    <mergeCell ref="A10:B10"/>
    <mergeCell ref="C10:D10"/>
    <mergeCell ref="I10:J10"/>
    <mergeCell ref="K10:M10"/>
    <mergeCell ref="A11:M11"/>
    <mergeCell ref="A13:E13"/>
    <mergeCell ref="K13:K22"/>
    <mergeCell ref="L13:L22"/>
    <mergeCell ref="M13:M22"/>
    <mergeCell ref="B14:E14"/>
    <mergeCell ref="N14:R14"/>
    <mergeCell ref="A15:E15"/>
    <mergeCell ref="B16:E16"/>
    <mergeCell ref="N16:R16"/>
    <mergeCell ref="B17:E17"/>
    <mergeCell ref="N17:R17"/>
    <mergeCell ref="B18:E18"/>
    <mergeCell ref="N18:R18"/>
    <mergeCell ref="B19:E19"/>
    <mergeCell ref="N19:R19"/>
    <mergeCell ref="A20:E20"/>
    <mergeCell ref="B21:E21"/>
    <mergeCell ref="N21:R21"/>
    <mergeCell ref="A22:E22"/>
    <mergeCell ref="B23:E23"/>
    <mergeCell ref="N23:R23"/>
    <mergeCell ref="B24:E24"/>
    <mergeCell ref="K24:K33"/>
    <mergeCell ref="L24:L33"/>
    <mergeCell ref="M24:M33"/>
    <mergeCell ref="N24:R24"/>
    <mergeCell ref="B25:E25"/>
    <mergeCell ref="N25:R25"/>
    <mergeCell ref="B26:E26"/>
    <mergeCell ref="N26:R26"/>
    <mergeCell ref="B27:E27"/>
    <mergeCell ref="N27:R27"/>
    <mergeCell ref="B28:E28"/>
    <mergeCell ref="N28:R28"/>
    <mergeCell ref="B29:E29"/>
    <mergeCell ref="N29:R29"/>
    <mergeCell ref="B30:E30"/>
    <mergeCell ref="N30:R30"/>
    <mergeCell ref="B31:E31"/>
    <mergeCell ref="N31:R31"/>
    <mergeCell ref="B32:E32"/>
    <mergeCell ref="N32:R32"/>
    <mergeCell ref="B33:E33"/>
    <mergeCell ref="N33:R33"/>
    <mergeCell ref="B34:E34"/>
    <mergeCell ref="N34:R34"/>
    <mergeCell ref="A35:C35"/>
    <mergeCell ref="D35:E35"/>
    <mergeCell ref="A36:C38"/>
    <mergeCell ref="D36:E36"/>
    <mergeCell ref="I36:M38"/>
    <mergeCell ref="D37:E37"/>
    <mergeCell ref="D38:E38"/>
    <mergeCell ref="A40:E40"/>
    <mergeCell ref="G40:L40"/>
    <mergeCell ref="B41:D41"/>
    <mergeCell ref="B42:D42"/>
    <mergeCell ref="B43:D43"/>
    <mergeCell ref="B44:D44"/>
    <mergeCell ref="G44:I44"/>
    <mergeCell ref="K44:L44"/>
    <mergeCell ref="B45:D45"/>
    <mergeCell ref="G45:I45"/>
    <mergeCell ref="K45:L45"/>
    <mergeCell ref="B46:D46"/>
    <mergeCell ref="G46:I46"/>
    <mergeCell ref="K46:L46"/>
    <mergeCell ref="B47:D47"/>
    <mergeCell ref="G47:I47"/>
    <mergeCell ref="K47:L47"/>
    <mergeCell ref="B48:D48"/>
    <mergeCell ref="G48:I48"/>
    <mergeCell ref="K48:L48"/>
    <mergeCell ref="D49:E49"/>
    <mergeCell ref="O49:O51"/>
    <mergeCell ref="A50:M50"/>
    <mergeCell ref="A51:M51"/>
    <mergeCell ref="A52:M105"/>
    <mergeCell ref="P53:Q53"/>
    <mergeCell ref="P54:Q54"/>
    <mergeCell ref="P55:Q55"/>
    <mergeCell ref="A106:F106"/>
    <mergeCell ref="G106:M106"/>
    <mergeCell ref="A107:D109"/>
    <mergeCell ref="E107:F109"/>
    <mergeCell ref="G107:K109"/>
    <mergeCell ref="L107:M109"/>
  </mergeCells>
  <conditionalFormatting sqref="N14 N16:N19 N21 N23:N34">
    <cfRule type="expression" priority="2" aboveAverage="0" equalAverage="0" bottom="0" percent="0" rank="0" text="" dxfId="0">
      <formula>NOT(ISERROR(SEARCH("Mais de uma Nota Atribuida na linha. Verifique",N14)))</formula>
    </cfRule>
    <cfRule type="expression" priority="3" aboveAverage="0" equalAverage="0" bottom="0" percent="0" rank="0" text="" dxfId="1">
      <formula>NOT(ISERROR(SEARCH("Favor Avaliar Linha",N14)))</formula>
    </cfRule>
    <cfRule type="expression" priority="4" aboveAverage="0" equalAverage="0" bottom="0" percent="0" rank="0" text="" dxfId="2">
      <formula>NOT(ISERROR(SEARCH("OK",N14)))</formula>
    </cfRule>
  </conditionalFormatting>
  <conditionalFormatting sqref="O38">
    <cfRule type="cellIs" priority="5" operator="equal" aboveAverage="0" equalAverage="0" bottom="0" percent="0" rank="0" text="" dxfId="3">
      <formula>"Nota Inválida"</formula>
    </cfRule>
    <cfRule type="cellIs" priority="6" operator="equal" aboveAverage="0" equalAverage="0" bottom="0" percent="0" rank="0" text="" dxfId="4">
      <formula>"Avaliação Ok"</formula>
    </cfRule>
    <cfRule type="cellIs" priority="7" operator="equal" aboveAverage="0" equalAverage="0" bottom="0" percent="0" rank="0" text="" dxfId="5">
      <formula>"Nota Não Atribuida"</formula>
    </cfRule>
  </conditionalFormatting>
  <conditionalFormatting sqref="P38:S38">
    <cfRule type="cellIs" priority="8" operator="equal" aboveAverage="0" equalAverage="0" bottom="0" percent="0" rank="0" text="" dxfId="3">
      <formula>"Nota Inválida"</formula>
    </cfRule>
  </conditionalFormatting>
  <conditionalFormatting sqref="I36">
    <cfRule type="cellIs" priority="9" operator="equal" aboveAverage="0" equalAverage="0" bottom="0" percent="0" rank="0" text="" dxfId="6">
      <formula>"Avaliação Ok"</formula>
    </cfRule>
    <cfRule type="cellIs" priority="10" operator="equal" aboveAverage="0" equalAverage="0" bottom="0" percent="0" rank="0" text="" dxfId="7">
      <formula>"Não foram avaliados todos os itens"</formula>
    </cfRule>
    <cfRule type="cellIs" priority="11" operator="equal" aboveAverage="0" equalAverage="0" bottom="0" percent="0" rank="0" text="" dxfId="8">
      <formula>"Foram Avaliados mais itens do que o necessário"</formula>
    </cfRule>
    <cfRule type="expression" priority="12" aboveAverage="0" equalAverage="0" bottom="0" percent="0" rank="0" text="" dxfId="8">
      <formula>NOT(ISERROR(SEARCH("Nota Não Atribuida",I36)))</formula>
    </cfRule>
  </conditionalFormatting>
  <dataValidations count="1">
    <dataValidation allowBlank="true" operator="equal" showDropDown="false" showErrorMessage="true" showInputMessage="true" sqref="F14:H14 JB14:JD14 SX14:SZ14 ACT14:ACV14 F16:H19 JB16:JD19 SX16:SZ19 ACT16:ACV19 F21:H21 JB21:JD21 SX21:SZ21 ACT21:ACV21 F23:I34 JB23:JE34 SX23:TA34 ACT23:ACW34" type="list">
      <formula1>"X"</formula1>
      <formula2>0</formula2>
    </dataValidation>
  </dataValidations>
  <printOptions headings="false" gridLines="false" gridLinesSet="true" horizontalCentered="false" verticalCentered="false"/>
  <pageMargins left="0.827083333333333" right="0.118055555555556" top="0.315277777777778" bottom="0.315277777777778" header="0.315277777777778" footer="0.315277777777778"/>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rowBreaks count="1" manualBreakCount="1">
    <brk id="49" man="true" max="16383" min="0"/>
  </rowBreaks>
  <drawing r:id="rId1"/>
</worksheet>
</file>

<file path=xl/worksheets/sheet25.xml><?xml version="1.0" encoding="utf-8"?>
<worksheet xmlns="http://schemas.openxmlformats.org/spreadsheetml/2006/main" xmlns:r="http://schemas.openxmlformats.org/officeDocument/2006/relationships">
  <sheetPr filterMode="false">
    <pageSetUpPr fitToPage="false"/>
  </sheetPr>
  <dimension ref="A1:K52"/>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zeroHeight="false" outlineLevelRow="0" outlineLevelCol="0"/>
  <cols>
    <col collapsed="false" customWidth="true" hidden="false" outlineLevel="0" max="1" min="1" style="780" width="13.5"/>
    <col collapsed="false" customWidth="true" hidden="false" outlineLevel="0" max="2" min="2" style="780" width="9.05"/>
    <col collapsed="false" customWidth="true" hidden="false" outlineLevel="0" max="3" min="3" style="780" width="7.69"/>
    <col collapsed="false" customWidth="true" hidden="false" outlineLevel="0" max="4" min="4" style="780" width="6.75"/>
    <col collapsed="false" customWidth="true" hidden="false" outlineLevel="0" max="9" min="5" style="780" width="8.64"/>
    <col collapsed="false" customWidth="true" hidden="false" outlineLevel="0" max="10" min="10" style="780" width="9.45"/>
    <col collapsed="false" customWidth="true" hidden="false" outlineLevel="0" max="256" min="11" style="780" width="8.64"/>
    <col collapsed="false" customWidth="true" hidden="false" outlineLevel="0" max="257" min="257" style="780" width="13.5"/>
    <col collapsed="false" customWidth="true" hidden="false" outlineLevel="0" max="258" min="258" style="780" width="9.05"/>
    <col collapsed="false" customWidth="true" hidden="false" outlineLevel="0" max="259" min="259" style="780" width="7.69"/>
    <col collapsed="false" customWidth="true" hidden="false" outlineLevel="0" max="260" min="260" style="780" width="6.75"/>
    <col collapsed="false" customWidth="true" hidden="false" outlineLevel="0" max="265" min="261" style="780" width="8.64"/>
    <col collapsed="false" customWidth="true" hidden="false" outlineLevel="0" max="266" min="266" style="780" width="9.45"/>
    <col collapsed="false" customWidth="true" hidden="false" outlineLevel="0" max="512" min="267" style="780" width="8.64"/>
    <col collapsed="false" customWidth="true" hidden="false" outlineLevel="0" max="513" min="513" style="780" width="13.5"/>
    <col collapsed="false" customWidth="true" hidden="false" outlineLevel="0" max="514" min="514" style="780" width="9.05"/>
    <col collapsed="false" customWidth="true" hidden="false" outlineLevel="0" max="515" min="515" style="780" width="7.69"/>
    <col collapsed="false" customWidth="true" hidden="false" outlineLevel="0" max="516" min="516" style="780" width="6.75"/>
    <col collapsed="false" customWidth="true" hidden="false" outlineLevel="0" max="521" min="517" style="780" width="8.64"/>
    <col collapsed="false" customWidth="true" hidden="false" outlineLevel="0" max="522" min="522" style="780" width="9.45"/>
    <col collapsed="false" customWidth="true" hidden="false" outlineLevel="0" max="768" min="523" style="780" width="8.64"/>
    <col collapsed="false" customWidth="true" hidden="false" outlineLevel="0" max="769" min="769" style="780" width="13.5"/>
    <col collapsed="false" customWidth="true" hidden="false" outlineLevel="0" max="770" min="770" style="780" width="9.05"/>
    <col collapsed="false" customWidth="true" hidden="false" outlineLevel="0" max="771" min="771" style="780" width="7.69"/>
    <col collapsed="false" customWidth="true" hidden="false" outlineLevel="0" max="772" min="772" style="780" width="6.75"/>
    <col collapsed="false" customWidth="true" hidden="false" outlineLevel="0" max="777" min="773" style="780" width="8.64"/>
    <col collapsed="false" customWidth="true" hidden="false" outlineLevel="0" max="778" min="778" style="780" width="9.45"/>
    <col collapsed="false" customWidth="true" hidden="false" outlineLevel="0" max="1025" min="779" style="780" width="8.64"/>
  </cols>
  <sheetData>
    <row r="1" customFormat="false" ht="18.75" hidden="false" customHeight="false" outlineLevel="0" collapsed="false">
      <c r="A1" s="781"/>
      <c r="B1" s="782" t="s">
        <v>675</v>
      </c>
      <c r="C1" s="782"/>
      <c r="D1" s="782"/>
      <c r="E1" s="782"/>
      <c r="F1" s="782"/>
      <c r="G1" s="782"/>
      <c r="H1" s="782"/>
      <c r="I1" s="782"/>
      <c r="J1" s="782"/>
    </row>
    <row r="2" customFormat="false" ht="15" hidden="false" customHeight="false" outlineLevel="0" collapsed="false">
      <c r="A2" s="781"/>
      <c r="B2" s="783" t="s">
        <v>594</v>
      </c>
      <c r="C2" s="783"/>
      <c r="D2" s="783"/>
      <c r="E2" s="783"/>
      <c r="F2" s="783"/>
      <c r="G2" s="783"/>
      <c r="H2" s="783"/>
      <c r="I2" s="783"/>
      <c r="J2" s="783"/>
    </row>
    <row r="3" customFormat="false" ht="15.75" hidden="false" customHeight="false" outlineLevel="0" collapsed="false">
      <c r="A3" s="781"/>
      <c r="B3" s="784" t="s">
        <v>676</v>
      </c>
      <c r="C3" s="784"/>
      <c r="D3" s="784"/>
      <c r="E3" s="784"/>
      <c r="F3" s="784"/>
      <c r="G3" s="784"/>
      <c r="H3" s="784"/>
      <c r="I3" s="784"/>
      <c r="J3" s="784"/>
      <c r="K3" s="785"/>
    </row>
    <row r="5" customFormat="false" ht="15" hidden="false" customHeight="false" outlineLevel="0" collapsed="false">
      <c r="A5" s="786" t="s">
        <v>677</v>
      </c>
      <c r="B5" s="787"/>
      <c r="C5" s="787"/>
      <c r="D5" s="788"/>
      <c r="E5" s="788"/>
      <c r="F5" s="789"/>
      <c r="G5" s="788"/>
      <c r="H5" s="788"/>
      <c r="I5" s="790" t="s">
        <v>13</v>
      </c>
      <c r="J5" s="791"/>
    </row>
    <row r="6" customFormat="false" ht="15" hidden="false" customHeight="false" outlineLevel="0" collapsed="false">
      <c r="A6" s="792"/>
      <c r="B6" s="788"/>
      <c r="C6" s="788"/>
      <c r="D6" s="788"/>
      <c r="E6" s="788"/>
      <c r="F6" s="789"/>
      <c r="G6" s="788"/>
      <c r="H6" s="788"/>
      <c r="I6" s="788"/>
      <c r="J6" s="788"/>
    </row>
    <row r="7" customFormat="false" ht="15" hidden="false" customHeight="false" outlineLevel="0" collapsed="false">
      <c r="A7" s="793" t="s">
        <v>678</v>
      </c>
      <c r="B7" s="794"/>
      <c r="C7" s="794"/>
      <c r="D7" s="794"/>
      <c r="E7" s="794"/>
      <c r="F7" s="794"/>
      <c r="G7" s="794"/>
      <c r="H7" s="794"/>
      <c r="I7" s="794"/>
      <c r="J7" s="794"/>
    </row>
    <row r="8" customFormat="false" ht="15" hidden="false" customHeight="false" outlineLevel="0" collapsed="false">
      <c r="A8" s="793" t="s">
        <v>679</v>
      </c>
      <c r="B8" s="793"/>
      <c r="C8" s="794"/>
      <c r="D8" s="794"/>
      <c r="E8" s="794"/>
      <c r="F8" s="794"/>
      <c r="G8" s="794"/>
      <c r="H8" s="794"/>
      <c r="I8" s="794"/>
      <c r="J8" s="794"/>
    </row>
    <row r="9" customFormat="false" ht="15" hidden="false" customHeight="false" outlineLevel="0" collapsed="false">
      <c r="A9" s="793" t="s">
        <v>680</v>
      </c>
      <c r="B9" s="793"/>
      <c r="C9" s="793"/>
      <c r="D9" s="793"/>
      <c r="E9" s="794"/>
      <c r="F9" s="794"/>
      <c r="G9" s="794"/>
      <c r="H9" s="794"/>
      <c r="I9" s="794"/>
      <c r="J9" s="794"/>
    </row>
    <row r="10" customFormat="false" ht="15" hidden="false" customHeight="false" outlineLevel="0" collapsed="false">
      <c r="A10" s="793" t="s">
        <v>681</v>
      </c>
      <c r="B10" s="794"/>
      <c r="C10" s="794"/>
      <c r="D10" s="794"/>
      <c r="E10" s="794"/>
      <c r="F10" s="794"/>
      <c r="G10" s="794"/>
      <c r="H10" s="794"/>
      <c r="I10" s="794"/>
      <c r="J10" s="794"/>
    </row>
    <row r="11" customFormat="false" ht="15" hidden="false" customHeight="true" outlineLevel="0" collapsed="false">
      <c r="A11" s="795" t="s">
        <v>682</v>
      </c>
      <c r="B11" s="795"/>
      <c r="C11" s="795"/>
      <c r="D11" s="795"/>
      <c r="E11" s="796" t="n">
        <v>1</v>
      </c>
      <c r="F11" s="796"/>
      <c r="G11" s="796"/>
      <c r="H11" s="796"/>
      <c r="I11" s="796"/>
      <c r="J11" s="796"/>
    </row>
    <row r="12" customFormat="false" ht="15.75" hidden="false" customHeight="false" outlineLevel="0" collapsed="false">
      <c r="A12" s="795"/>
      <c r="B12" s="795"/>
      <c r="C12" s="795"/>
      <c r="D12" s="795"/>
      <c r="E12" s="796"/>
      <c r="F12" s="796"/>
      <c r="G12" s="796"/>
      <c r="H12" s="796"/>
      <c r="I12" s="796"/>
      <c r="J12" s="796"/>
    </row>
    <row r="13" customFormat="false" ht="15" hidden="false" customHeight="false" outlineLevel="0" collapsed="false">
      <c r="A13" s="797" t="s">
        <v>683</v>
      </c>
      <c r="B13" s="797"/>
      <c r="C13" s="797"/>
      <c r="D13" s="797"/>
      <c r="E13" s="797"/>
      <c r="F13" s="797"/>
      <c r="G13" s="797"/>
      <c r="H13" s="797"/>
      <c r="I13" s="797"/>
      <c r="J13" s="798" t="s">
        <v>684</v>
      </c>
    </row>
    <row r="14" customFormat="false" ht="15" hidden="false" customHeight="false" outlineLevel="0" collapsed="false">
      <c r="A14" s="786" t="s">
        <v>596</v>
      </c>
      <c r="B14" s="787"/>
      <c r="C14" s="787"/>
      <c r="D14" s="787"/>
      <c r="E14" s="787"/>
      <c r="F14" s="787"/>
      <c r="G14" s="787"/>
      <c r="H14" s="787"/>
      <c r="I14" s="787"/>
      <c r="J14" s="799"/>
    </row>
    <row r="15" customFormat="false" ht="15" hidden="false" customHeight="false" outlineLevel="0" collapsed="false">
      <c r="A15" s="786" t="s">
        <v>596</v>
      </c>
      <c r="B15" s="787"/>
      <c r="C15" s="787"/>
      <c r="D15" s="787"/>
      <c r="E15" s="787"/>
      <c r="F15" s="787"/>
      <c r="G15" s="787"/>
      <c r="H15" s="787"/>
      <c r="I15" s="787"/>
      <c r="J15" s="799"/>
    </row>
    <row r="16" customFormat="false" ht="15" hidden="false" customHeight="false" outlineLevel="0" collapsed="false">
      <c r="A16" s="786" t="s">
        <v>596</v>
      </c>
      <c r="B16" s="787"/>
      <c r="C16" s="787"/>
      <c r="D16" s="787"/>
      <c r="E16" s="787"/>
      <c r="F16" s="787"/>
      <c r="G16" s="787"/>
      <c r="H16" s="787"/>
      <c r="I16" s="787"/>
      <c r="J16" s="799"/>
    </row>
    <row r="17" customFormat="false" ht="15" hidden="false" customHeight="false" outlineLevel="0" collapsed="false">
      <c r="A17" s="786" t="s">
        <v>596</v>
      </c>
      <c r="B17" s="787"/>
      <c r="C17" s="787"/>
      <c r="D17" s="787"/>
      <c r="E17" s="787"/>
      <c r="F17" s="787"/>
      <c r="G17" s="787"/>
      <c r="H17" s="787"/>
      <c r="I17" s="787"/>
      <c r="J17" s="799"/>
    </row>
    <row r="18" customFormat="false" ht="15" hidden="false" customHeight="false" outlineLevel="0" collapsed="false">
      <c r="A18" s="786" t="s">
        <v>596</v>
      </c>
      <c r="B18" s="787"/>
      <c r="C18" s="787"/>
      <c r="D18" s="787"/>
      <c r="E18" s="787"/>
      <c r="F18" s="787"/>
      <c r="G18" s="787"/>
      <c r="H18" s="787"/>
      <c r="I18" s="787"/>
      <c r="J18" s="799"/>
    </row>
    <row r="19" customFormat="false" ht="15" hidden="false" customHeight="false" outlineLevel="0" collapsed="false">
      <c r="A19" s="786" t="s">
        <v>596</v>
      </c>
      <c r="B19" s="787"/>
      <c r="C19" s="787"/>
      <c r="D19" s="787"/>
      <c r="E19" s="787"/>
      <c r="F19" s="787"/>
      <c r="G19" s="787"/>
      <c r="H19" s="787"/>
      <c r="I19" s="787"/>
      <c r="J19" s="799"/>
    </row>
    <row r="20" customFormat="false" ht="15" hidden="false" customHeight="false" outlineLevel="0" collapsed="false">
      <c r="A20" s="786" t="s">
        <v>596</v>
      </c>
      <c r="B20" s="787"/>
      <c r="C20" s="787"/>
      <c r="D20" s="787"/>
      <c r="E20" s="787"/>
      <c r="F20" s="787"/>
      <c r="G20" s="787"/>
      <c r="H20" s="787"/>
      <c r="I20" s="787"/>
      <c r="J20" s="799"/>
    </row>
    <row r="21" customFormat="false" ht="15" hidden="false" customHeight="false" outlineLevel="0" collapsed="false">
      <c r="A21" s="786" t="s">
        <v>596</v>
      </c>
      <c r="B21" s="787"/>
      <c r="C21" s="787"/>
      <c r="D21" s="787"/>
      <c r="E21" s="787"/>
      <c r="F21" s="787"/>
      <c r="G21" s="787"/>
      <c r="H21" s="787"/>
      <c r="I21" s="787"/>
      <c r="J21" s="799"/>
    </row>
    <row r="22" customFormat="false" ht="15" hidden="false" customHeight="false" outlineLevel="0" collapsed="false">
      <c r="A22" s="786" t="s">
        <v>596</v>
      </c>
      <c r="B22" s="787"/>
      <c r="C22" s="787"/>
      <c r="D22" s="787"/>
      <c r="E22" s="787"/>
      <c r="F22" s="787"/>
      <c r="G22" s="787"/>
      <c r="H22" s="787"/>
      <c r="I22" s="787"/>
      <c r="J22" s="799"/>
    </row>
    <row r="23" customFormat="false" ht="15" hidden="false" customHeight="false" outlineLevel="0" collapsed="false">
      <c r="A23" s="786" t="s">
        <v>596</v>
      </c>
      <c r="B23" s="787"/>
      <c r="C23" s="787"/>
      <c r="D23" s="787"/>
      <c r="E23" s="787"/>
      <c r="F23" s="787"/>
      <c r="G23" s="787"/>
      <c r="H23" s="787"/>
      <c r="I23" s="787"/>
      <c r="J23" s="799"/>
    </row>
    <row r="24" customFormat="false" ht="15" hidden="false" customHeight="false" outlineLevel="0" collapsed="false">
      <c r="A24" s="786" t="s">
        <v>596</v>
      </c>
      <c r="B24" s="787"/>
      <c r="C24" s="787"/>
      <c r="D24" s="787"/>
      <c r="E24" s="787"/>
      <c r="F24" s="787"/>
      <c r="G24" s="787"/>
      <c r="H24" s="787"/>
      <c r="I24" s="787"/>
      <c r="J24" s="799"/>
    </row>
    <row r="25" customFormat="false" ht="15" hidden="false" customHeight="false" outlineLevel="0" collapsed="false">
      <c r="A25" s="786" t="s">
        <v>596</v>
      </c>
      <c r="B25" s="787"/>
      <c r="C25" s="787"/>
      <c r="D25" s="787"/>
      <c r="E25" s="787"/>
      <c r="F25" s="787"/>
      <c r="G25" s="787"/>
      <c r="H25" s="787"/>
      <c r="I25" s="787"/>
      <c r="J25" s="799"/>
    </row>
    <row r="26" customFormat="false" ht="15" hidden="false" customHeight="false" outlineLevel="0" collapsed="false">
      <c r="A26" s="786" t="s">
        <v>596</v>
      </c>
      <c r="B26" s="787"/>
      <c r="C26" s="787"/>
      <c r="D26" s="787"/>
      <c r="E26" s="787"/>
      <c r="F26" s="787"/>
      <c r="G26" s="787"/>
      <c r="H26" s="787"/>
      <c r="I26" s="787"/>
      <c r="J26" s="799"/>
    </row>
    <row r="27" customFormat="false" ht="15" hidden="false" customHeight="false" outlineLevel="0" collapsed="false">
      <c r="A27" s="786" t="s">
        <v>596</v>
      </c>
      <c r="B27" s="787"/>
      <c r="C27" s="787"/>
      <c r="D27" s="787"/>
      <c r="E27" s="787"/>
      <c r="F27" s="787"/>
      <c r="G27" s="787"/>
      <c r="H27" s="787"/>
      <c r="I27" s="787"/>
      <c r="J27" s="799"/>
    </row>
    <row r="28" customFormat="false" ht="15" hidden="false" customHeight="false" outlineLevel="0" collapsed="false">
      <c r="A28" s="786" t="s">
        <v>596</v>
      </c>
      <c r="B28" s="787"/>
      <c r="C28" s="787"/>
      <c r="D28" s="787"/>
      <c r="E28" s="787"/>
      <c r="F28" s="787"/>
      <c r="G28" s="787"/>
      <c r="H28" s="787"/>
      <c r="I28" s="787"/>
      <c r="J28" s="799"/>
    </row>
    <row r="29" customFormat="false" ht="15" hidden="false" customHeight="false" outlineLevel="0" collapsed="false">
      <c r="A29" s="786" t="s">
        <v>596</v>
      </c>
      <c r="B29" s="787"/>
      <c r="C29" s="787"/>
      <c r="D29" s="787"/>
      <c r="E29" s="787"/>
      <c r="F29" s="787"/>
      <c r="G29" s="787"/>
      <c r="H29" s="787"/>
      <c r="I29" s="787"/>
      <c r="J29" s="799"/>
    </row>
    <row r="30" customFormat="false" ht="15" hidden="false" customHeight="false" outlineLevel="0" collapsed="false">
      <c r="A30" s="786" t="s">
        <v>596</v>
      </c>
      <c r="B30" s="787"/>
      <c r="C30" s="787"/>
      <c r="D30" s="787"/>
      <c r="E30" s="787"/>
      <c r="F30" s="787"/>
      <c r="G30" s="787"/>
      <c r="H30" s="787"/>
      <c r="I30" s="787"/>
      <c r="J30" s="799"/>
    </row>
    <row r="31" customFormat="false" ht="15" hidden="false" customHeight="false" outlineLevel="0" collapsed="false">
      <c r="A31" s="786" t="s">
        <v>596</v>
      </c>
      <c r="B31" s="787"/>
      <c r="C31" s="787"/>
      <c r="D31" s="787"/>
      <c r="E31" s="787"/>
      <c r="F31" s="787"/>
      <c r="G31" s="787"/>
      <c r="H31" s="787"/>
      <c r="I31" s="787"/>
      <c r="J31" s="799"/>
    </row>
    <row r="32" customFormat="false" ht="15" hidden="false" customHeight="false" outlineLevel="0" collapsed="false">
      <c r="A32" s="786" t="s">
        <v>596</v>
      </c>
      <c r="B32" s="787"/>
      <c r="C32" s="787"/>
      <c r="D32" s="787"/>
      <c r="E32" s="787"/>
      <c r="F32" s="787"/>
      <c r="G32" s="787"/>
      <c r="H32" s="787"/>
      <c r="I32" s="787"/>
      <c r="J32" s="799"/>
    </row>
    <row r="33" customFormat="false" ht="15" hidden="false" customHeight="false" outlineLevel="0" collapsed="false">
      <c r="A33" s="786" t="s">
        <v>596</v>
      </c>
      <c r="B33" s="787"/>
      <c r="C33" s="787"/>
      <c r="D33" s="787"/>
      <c r="E33" s="787"/>
      <c r="F33" s="787"/>
      <c r="G33" s="787"/>
      <c r="H33" s="787"/>
      <c r="I33" s="787"/>
      <c r="J33" s="799"/>
    </row>
    <row r="34" customFormat="false" ht="15" hidden="false" customHeight="false" outlineLevel="0" collapsed="false">
      <c r="A34" s="800" t="s">
        <v>685</v>
      </c>
      <c r="B34" s="800"/>
      <c r="C34" s="800"/>
      <c r="D34" s="800"/>
      <c r="E34" s="800"/>
      <c r="F34" s="800"/>
      <c r="G34" s="800"/>
      <c r="H34" s="800"/>
      <c r="I34" s="800"/>
      <c r="J34" s="801" t="n">
        <f aca="false">SUM(J14:J33)/E11</f>
        <v>0</v>
      </c>
    </row>
    <row r="35" customFormat="false" ht="15.75" hidden="false" customHeight="false" outlineLevel="0" collapsed="false">
      <c r="A35" s="802" t="s">
        <v>686</v>
      </c>
      <c r="B35" s="802"/>
      <c r="C35" s="802"/>
      <c r="D35" s="802"/>
      <c r="E35" s="802"/>
      <c r="F35" s="802"/>
      <c r="G35" s="802"/>
      <c r="H35" s="802"/>
      <c r="I35" s="802"/>
      <c r="J35" s="803" t="str">
        <f aca="false">IF(J34&gt;=93,"A",IF(J34&gt;=90,"B",IF(J34&gt;=88,"C",IF(J34&gt;=86,"D",IF(J34&gt;=84,"E",IF(J34&gt;=82,"F","G"))))))</f>
        <v>G</v>
      </c>
    </row>
    <row r="37" customFormat="false" ht="15" hidden="false" customHeight="false" outlineLevel="0" collapsed="false">
      <c r="A37" s="804" t="s">
        <v>687</v>
      </c>
      <c r="B37" s="804" t="s">
        <v>688</v>
      </c>
      <c r="C37" s="804"/>
      <c r="D37" s="804"/>
      <c r="F37" s="805" t="s">
        <v>689</v>
      </c>
      <c r="G37" s="805"/>
      <c r="H37" s="805"/>
      <c r="I37" s="805"/>
    </row>
    <row r="38" customFormat="false" ht="15" hidden="false" customHeight="false" outlineLevel="0" collapsed="false">
      <c r="A38" s="806" t="s">
        <v>15</v>
      </c>
      <c r="B38" s="790" t="s">
        <v>690</v>
      </c>
      <c r="C38" s="790"/>
      <c r="D38" s="790"/>
      <c r="F38" s="807" t="s">
        <v>691</v>
      </c>
      <c r="G38" s="808"/>
      <c r="H38" s="807" t="s">
        <v>692</v>
      </c>
      <c r="I38" s="808"/>
    </row>
    <row r="39" customFormat="false" ht="15" hidden="false" customHeight="false" outlineLevel="0" collapsed="false">
      <c r="A39" s="806" t="s">
        <v>17</v>
      </c>
      <c r="B39" s="790" t="s">
        <v>693</v>
      </c>
      <c r="C39" s="790"/>
      <c r="D39" s="790"/>
      <c r="F39" s="807" t="s">
        <v>694</v>
      </c>
      <c r="G39" s="808"/>
      <c r="H39" s="807" t="s">
        <v>695</v>
      </c>
      <c r="I39" s="808"/>
    </row>
    <row r="40" customFormat="false" ht="15" hidden="false" customHeight="false" outlineLevel="0" collapsed="false">
      <c r="A40" s="806" t="s">
        <v>20</v>
      </c>
      <c r="B40" s="790" t="s">
        <v>696</v>
      </c>
      <c r="C40" s="790"/>
      <c r="D40" s="790"/>
      <c r="F40" s="807" t="s">
        <v>697</v>
      </c>
      <c r="G40" s="808"/>
      <c r="H40" s="807" t="s">
        <v>698</v>
      </c>
      <c r="I40" s="808"/>
    </row>
    <row r="41" customFormat="false" ht="15" hidden="false" customHeight="false" outlineLevel="0" collapsed="false">
      <c r="A41" s="806" t="s">
        <v>22</v>
      </c>
      <c r="B41" s="790" t="s">
        <v>699</v>
      </c>
      <c r="C41" s="790"/>
      <c r="D41" s="790"/>
      <c r="F41" s="807" t="s">
        <v>700</v>
      </c>
      <c r="G41" s="808"/>
      <c r="H41" s="807" t="s">
        <v>701</v>
      </c>
      <c r="I41" s="808"/>
    </row>
    <row r="42" customFormat="false" ht="15" hidden="false" customHeight="false" outlineLevel="0" collapsed="false">
      <c r="A42" s="806" t="s">
        <v>392</v>
      </c>
      <c r="B42" s="790" t="s">
        <v>702</v>
      </c>
      <c r="C42" s="790"/>
      <c r="D42" s="790"/>
      <c r="F42" s="807" t="s">
        <v>703</v>
      </c>
      <c r="G42" s="808"/>
      <c r="H42" s="807" t="s">
        <v>704</v>
      </c>
      <c r="I42" s="808"/>
    </row>
    <row r="43" customFormat="false" ht="15" hidden="false" customHeight="false" outlineLevel="0" collapsed="false">
      <c r="A43" s="806" t="s">
        <v>394</v>
      </c>
      <c r="B43" s="790" t="s">
        <v>705</v>
      </c>
      <c r="C43" s="790"/>
      <c r="D43" s="790"/>
      <c r="F43" s="807" t="s">
        <v>706</v>
      </c>
      <c r="G43" s="808"/>
      <c r="H43" s="807" t="s">
        <v>707</v>
      </c>
      <c r="I43" s="808"/>
    </row>
    <row r="44" customFormat="false" ht="15" hidden="false" customHeight="false" outlineLevel="0" collapsed="false">
      <c r="A44" s="806" t="s">
        <v>396</v>
      </c>
      <c r="B44" s="790" t="s">
        <v>708</v>
      </c>
      <c r="C44" s="790"/>
      <c r="D44" s="790"/>
      <c r="F44" s="809" t="s">
        <v>709</v>
      </c>
      <c r="G44" s="809"/>
      <c r="H44" s="809"/>
      <c r="I44" s="808"/>
    </row>
    <row r="45" customFormat="false" ht="15" hidden="false" customHeight="false" outlineLevel="0" collapsed="false">
      <c r="A45" s="810"/>
      <c r="B45" s="811"/>
      <c r="C45" s="812"/>
      <c r="D45" s="812"/>
      <c r="F45" s="813"/>
      <c r="G45" s="813"/>
      <c r="H45" s="813"/>
      <c r="I45" s="814"/>
    </row>
    <row r="46" customFormat="false" ht="15" hidden="false" customHeight="false" outlineLevel="0" collapsed="false">
      <c r="A46" s="806" t="s">
        <v>710</v>
      </c>
      <c r="B46" s="815"/>
      <c r="C46" s="816"/>
      <c r="D46" s="817"/>
      <c r="F46" s="818"/>
      <c r="G46" s="814"/>
      <c r="H46" s="818"/>
      <c r="I46" s="814"/>
    </row>
    <row r="47" customFormat="false" ht="12.75" hidden="false" customHeight="true" outlineLevel="0" collapsed="false"/>
    <row r="48" customFormat="false" ht="15" hidden="false" customHeight="false" outlineLevel="0" collapsed="false">
      <c r="A48" s="819" t="s">
        <v>711</v>
      </c>
      <c r="B48" s="819"/>
      <c r="C48" s="819"/>
      <c r="D48" s="819"/>
      <c r="E48" s="820" t="s">
        <v>712</v>
      </c>
      <c r="F48" s="820"/>
      <c r="G48" s="820"/>
      <c r="H48" s="821" t="s">
        <v>713</v>
      </c>
      <c r="I48" s="821"/>
      <c r="J48" s="821"/>
    </row>
    <row r="52" customFormat="false" ht="15.75" hidden="false" customHeight="false" outlineLevel="0" collapsed="false"/>
  </sheetData>
  <mergeCells count="49">
    <mergeCell ref="A1:A3"/>
    <mergeCell ref="B1:J1"/>
    <mergeCell ref="B2:J2"/>
    <mergeCell ref="B3:J3"/>
    <mergeCell ref="B5:C5"/>
    <mergeCell ref="B7:J7"/>
    <mergeCell ref="A8:B8"/>
    <mergeCell ref="C8:J8"/>
    <mergeCell ref="A9:D9"/>
    <mergeCell ref="E9:J9"/>
    <mergeCell ref="B10:J10"/>
    <mergeCell ref="A11:D12"/>
    <mergeCell ref="E11:J12"/>
    <mergeCell ref="A13:I13"/>
    <mergeCell ref="B14:I14"/>
    <mergeCell ref="B15:I15"/>
    <mergeCell ref="B16:I16"/>
    <mergeCell ref="B17:I17"/>
    <mergeCell ref="B18:I18"/>
    <mergeCell ref="B19:I19"/>
    <mergeCell ref="B20:I20"/>
    <mergeCell ref="B21:I21"/>
    <mergeCell ref="B22:I22"/>
    <mergeCell ref="B23:I23"/>
    <mergeCell ref="B24:I24"/>
    <mergeCell ref="B25:I25"/>
    <mergeCell ref="B26:I26"/>
    <mergeCell ref="B27:I27"/>
    <mergeCell ref="B28:I28"/>
    <mergeCell ref="B29:I29"/>
    <mergeCell ref="B30:I30"/>
    <mergeCell ref="B31:I31"/>
    <mergeCell ref="B32:I32"/>
    <mergeCell ref="B33:I33"/>
    <mergeCell ref="A34:I34"/>
    <mergeCell ref="A35:I35"/>
    <mergeCell ref="B37:D37"/>
    <mergeCell ref="F37:I37"/>
    <mergeCell ref="B38:D38"/>
    <mergeCell ref="B39:D39"/>
    <mergeCell ref="B40:D40"/>
    <mergeCell ref="B41:D41"/>
    <mergeCell ref="B42:D42"/>
    <mergeCell ref="B43:D43"/>
    <mergeCell ref="B44:D44"/>
    <mergeCell ref="F44:H44"/>
    <mergeCell ref="A48:D52"/>
    <mergeCell ref="E48:G52"/>
    <mergeCell ref="H48:J52"/>
  </mergeCells>
  <printOptions headings="false" gridLines="false" gridLinesSet="true" horizontalCentered="false" verticalCentered="false"/>
  <pageMargins left="0.511805555555555" right="0.1" top="0.315277777777778" bottom="0.315277777777778" header="0.315277777777778" footer="0.31527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6.xml><?xml version="1.0" encoding="utf-8"?>
<worksheet xmlns="http://schemas.openxmlformats.org/spreadsheetml/2006/main" xmlns:r="http://schemas.openxmlformats.org/officeDocument/2006/relationships">
  <sheetPr filterMode="false">
    <pageSetUpPr fitToPage="false"/>
  </sheetPr>
  <dimension ref="A1:AE106"/>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1.25" zeroHeight="false" outlineLevelRow="0" outlineLevelCol="0"/>
  <cols>
    <col collapsed="false" customWidth="true" hidden="false" outlineLevel="0" max="1" min="1" style="59" width="8.64"/>
    <col collapsed="false" customWidth="true" hidden="false" outlineLevel="0" max="2" min="2" style="59" width="44.55"/>
    <col collapsed="false" customWidth="true" hidden="false" outlineLevel="0" max="3" min="3" style="59" width="4.18"/>
    <col collapsed="false" customWidth="true" hidden="false" outlineLevel="0" max="4" min="4" style="59" width="6.48"/>
    <col collapsed="false" customWidth="true" hidden="false" outlineLevel="0" max="16" min="5" style="59" width="5.4"/>
    <col collapsed="false" customWidth="true" hidden="false" outlineLevel="0" max="18" min="17" style="59" width="8.64"/>
    <col collapsed="false" customWidth="true" hidden="false" outlineLevel="0" max="19" min="19" style="205" width="9.72"/>
    <col collapsed="false" customWidth="true" hidden="false" outlineLevel="0" max="20" min="20" style="205" width="12.02"/>
    <col collapsed="false" customWidth="true" hidden="false" outlineLevel="0" max="31" min="21" style="59" width="12.02"/>
    <col collapsed="false" customWidth="true" hidden="false" outlineLevel="0" max="1025" min="32" style="59" width="8.64"/>
  </cols>
  <sheetData>
    <row r="1" customFormat="false" ht="26.25" hidden="false" customHeight="false" outlineLevel="0" collapsed="false">
      <c r="A1" s="822" t="s">
        <v>714</v>
      </c>
      <c r="B1" s="822"/>
      <c r="C1" s="822"/>
      <c r="D1" s="822"/>
      <c r="E1" s="822"/>
      <c r="F1" s="822"/>
      <c r="G1" s="822"/>
      <c r="H1" s="822"/>
      <c r="I1" s="822"/>
      <c r="J1" s="822"/>
      <c r="K1" s="822"/>
      <c r="L1" s="822"/>
      <c r="M1" s="822"/>
      <c r="N1" s="822"/>
      <c r="O1" s="822"/>
      <c r="P1" s="822"/>
      <c r="Q1" s="822"/>
      <c r="R1" s="822"/>
      <c r="S1" s="822"/>
      <c r="T1" s="823"/>
      <c r="U1" s="823"/>
      <c r="V1" s="823"/>
      <c r="W1" s="823"/>
      <c r="X1" s="823"/>
      <c r="Y1" s="823"/>
      <c r="Z1" s="823"/>
      <c r="AA1" s="823"/>
      <c r="AB1" s="824" t="s">
        <v>715</v>
      </c>
      <c r="AC1" s="824"/>
      <c r="AD1" s="825" t="n">
        <f aca="false">+Insumo_LOTE_I!J103</f>
        <v>0</v>
      </c>
      <c r="AE1" s="825"/>
    </row>
    <row r="2" customFormat="false" ht="11.25" hidden="false" customHeight="true" outlineLevel="0" collapsed="false">
      <c r="A2" s="826"/>
      <c r="B2" s="827" t="s">
        <v>716</v>
      </c>
      <c r="C2" s="828" t="s">
        <v>217</v>
      </c>
      <c r="D2" s="829" t="s">
        <v>717</v>
      </c>
      <c r="E2" s="830" t="s">
        <v>718</v>
      </c>
      <c r="F2" s="830"/>
      <c r="G2" s="830"/>
      <c r="H2" s="830"/>
      <c r="I2" s="830"/>
      <c r="J2" s="830"/>
      <c r="K2" s="830"/>
      <c r="L2" s="830"/>
      <c r="M2" s="830"/>
      <c r="N2" s="830"/>
      <c r="O2" s="830"/>
      <c r="P2" s="830"/>
      <c r="Q2" s="829" t="s">
        <v>719</v>
      </c>
      <c r="R2" s="829" t="s">
        <v>720</v>
      </c>
      <c r="S2" s="831" t="s">
        <v>721</v>
      </c>
      <c r="T2" s="832" t="s">
        <v>722</v>
      </c>
      <c r="U2" s="832"/>
      <c r="V2" s="832"/>
      <c r="W2" s="832"/>
      <c r="X2" s="832"/>
      <c r="Y2" s="832"/>
      <c r="Z2" s="832"/>
      <c r="AA2" s="832"/>
      <c r="AB2" s="832"/>
      <c r="AC2" s="832"/>
      <c r="AD2" s="832"/>
      <c r="AE2" s="832"/>
    </row>
    <row r="3" customFormat="false" ht="12" hidden="false" customHeight="false" outlineLevel="0" collapsed="false">
      <c r="A3" s="826"/>
      <c r="B3" s="826"/>
      <c r="C3" s="826"/>
      <c r="D3" s="826"/>
      <c r="E3" s="833" t="s">
        <v>723</v>
      </c>
      <c r="F3" s="833" t="s">
        <v>724</v>
      </c>
      <c r="G3" s="833" t="s">
        <v>725</v>
      </c>
      <c r="H3" s="833" t="s">
        <v>726</v>
      </c>
      <c r="I3" s="833" t="s">
        <v>727</v>
      </c>
      <c r="J3" s="833" t="s">
        <v>728</v>
      </c>
      <c r="K3" s="833" t="s">
        <v>729</v>
      </c>
      <c r="L3" s="833" t="s">
        <v>730</v>
      </c>
      <c r="M3" s="833" t="s">
        <v>731</v>
      </c>
      <c r="N3" s="833" t="s">
        <v>732</v>
      </c>
      <c r="O3" s="833" t="s">
        <v>733</v>
      </c>
      <c r="P3" s="833" t="s">
        <v>734</v>
      </c>
      <c r="Q3" s="829"/>
      <c r="R3" s="829"/>
      <c r="S3" s="831"/>
      <c r="T3" s="833" t="s">
        <v>723</v>
      </c>
      <c r="U3" s="833" t="s">
        <v>724</v>
      </c>
      <c r="V3" s="833" t="s">
        <v>725</v>
      </c>
      <c r="W3" s="833" t="s">
        <v>726</v>
      </c>
      <c r="X3" s="833" t="s">
        <v>727</v>
      </c>
      <c r="Y3" s="833" t="s">
        <v>728</v>
      </c>
      <c r="Z3" s="833" t="s">
        <v>729</v>
      </c>
      <c r="AA3" s="833" t="s">
        <v>730</v>
      </c>
      <c r="AB3" s="833" t="s">
        <v>731</v>
      </c>
      <c r="AC3" s="833" t="s">
        <v>732</v>
      </c>
      <c r="AD3" s="833" t="s">
        <v>733</v>
      </c>
      <c r="AE3" s="834" t="s">
        <v>734</v>
      </c>
    </row>
    <row r="4" customFormat="false" ht="11.25" hidden="false" customHeight="false" outlineLevel="0" collapsed="false">
      <c r="A4" s="835" t="s">
        <v>219</v>
      </c>
      <c r="B4" s="836" t="str">
        <f aca="false">+Insumo_LOTE_I!B3</f>
        <v>ÁCIDO MURIÁTICO Embalagem c/ L</v>
      </c>
      <c r="C4" s="837" t="str">
        <f aca="false">+Insumo_LOTE_I!C3</f>
        <v>L</v>
      </c>
      <c r="D4" s="838" t="n">
        <f aca="false">+Insumo_LOTE_I!D3</f>
        <v>0</v>
      </c>
      <c r="E4" s="839"/>
      <c r="F4" s="839"/>
      <c r="G4" s="839"/>
      <c r="H4" s="839"/>
      <c r="I4" s="839"/>
      <c r="J4" s="839"/>
      <c r="K4" s="839"/>
      <c r="L4" s="839"/>
      <c r="M4" s="839"/>
      <c r="N4" s="839"/>
      <c r="O4" s="839"/>
      <c r="P4" s="839"/>
      <c r="Q4" s="838" t="n">
        <f aca="false">+D4*12</f>
        <v>0</v>
      </c>
      <c r="R4" s="840" t="n">
        <f aca="false">+Q4-SUM(E4:P4)</f>
        <v>0</v>
      </c>
      <c r="S4" s="841" t="n">
        <f aca="false">+Insumos_Cotação!O11</f>
        <v>0</v>
      </c>
      <c r="T4" s="841" t="n">
        <f aca="false">+E4*$S4</f>
        <v>0</v>
      </c>
      <c r="U4" s="841" t="n">
        <f aca="false">+F4*$S4</f>
        <v>0</v>
      </c>
      <c r="V4" s="841" t="n">
        <f aca="false">+G4*$S4</f>
        <v>0</v>
      </c>
      <c r="W4" s="841" t="n">
        <f aca="false">+H4*$S4</f>
        <v>0</v>
      </c>
      <c r="X4" s="841" t="n">
        <f aca="false">+I4*$S4</f>
        <v>0</v>
      </c>
      <c r="Y4" s="841" t="n">
        <f aca="false">+J4*$S4</f>
        <v>0</v>
      </c>
      <c r="Z4" s="841" t="n">
        <f aca="false">+K4*$S4</f>
        <v>0</v>
      </c>
      <c r="AA4" s="841" t="n">
        <f aca="false">+L4*$S4</f>
        <v>0</v>
      </c>
      <c r="AB4" s="841" t="n">
        <f aca="false">+M4*$S4</f>
        <v>0</v>
      </c>
      <c r="AC4" s="841" t="n">
        <f aca="false">+N4*$S4</f>
        <v>0</v>
      </c>
      <c r="AD4" s="841" t="n">
        <f aca="false">+O4*$S4</f>
        <v>0</v>
      </c>
      <c r="AE4" s="842" t="n">
        <f aca="false">+P4*$S4</f>
        <v>0</v>
      </c>
    </row>
    <row r="5" customFormat="false" ht="11.25" hidden="false" customHeight="false" outlineLevel="0" collapsed="false">
      <c r="A5" s="835"/>
      <c r="B5" s="843" t="str">
        <f aca="false">+Insumo_LOTE_I!B4</f>
        <v>ÁGUA SANITÁRIA Embalagem c/ 1L</v>
      </c>
      <c r="C5" s="844" t="str">
        <f aca="false">+Insumo_LOTE_I!C4</f>
        <v>L</v>
      </c>
      <c r="D5" s="291" t="n">
        <f aca="false">+Insumo_LOTE_I!D4</f>
        <v>0</v>
      </c>
      <c r="E5" s="845"/>
      <c r="F5" s="845"/>
      <c r="G5" s="845"/>
      <c r="H5" s="845"/>
      <c r="I5" s="845"/>
      <c r="J5" s="845"/>
      <c r="K5" s="845"/>
      <c r="L5" s="845"/>
      <c r="M5" s="845"/>
      <c r="N5" s="845"/>
      <c r="O5" s="845"/>
      <c r="P5" s="845"/>
      <c r="Q5" s="291" t="n">
        <f aca="false">+D5*12</f>
        <v>0</v>
      </c>
      <c r="R5" s="846" t="n">
        <f aca="false">+Q5-SUM(E5:P5)</f>
        <v>0</v>
      </c>
      <c r="S5" s="847" t="n">
        <f aca="false">+Insumos_Cotação!O12</f>
        <v>0</v>
      </c>
      <c r="T5" s="847" t="n">
        <f aca="false">+E5*$S5</f>
        <v>0</v>
      </c>
      <c r="U5" s="847" t="n">
        <f aca="false">+F5*$S5</f>
        <v>0</v>
      </c>
      <c r="V5" s="847" t="n">
        <f aca="false">+G5*$S5</f>
        <v>0</v>
      </c>
      <c r="W5" s="847" t="n">
        <f aca="false">+H5*$S5</f>
        <v>0</v>
      </c>
      <c r="X5" s="847" t="n">
        <f aca="false">+I5*$S5</f>
        <v>0</v>
      </c>
      <c r="Y5" s="847" t="n">
        <f aca="false">+J5*$S5</f>
        <v>0</v>
      </c>
      <c r="Z5" s="847" t="n">
        <f aca="false">+K5*$S5</f>
        <v>0</v>
      </c>
      <c r="AA5" s="847" t="n">
        <f aca="false">+L5*$S5</f>
        <v>0</v>
      </c>
      <c r="AB5" s="847" t="n">
        <f aca="false">+M5*$S5</f>
        <v>0</v>
      </c>
      <c r="AC5" s="847" t="n">
        <f aca="false">+N5*$S5</f>
        <v>0</v>
      </c>
      <c r="AD5" s="847" t="n">
        <f aca="false">+O5*$S5</f>
        <v>0</v>
      </c>
      <c r="AE5" s="848" t="n">
        <f aca="false">+P5*$S5</f>
        <v>0</v>
      </c>
    </row>
    <row r="6" customFormat="false" ht="11.25" hidden="false" customHeight="false" outlineLevel="0" collapsed="false">
      <c r="A6" s="835"/>
      <c r="B6" s="843" t="str">
        <f aca="false">+Insumo_LOTE_I!B5</f>
        <v>ÁLCOOL 46º Embalagem c/ 1L</v>
      </c>
      <c r="C6" s="844" t="str">
        <f aca="false">+Insumo_LOTE_I!C5</f>
        <v>L</v>
      </c>
      <c r="D6" s="291" t="n">
        <f aca="false">+Insumo_LOTE_I!D5</f>
        <v>100</v>
      </c>
      <c r="E6" s="845"/>
      <c r="F6" s="845"/>
      <c r="G6" s="845"/>
      <c r="H6" s="845"/>
      <c r="I6" s="845"/>
      <c r="J6" s="845"/>
      <c r="K6" s="845"/>
      <c r="L6" s="845"/>
      <c r="M6" s="845"/>
      <c r="N6" s="845"/>
      <c r="O6" s="845"/>
      <c r="P6" s="845"/>
      <c r="Q6" s="291" t="n">
        <f aca="false">+D6*12</f>
        <v>1200</v>
      </c>
      <c r="R6" s="846" t="n">
        <f aca="false">+Q6-SUM(E6:P6)</f>
        <v>1200</v>
      </c>
      <c r="S6" s="847" t="n">
        <f aca="false">+Insumos_Cotação!O13</f>
        <v>0</v>
      </c>
      <c r="T6" s="847" t="n">
        <f aca="false">+E6*$S6</f>
        <v>0</v>
      </c>
      <c r="U6" s="847" t="n">
        <f aca="false">+F6*$S6</f>
        <v>0</v>
      </c>
      <c r="V6" s="847" t="n">
        <f aca="false">+G6*$S6</f>
        <v>0</v>
      </c>
      <c r="W6" s="847" t="n">
        <f aca="false">+H6*$S6</f>
        <v>0</v>
      </c>
      <c r="X6" s="847" t="n">
        <f aca="false">+I6*$S6</f>
        <v>0</v>
      </c>
      <c r="Y6" s="847" t="n">
        <f aca="false">+J6*$S6</f>
        <v>0</v>
      </c>
      <c r="Z6" s="847" t="n">
        <f aca="false">+K6*$S6</f>
        <v>0</v>
      </c>
      <c r="AA6" s="847" t="n">
        <f aca="false">+L6*$S6</f>
        <v>0</v>
      </c>
      <c r="AB6" s="847" t="n">
        <f aca="false">+M6*$S6</f>
        <v>0</v>
      </c>
      <c r="AC6" s="847" t="n">
        <f aca="false">+N6*$S6</f>
        <v>0</v>
      </c>
      <c r="AD6" s="847" t="n">
        <f aca="false">+O6*$S6</f>
        <v>0</v>
      </c>
      <c r="AE6" s="848" t="n">
        <f aca="false">+P6*$S6</f>
        <v>0</v>
      </c>
    </row>
    <row r="7" customFormat="false" ht="11.25" hidden="false" customHeight="false" outlineLevel="0" collapsed="false">
      <c r="A7" s="835"/>
      <c r="B7" s="843" t="str">
        <f aca="false">+Insumo_LOTE_I!B6</f>
        <v>CERA LIQ. AMARELA Embalagem c/ 18 litros</v>
      </c>
      <c r="C7" s="844" t="str">
        <f aca="false">+Insumo_LOTE_I!C6</f>
        <v>UND</v>
      </c>
      <c r="D7" s="291" t="n">
        <f aca="false">+Insumo_LOTE_I!D6</f>
        <v>0</v>
      </c>
      <c r="E7" s="845"/>
      <c r="F7" s="845"/>
      <c r="G7" s="845"/>
      <c r="H7" s="845"/>
      <c r="I7" s="845"/>
      <c r="J7" s="845"/>
      <c r="K7" s="845"/>
      <c r="L7" s="845"/>
      <c r="M7" s="845"/>
      <c r="N7" s="845"/>
      <c r="O7" s="845"/>
      <c r="P7" s="845"/>
      <c r="Q7" s="291" t="n">
        <f aca="false">+D7*12</f>
        <v>0</v>
      </c>
      <c r="R7" s="846" t="n">
        <f aca="false">+Q7-SUM(E7:P7)</f>
        <v>0</v>
      </c>
      <c r="S7" s="847" t="n">
        <f aca="false">+Insumos_Cotação!O14</f>
        <v>0</v>
      </c>
      <c r="T7" s="847" t="n">
        <f aca="false">+E7*$S7</f>
        <v>0</v>
      </c>
      <c r="U7" s="847" t="n">
        <f aca="false">+F7*$S7</f>
        <v>0</v>
      </c>
      <c r="V7" s="847" t="n">
        <f aca="false">+G7*$S7</f>
        <v>0</v>
      </c>
      <c r="W7" s="847" t="n">
        <f aca="false">+H7*$S7</f>
        <v>0</v>
      </c>
      <c r="X7" s="847" t="n">
        <f aca="false">+I7*$S7</f>
        <v>0</v>
      </c>
      <c r="Y7" s="847" t="n">
        <f aca="false">+J7*$S7</f>
        <v>0</v>
      </c>
      <c r="Z7" s="847" t="n">
        <f aca="false">+K7*$S7</f>
        <v>0</v>
      </c>
      <c r="AA7" s="847" t="n">
        <f aca="false">+L7*$S7</f>
        <v>0</v>
      </c>
      <c r="AB7" s="847" t="n">
        <f aca="false">+M7*$S7</f>
        <v>0</v>
      </c>
      <c r="AC7" s="847" t="n">
        <f aca="false">+N7*$S7</f>
        <v>0</v>
      </c>
      <c r="AD7" s="847" t="n">
        <f aca="false">+O7*$S7</f>
        <v>0</v>
      </c>
      <c r="AE7" s="848" t="n">
        <f aca="false">+P7*$S7</f>
        <v>0</v>
      </c>
    </row>
    <row r="8" customFormat="false" ht="11.25" hidden="false" customHeight="false" outlineLevel="0" collapsed="false">
      <c r="A8" s="835"/>
      <c r="B8" s="843" t="str">
        <f aca="false">+Insumo_LOTE_I!B7</f>
        <v>CERA LÍQ. INCOLOR Embalagem c/ 18 litros</v>
      </c>
      <c r="C8" s="844" t="str">
        <f aca="false">+Insumo_LOTE_I!C7</f>
        <v>UND</v>
      </c>
      <c r="D8" s="291" t="n">
        <f aca="false">+Insumo_LOTE_I!D7</f>
        <v>15</v>
      </c>
      <c r="E8" s="845"/>
      <c r="F8" s="845"/>
      <c r="G8" s="845"/>
      <c r="H8" s="845"/>
      <c r="I8" s="845"/>
      <c r="J8" s="845"/>
      <c r="K8" s="845"/>
      <c r="L8" s="845"/>
      <c r="M8" s="845"/>
      <c r="N8" s="845"/>
      <c r="O8" s="845"/>
      <c r="P8" s="845"/>
      <c r="Q8" s="291" t="n">
        <f aca="false">+D8*12</f>
        <v>180</v>
      </c>
      <c r="R8" s="846" t="n">
        <f aca="false">+Q8-SUM(E8:P8)</f>
        <v>180</v>
      </c>
      <c r="S8" s="847" t="n">
        <f aca="false">+Insumos_Cotação!O15</f>
        <v>0</v>
      </c>
      <c r="T8" s="847" t="n">
        <f aca="false">+E8*$S8</f>
        <v>0</v>
      </c>
      <c r="U8" s="847" t="n">
        <f aca="false">+F8*$S8</f>
        <v>0</v>
      </c>
      <c r="V8" s="847" t="n">
        <f aca="false">+G8*$S8</f>
        <v>0</v>
      </c>
      <c r="W8" s="847" t="n">
        <f aca="false">+H8*$S8</f>
        <v>0</v>
      </c>
      <c r="X8" s="847" t="n">
        <f aca="false">+I8*$S8</f>
        <v>0</v>
      </c>
      <c r="Y8" s="847" t="n">
        <f aca="false">+J8*$S8</f>
        <v>0</v>
      </c>
      <c r="Z8" s="847" t="n">
        <f aca="false">+K8*$S8</f>
        <v>0</v>
      </c>
      <c r="AA8" s="847" t="n">
        <f aca="false">+L8*$S8</f>
        <v>0</v>
      </c>
      <c r="AB8" s="847" t="n">
        <f aca="false">+M8*$S8</f>
        <v>0</v>
      </c>
      <c r="AC8" s="847" t="n">
        <f aca="false">+N8*$S8</f>
        <v>0</v>
      </c>
      <c r="AD8" s="847" t="n">
        <f aca="false">+O8*$S8</f>
        <v>0</v>
      </c>
      <c r="AE8" s="848" t="n">
        <f aca="false">+P8*$S8</f>
        <v>0</v>
      </c>
    </row>
    <row r="9" customFormat="false" ht="11.25" hidden="false" customHeight="false" outlineLevel="0" collapsed="false">
      <c r="A9" s="835"/>
      <c r="B9" s="843" t="str">
        <f aca="false">+Insumo_LOTE_I!B8</f>
        <v>CERA LIQ. PRETA Embalagem c/ 18 litros.</v>
      </c>
      <c r="C9" s="844" t="str">
        <f aca="false">+Insumo_LOTE_I!C8</f>
        <v>UND</v>
      </c>
      <c r="D9" s="291" t="n">
        <f aca="false">+Insumo_LOTE_I!D8</f>
        <v>2</v>
      </c>
      <c r="E9" s="845"/>
      <c r="F9" s="845"/>
      <c r="G9" s="845"/>
      <c r="H9" s="845"/>
      <c r="I9" s="845"/>
      <c r="J9" s="845"/>
      <c r="K9" s="845"/>
      <c r="L9" s="845"/>
      <c r="M9" s="845"/>
      <c r="N9" s="845"/>
      <c r="O9" s="845"/>
      <c r="P9" s="845"/>
      <c r="Q9" s="291" t="n">
        <f aca="false">+D9*12</f>
        <v>24</v>
      </c>
      <c r="R9" s="846" t="n">
        <f aca="false">+Q9-SUM(E9:P9)</f>
        <v>24</v>
      </c>
      <c r="S9" s="847" t="n">
        <f aca="false">+Insumos_Cotação!O16</f>
        <v>0</v>
      </c>
      <c r="T9" s="847" t="n">
        <f aca="false">+E9*$S9</f>
        <v>0</v>
      </c>
      <c r="U9" s="847" t="n">
        <f aca="false">+F9*$S9</f>
        <v>0</v>
      </c>
      <c r="V9" s="847" t="n">
        <f aca="false">+G9*$S9</f>
        <v>0</v>
      </c>
      <c r="W9" s="847" t="n">
        <f aca="false">+H9*$S9</f>
        <v>0</v>
      </c>
      <c r="X9" s="847" t="n">
        <f aca="false">+I9*$S9</f>
        <v>0</v>
      </c>
      <c r="Y9" s="847" t="n">
        <f aca="false">+J9*$S9</f>
        <v>0</v>
      </c>
      <c r="Z9" s="847" t="n">
        <f aca="false">+K9*$S9</f>
        <v>0</v>
      </c>
      <c r="AA9" s="847" t="n">
        <f aca="false">+L9*$S9</f>
        <v>0</v>
      </c>
      <c r="AB9" s="847" t="n">
        <f aca="false">+M9*$S9</f>
        <v>0</v>
      </c>
      <c r="AC9" s="847" t="n">
        <f aca="false">+N9*$S9</f>
        <v>0</v>
      </c>
      <c r="AD9" s="847" t="n">
        <f aca="false">+O9*$S9</f>
        <v>0</v>
      </c>
      <c r="AE9" s="848" t="n">
        <f aca="false">+P9*$S9</f>
        <v>0</v>
      </c>
    </row>
    <row r="10" customFormat="false" ht="11.25" hidden="false" customHeight="false" outlineLevel="0" collapsed="false">
      <c r="A10" s="835"/>
      <c r="B10" s="843" t="str">
        <f aca="false">+Insumo_LOTE_I!B9</f>
        <v>CERA PASTOSA (CARNAÚBA) Embalagem c/ 400gr</v>
      </c>
      <c r="C10" s="844" t="str">
        <f aca="false">+Insumo_LOTE_I!C9</f>
        <v>UND</v>
      </c>
      <c r="D10" s="291" t="n">
        <f aca="false">+Insumo_LOTE_I!D9</f>
        <v>0</v>
      </c>
      <c r="E10" s="845"/>
      <c r="F10" s="845"/>
      <c r="G10" s="845"/>
      <c r="H10" s="845"/>
      <c r="I10" s="845"/>
      <c r="J10" s="845"/>
      <c r="K10" s="845"/>
      <c r="L10" s="845"/>
      <c r="M10" s="845"/>
      <c r="N10" s="845"/>
      <c r="O10" s="845"/>
      <c r="P10" s="845"/>
      <c r="Q10" s="291" t="n">
        <f aca="false">+D10*12</f>
        <v>0</v>
      </c>
      <c r="R10" s="846" t="n">
        <f aca="false">+Q10-SUM(E10:P10)</f>
        <v>0</v>
      </c>
      <c r="S10" s="847" t="n">
        <f aca="false">+Insumos_Cotação!O17</f>
        <v>0</v>
      </c>
      <c r="T10" s="847" t="n">
        <f aca="false">+E10*$S10</f>
        <v>0</v>
      </c>
      <c r="U10" s="847" t="n">
        <f aca="false">+F10*$S10</f>
        <v>0</v>
      </c>
      <c r="V10" s="847" t="n">
        <f aca="false">+G10*$S10</f>
        <v>0</v>
      </c>
      <c r="W10" s="847" t="n">
        <f aca="false">+H10*$S10</f>
        <v>0</v>
      </c>
      <c r="X10" s="847" t="n">
        <f aca="false">+I10*$S10</f>
        <v>0</v>
      </c>
      <c r="Y10" s="847" t="n">
        <f aca="false">+J10*$S10</f>
        <v>0</v>
      </c>
      <c r="Z10" s="847" t="n">
        <f aca="false">+K10*$S10</f>
        <v>0</v>
      </c>
      <c r="AA10" s="847" t="n">
        <f aca="false">+L10*$S10</f>
        <v>0</v>
      </c>
      <c r="AB10" s="847" t="n">
        <f aca="false">+M10*$S10</f>
        <v>0</v>
      </c>
      <c r="AC10" s="847" t="n">
        <f aca="false">+N10*$S10</f>
        <v>0</v>
      </c>
      <c r="AD10" s="847" t="n">
        <f aca="false">+O10*$S10</f>
        <v>0</v>
      </c>
      <c r="AE10" s="848" t="n">
        <f aca="false">+P10*$S10</f>
        <v>0</v>
      </c>
    </row>
    <row r="11" customFormat="false" ht="11.25" hidden="false" customHeight="false" outlineLevel="0" collapsed="false">
      <c r="A11" s="835"/>
      <c r="B11" s="843" t="str">
        <f aca="false">+Insumo_LOTE_I!B10</f>
        <v>CERA - REMOVEDOR Embalagem c/ 18 litros</v>
      </c>
      <c r="C11" s="844" t="str">
        <f aca="false">+Insumo_LOTE_I!C10</f>
        <v>UND</v>
      </c>
      <c r="D11" s="291" t="n">
        <f aca="false">+Insumo_LOTE_I!D10</f>
        <v>5</v>
      </c>
      <c r="E11" s="845"/>
      <c r="F11" s="845"/>
      <c r="G11" s="845"/>
      <c r="H11" s="845"/>
      <c r="I11" s="845"/>
      <c r="J11" s="845"/>
      <c r="K11" s="845"/>
      <c r="L11" s="845"/>
      <c r="M11" s="845"/>
      <c r="N11" s="845"/>
      <c r="O11" s="845"/>
      <c r="P11" s="845"/>
      <c r="Q11" s="291" t="n">
        <f aca="false">+D11*12</f>
        <v>60</v>
      </c>
      <c r="R11" s="846" t="n">
        <f aca="false">+Q11-SUM(E11:P11)</f>
        <v>60</v>
      </c>
      <c r="S11" s="847" t="n">
        <f aca="false">+Insumos_Cotação!O18</f>
        <v>0</v>
      </c>
      <c r="T11" s="847" t="n">
        <f aca="false">+E11*$S11</f>
        <v>0</v>
      </c>
      <c r="U11" s="847" t="n">
        <f aca="false">+F11*$S11</f>
        <v>0</v>
      </c>
      <c r="V11" s="847" t="n">
        <f aca="false">+G11*$S11</f>
        <v>0</v>
      </c>
      <c r="W11" s="847" t="n">
        <f aca="false">+H11*$S11</f>
        <v>0</v>
      </c>
      <c r="X11" s="847" t="n">
        <f aca="false">+I11*$S11</f>
        <v>0</v>
      </c>
      <c r="Y11" s="847" t="n">
        <f aca="false">+J11*$S11</f>
        <v>0</v>
      </c>
      <c r="Z11" s="847" t="n">
        <f aca="false">+K11*$S11</f>
        <v>0</v>
      </c>
      <c r="AA11" s="847" t="n">
        <f aca="false">+L11*$S11</f>
        <v>0</v>
      </c>
      <c r="AB11" s="847" t="n">
        <f aca="false">+M11*$S11</f>
        <v>0</v>
      </c>
      <c r="AC11" s="847" t="n">
        <f aca="false">+N11*$S11</f>
        <v>0</v>
      </c>
      <c r="AD11" s="847" t="n">
        <f aca="false">+O11*$S11</f>
        <v>0</v>
      </c>
      <c r="AE11" s="848" t="n">
        <f aca="false">+P11*$S11</f>
        <v>0</v>
      </c>
    </row>
    <row r="12" customFormat="false" ht="11.25" hidden="false" customHeight="false" outlineLevel="0" collapsed="false">
      <c r="A12" s="835"/>
      <c r="B12" s="843" t="str">
        <f aca="false">+Insumo_LOTE_I!B11</f>
        <v>CERA VERMELHA - Embalagem c/ 750 ml</v>
      </c>
      <c r="C12" s="844" t="str">
        <f aca="false">+Insumo_LOTE_I!C11</f>
        <v>UND</v>
      </c>
      <c r="D12" s="291" t="n">
        <f aca="false">+Insumo_LOTE_I!D11</f>
        <v>0</v>
      </c>
      <c r="E12" s="845"/>
      <c r="F12" s="845"/>
      <c r="G12" s="845"/>
      <c r="H12" s="845"/>
      <c r="I12" s="845"/>
      <c r="J12" s="845"/>
      <c r="K12" s="845"/>
      <c r="L12" s="845"/>
      <c r="M12" s="845"/>
      <c r="N12" s="845"/>
      <c r="O12" s="845"/>
      <c r="P12" s="845"/>
      <c r="Q12" s="291" t="n">
        <f aca="false">+D12*12</f>
        <v>0</v>
      </c>
      <c r="R12" s="846" t="n">
        <f aca="false">+Q12-SUM(E12:P12)</f>
        <v>0</v>
      </c>
      <c r="S12" s="847" t="n">
        <f aca="false">+Insumos_Cotação!O19</f>
        <v>0</v>
      </c>
      <c r="T12" s="847" t="n">
        <f aca="false">+E12*$S12</f>
        <v>0</v>
      </c>
      <c r="U12" s="847" t="n">
        <f aca="false">+F12*$S12</f>
        <v>0</v>
      </c>
      <c r="V12" s="847" t="n">
        <f aca="false">+G12*$S12</f>
        <v>0</v>
      </c>
      <c r="W12" s="847" t="n">
        <f aca="false">+H12*$S12</f>
        <v>0</v>
      </c>
      <c r="X12" s="847" t="n">
        <f aca="false">+I12*$S12</f>
        <v>0</v>
      </c>
      <c r="Y12" s="847" t="n">
        <f aca="false">+J12*$S12</f>
        <v>0</v>
      </c>
      <c r="Z12" s="847" t="n">
        <f aca="false">+K12*$S12</f>
        <v>0</v>
      </c>
      <c r="AA12" s="847" t="n">
        <f aca="false">+L12*$S12</f>
        <v>0</v>
      </c>
      <c r="AB12" s="847" t="n">
        <f aca="false">+M12*$S12</f>
        <v>0</v>
      </c>
      <c r="AC12" s="847" t="n">
        <f aca="false">+N12*$S12</f>
        <v>0</v>
      </c>
      <c r="AD12" s="847" t="n">
        <f aca="false">+O12*$S12</f>
        <v>0</v>
      </c>
      <c r="AE12" s="848" t="n">
        <f aca="false">+P12*$S12</f>
        <v>0</v>
      </c>
    </row>
    <row r="13" customFormat="false" ht="22.5" hidden="false" customHeight="false" outlineLevel="0" collapsed="false">
      <c r="A13" s="835"/>
      <c r="B13" s="843" t="str">
        <f aca="false">+Insumo_LOTE_I!B12</f>
        <v>CERA c/auto brilho 2 em 1: base seladora e acabamento acrílico C/ 5L</v>
      </c>
      <c r="C13" s="844" t="str">
        <f aca="false">+Insumo_LOTE_I!C12</f>
        <v>UND</v>
      </c>
      <c r="D13" s="291" t="n">
        <f aca="false">+Insumo_LOTE_I!D12</f>
        <v>30</v>
      </c>
      <c r="E13" s="845"/>
      <c r="F13" s="845"/>
      <c r="G13" s="845"/>
      <c r="H13" s="845"/>
      <c r="I13" s="845"/>
      <c r="J13" s="845"/>
      <c r="K13" s="845"/>
      <c r="L13" s="845"/>
      <c r="M13" s="845"/>
      <c r="N13" s="845"/>
      <c r="O13" s="845"/>
      <c r="P13" s="845"/>
      <c r="Q13" s="291" t="n">
        <f aca="false">+D13*12</f>
        <v>360</v>
      </c>
      <c r="R13" s="846" t="n">
        <f aca="false">+Q13-SUM(E13:P13)</f>
        <v>360</v>
      </c>
      <c r="S13" s="847" t="n">
        <f aca="false">+Insumos_Cotação!O20</f>
        <v>0</v>
      </c>
      <c r="T13" s="847" t="n">
        <f aca="false">+E13*$S13</f>
        <v>0</v>
      </c>
      <c r="U13" s="847" t="n">
        <f aca="false">+F13*$S13</f>
        <v>0</v>
      </c>
      <c r="V13" s="847" t="n">
        <f aca="false">+G13*$S13</f>
        <v>0</v>
      </c>
      <c r="W13" s="847" t="n">
        <f aca="false">+H13*$S13</f>
        <v>0</v>
      </c>
      <c r="X13" s="847" t="n">
        <f aca="false">+I13*$S13</f>
        <v>0</v>
      </c>
      <c r="Y13" s="847" t="n">
        <f aca="false">+J13*$S13</f>
        <v>0</v>
      </c>
      <c r="Z13" s="847" t="n">
        <f aca="false">+K13*$S13</f>
        <v>0</v>
      </c>
      <c r="AA13" s="847" t="n">
        <f aca="false">+L13*$S13</f>
        <v>0</v>
      </c>
      <c r="AB13" s="847" t="n">
        <f aca="false">+M13*$S13</f>
        <v>0</v>
      </c>
      <c r="AC13" s="847" t="n">
        <f aca="false">+N13*$S13</f>
        <v>0</v>
      </c>
      <c r="AD13" s="847" t="n">
        <f aca="false">+O13*$S13</f>
        <v>0</v>
      </c>
      <c r="AE13" s="848" t="n">
        <f aca="false">+P13*$S13</f>
        <v>0</v>
      </c>
    </row>
    <row r="14" customFormat="false" ht="11.25" hidden="false" customHeight="false" outlineLevel="0" collapsed="false">
      <c r="A14" s="835"/>
      <c r="B14" s="843" t="str">
        <f aca="false">+Insumo_LOTE_I!B13</f>
        <v>CLORO Embalagem c/ 5 litros</v>
      </c>
      <c r="C14" s="844" t="str">
        <f aca="false">+Insumo_LOTE_I!C13</f>
        <v>UND</v>
      </c>
      <c r="D14" s="291" t="n">
        <f aca="false">+Insumo_LOTE_I!D13</f>
        <v>25</v>
      </c>
      <c r="E14" s="845"/>
      <c r="F14" s="845"/>
      <c r="G14" s="845"/>
      <c r="H14" s="845"/>
      <c r="I14" s="845"/>
      <c r="J14" s="845"/>
      <c r="K14" s="845"/>
      <c r="L14" s="845"/>
      <c r="M14" s="845"/>
      <c r="N14" s="845"/>
      <c r="O14" s="845"/>
      <c r="P14" s="845"/>
      <c r="Q14" s="291" t="n">
        <f aca="false">+D14*12</f>
        <v>300</v>
      </c>
      <c r="R14" s="846" t="n">
        <f aca="false">+Q14-SUM(E14:P14)</f>
        <v>300</v>
      </c>
      <c r="S14" s="847" t="n">
        <f aca="false">+Insumos_Cotação!O21</f>
        <v>0</v>
      </c>
      <c r="T14" s="847" t="n">
        <f aca="false">+E14*$S14</f>
        <v>0</v>
      </c>
      <c r="U14" s="847" t="n">
        <f aca="false">+F14*$S14</f>
        <v>0</v>
      </c>
      <c r="V14" s="847" t="n">
        <f aca="false">+G14*$S14</f>
        <v>0</v>
      </c>
      <c r="W14" s="847" t="n">
        <f aca="false">+H14*$S14</f>
        <v>0</v>
      </c>
      <c r="X14" s="847" t="n">
        <f aca="false">+I14*$S14</f>
        <v>0</v>
      </c>
      <c r="Y14" s="847" t="n">
        <f aca="false">+J14*$S14</f>
        <v>0</v>
      </c>
      <c r="Z14" s="847" t="n">
        <f aca="false">+K14*$S14</f>
        <v>0</v>
      </c>
      <c r="AA14" s="847" t="n">
        <f aca="false">+L14*$S14</f>
        <v>0</v>
      </c>
      <c r="AB14" s="847" t="n">
        <f aca="false">+M14*$S14</f>
        <v>0</v>
      </c>
      <c r="AC14" s="847" t="n">
        <f aca="false">+N14*$S14</f>
        <v>0</v>
      </c>
      <c r="AD14" s="847" t="n">
        <f aca="false">+O14*$S14</f>
        <v>0</v>
      </c>
      <c r="AE14" s="848" t="n">
        <f aca="false">+P14*$S14</f>
        <v>0</v>
      </c>
    </row>
    <row r="15" customFormat="false" ht="11.25" hidden="false" customHeight="false" outlineLevel="0" collapsed="false">
      <c r="A15" s="835"/>
      <c r="B15" s="843" t="str">
        <f aca="false">+Insumo_LOTE_I!B14</f>
        <v>CREOLINA 750ml</v>
      </c>
      <c r="C15" s="844" t="str">
        <f aca="false">+Insumo_LOTE_I!C14</f>
        <v>UND</v>
      </c>
      <c r="D15" s="291" t="n">
        <f aca="false">+Insumo_LOTE_I!D14</f>
        <v>12</v>
      </c>
      <c r="E15" s="845"/>
      <c r="F15" s="845"/>
      <c r="G15" s="845"/>
      <c r="H15" s="845"/>
      <c r="I15" s="845"/>
      <c r="J15" s="845"/>
      <c r="K15" s="845"/>
      <c r="L15" s="845"/>
      <c r="M15" s="845"/>
      <c r="N15" s="845"/>
      <c r="O15" s="845"/>
      <c r="P15" s="845"/>
      <c r="Q15" s="291" t="n">
        <f aca="false">+D15*12</f>
        <v>144</v>
      </c>
      <c r="R15" s="846" t="n">
        <f aca="false">+Q15-SUM(E15:P15)</f>
        <v>144</v>
      </c>
      <c r="S15" s="847" t="n">
        <f aca="false">+Insumos_Cotação!O22</f>
        <v>0</v>
      </c>
      <c r="T15" s="847" t="n">
        <f aca="false">+E15*$S15</f>
        <v>0</v>
      </c>
      <c r="U15" s="847" t="n">
        <f aca="false">+F15*$S15</f>
        <v>0</v>
      </c>
      <c r="V15" s="847" t="n">
        <f aca="false">+G15*$S15</f>
        <v>0</v>
      </c>
      <c r="W15" s="847" t="n">
        <f aca="false">+H15*$S15</f>
        <v>0</v>
      </c>
      <c r="X15" s="847" t="n">
        <f aca="false">+I15*$S15</f>
        <v>0</v>
      </c>
      <c r="Y15" s="847" t="n">
        <f aca="false">+J15*$S15</f>
        <v>0</v>
      </c>
      <c r="Z15" s="847" t="n">
        <f aca="false">+K15*$S15</f>
        <v>0</v>
      </c>
      <c r="AA15" s="847" t="n">
        <f aca="false">+L15*$S15</f>
        <v>0</v>
      </c>
      <c r="AB15" s="847" t="n">
        <f aca="false">+M15*$S15</f>
        <v>0</v>
      </c>
      <c r="AC15" s="847" t="n">
        <f aca="false">+N15*$S15</f>
        <v>0</v>
      </c>
      <c r="AD15" s="847" t="n">
        <f aca="false">+O15*$S15</f>
        <v>0</v>
      </c>
      <c r="AE15" s="848" t="n">
        <f aca="false">+P15*$S15</f>
        <v>0</v>
      </c>
    </row>
    <row r="16" customFormat="false" ht="11.25" hidden="false" customHeight="false" outlineLevel="0" collapsed="false">
      <c r="A16" s="835"/>
      <c r="B16" s="843" t="str">
        <f aca="false">+Insumo_LOTE_I!B15</f>
        <v>DESODORIZADOR DE AMBIENTE</v>
      </c>
      <c r="C16" s="844" t="str">
        <f aca="false">+Insumo_LOTE_I!C15</f>
        <v>UND</v>
      </c>
      <c r="D16" s="291" t="n">
        <f aca="false">+Insumo_LOTE_I!D15</f>
        <v>100</v>
      </c>
      <c r="E16" s="845"/>
      <c r="F16" s="845"/>
      <c r="G16" s="845"/>
      <c r="H16" s="845"/>
      <c r="I16" s="845"/>
      <c r="J16" s="845"/>
      <c r="K16" s="845"/>
      <c r="L16" s="845"/>
      <c r="M16" s="845"/>
      <c r="N16" s="845"/>
      <c r="O16" s="845"/>
      <c r="P16" s="845"/>
      <c r="Q16" s="291" t="n">
        <f aca="false">+D16*12</f>
        <v>1200</v>
      </c>
      <c r="R16" s="846" t="n">
        <f aca="false">+Q16-SUM(E16:P16)</f>
        <v>1200</v>
      </c>
      <c r="S16" s="847" t="n">
        <f aca="false">+Insumos_Cotação!O23</f>
        <v>0</v>
      </c>
      <c r="T16" s="847" t="n">
        <f aca="false">+E16*$S16</f>
        <v>0</v>
      </c>
      <c r="U16" s="847" t="n">
        <f aca="false">+F16*$S16</f>
        <v>0</v>
      </c>
      <c r="V16" s="847" t="n">
        <f aca="false">+G16*$S16</f>
        <v>0</v>
      </c>
      <c r="W16" s="847" t="n">
        <f aca="false">+H16*$S16</f>
        <v>0</v>
      </c>
      <c r="X16" s="847" t="n">
        <f aca="false">+I16*$S16</f>
        <v>0</v>
      </c>
      <c r="Y16" s="847" t="n">
        <f aca="false">+J16*$S16</f>
        <v>0</v>
      </c>
      <c r="Z16" s="847" t="n">
        <f aca="false">+K16*$S16</f>
        <v>0</v>
      </c>
      <c r="AA16" s="847" t="n">
        <f aca="false">+L16*$S16</f>
        <v>0</v>
      </c>
      <c r="AB16" s="847" t="n">
        <f aca="false">+M16*$S16</f>
        <v>0</v>
      </c>
      <c r="AC16" s="847" t="n">
        <f aca="false">+N16*$S16</f>
        <v>0</v>
      </c>
      <c r="AD16" s="847" t="n">
        <f aca="false">+O16*$S16</f>
        <v>0</v>
      </c>
      <c r="AE16" s="848" t="n">
        <f aca="false">+P16*$S16</f>
        <v>0</v>
      </c>
    </row>
    <row r="17" customFormat="false" ht="11.25" hidden="false" customHeight="false" outlineLevel="0" collapsed="false">
      <c r="A17" s="835"/>
      <c r="B17" s="843" t="str">
        <f aca="false">+Insumo_LOTE_I!B16</f>
        <v>DESINFETANTE Embalagem c/ 18 litros</v>
      </c>
      <c r="C17" s="844" t="str">
        <f aca="false">+Insumo_LOTE_I!C16</f>
        <v>UND</v>
      </c>
      <c r="D17" s="291" t="n">
        <f aca="false">+Insumo_LOTE_I!D16</f>
        <v>10</v>
      </c>
      <c r="E17" s="845"/>
      <c r="F17" s="845"/>
      <c r="G17" s="845"/>
      <c r="H17" s="845"/>
      <c r="I17" s="845"/>
      <c r="J17" s="845"/>
      <c r="K17" s="845"/>
      <c r="L17" s="845"/>
      <c r="M17" s="845"/>
      <c r="N17" s="845"/>
      <c r="O17" s="845"/>
      <c r="P17" s="845"/>
      <c r="Q17" s="291" t="n">
        <f aca="false">+D17*12</f>
        <v>120</v>
      </c>
      <c r="R17" s="846" t="n">
        <f aca="false">+Q17-SUM(E17:P17)</f>
        <v>120</v>
      </c>
      <c r="S17" s="847" t="n">
        <f aca="false">+Insumos_Cotação!O24</f>
        <v>0</v>
      </c>
      <c r="T17" s="847" t="n">
        <f aca="false">+E17*$S17</f>
        <v>0</v>
      </c>
      <c r="U17" s="847" t="n">
        <f aca="false">+F17*$S17</f>
        <v>0</v>
      </c>
      <c r="V17" s="847" t="n">
        <f aca="false">+G17*$S17</f>
        <v>0</v>
      </c>
      <c r="W17" s="847" t="n">
        <f aca="false">+H17*$S17</f>
        <v>0</v>
      </c>
      <c r="X17" s="847" t="n">
        <f aca="false">+I17*$S17</f>
        <v>0</v>
      </c>
      <c r="Y17" s="847" t="n">
        <f aca="false">+J17*$S17</f>
        <v>0</v>
      </c>
      <c r="Z17" s="847" t="n">
        <f aca="false">+K17*$S17</f>
        <v>0</v>
      </c>
      <c r="AA17" s="847" t="n">
        <f aca="false">+L17*$S17</f>
        <v>0</v>
      </c>
      <c r="AB17" s="847" t="n">
        <f aca="false">+M17*$S17</f>
        <v>0</v>
      </c>
      <c r="AC17" s="847" t="n">
        <f aca="false">+N17*$S17</f>
        <v>0</v>
      </c>
      <c r="AD17" s="847" t="n">
        <f aca="false">+O17*$S17</f>
        <v>0</v>
      </c>
      <c r="AE17" s="848" t="n">
        <f aca="false">+P17*$S17</f>
        <v>0</v>
      </c>
    </row>
    <row r="18" customFormat="false" ht="22.5" hidden="false" customHeight="false" outlineLevel="0" collapsed="false">
      <c r="A18" s="835"/>
      <c r="B18" s="843" t="str">
        <f aca="false">+Insumo_LOTE_I!B17</f>
        <v>DETERGENTE limpador perfumado RM 10 - Embalagem c/ 5l</v>
      </c>
      <c r="C18" s="844" t="str">
        <f aca="false">+Insumo_LOTE_I!C17</f>
        <v>UND</v>
      </c>
      <c r="D18" s="291" t="n">
        <f aca="false">+Insumo_LOTE_I!D17</f>
        <v>50</v>
      </c>
      <c r="E18" s="845"/>
      <c r="F18" s="845"/>
      <c r="G18" s="845"/>
      <c r="H18" s="845"/>
      <c r="I18" s="845"/>
      <c r="J18" s="845"/>
      <c r="K18" s="845"/>
      <c r="L18" s="845"/>
      <c r="M18" s="845"/>
      <c r="N18" s="845"/>
      <c r="O18" s="845"/>
      <c r="P18" s="845"/>
      <c r="Q18" s="291" t="n">
        <f aca="false">+D18*12</f>
        <v>600</v>
      </c>
      <c r="R18" s="846" t="n">
        <f aca="false">+Q18-SUM(E18:P18)</f>
        <v>600</v>
      </c>
      <c r="S18" s="847" t="n">
        <f aca="false">+Insumos_Cotação!O25</f>
        <v>0</v>
      </c>
      <c r="T18" s="847" t="n">
        <f aca="false">+E18*$S18</f>
        <v>0</v>
      </c>
      <c r="U18" s="847" t="n">
        <f aca="false">+F18*$S18</f>
        <v>0</v>
      </c>
      <c r="V18" s="847" t="n">
        <f aca="false">+G18*$S18</f>
        <v>0</v>
      </c>
      <c r="W18" s="847" t="n">
        <f aca="false">+H18*$S18</f>
        <v>0</v>
      </c>
      <c r="X18" s="847" t="n">
        <f aca="false">+I18*$S18</f>
        <v>0</v>
      </c>
      <c r="Y18" s="847" t="n">
        <f aca="false">+J18*$S18</f>
        <v>0</v>
      </c>
      <c r="Z18" s="847" t="n">
        <f aca="false">+K18*$S18</f>
        <v>0</v>
      </c>
      <c r="AA18" s="847" t="n">
        <f aca="false">+L18*$S18</f>
        <v>0</v>
      </c>
      <c r="AB18" s="847" t="n">
        <f aca="false">+M18*$S18</f>
        <v>0</v>
      </c>
      <c r="AC18" s="847" t="n">
        <f aca="false">+N18*$S18</f>
        <v>0</v>
      </c>
      <c r="AD18" s="847" t="n">
        <f aca="false">+O18*$S18</f>
        <v>0</v>
      </c>
      <c r="AE18" s="848" t="n">
        <f aca="false">+P18*$S18</f>
        <v>0</v>
      </c>
    </row>
    <row r="19" customFormat="false" ht="11.25" hidden="false" customHeight="false" outlineLevel="0" collapsed="false">
      <c r="A19" s="835"/>
      <c r="B19" s="843" t="str">
        <f aca="false">+Insumo_LOTE_I!B18</f>
        <v>DETERGENTE Embalagem c/ 500ml</v>
      </c>
      <c r="C19" s="844" t="str">
        <f aca="false">+Insumo_LOTE_I!C18</f>
        <v>UND</v>
      </c>
      <c r="D19" s="291" t="n">
        <f aca="false">+Insumo_LOTE_I!D18</f>
        <v>80</v>
      </c>
      <c r="E19" s="845"/>
      <c r="F19" s="845"/>
      <c r="G19" s="845"/>
      <c r="H19" s="845"/>
      <c r="I19" s="845"/>
      <c r="J19" s="845"/>
      <c r="K19" s="845"/>
      <c r="L19" s="845"/>
      <c r="M19" s="845"/>
      <c r="N19" s="845"/>
      <c r="O19" s="845"/>
      <c r="P19" s="845"/>
      <c r="Q19" s="291" t="n">
        <f aca="false">+D19*12</f>
        <v>960</v>
      </c>
      <c r="R19" s="846" t="n">
        <f aca="false">+Q19-SUM(E19:P19)</f>
        <v>960</v>
      </c>
      <c r="S19" s="847" t="n">
        <f aca="false">+Insumos_Cotação!O26</f>
        <v>0</v>
      </c>
      <c r="T19" s="847" t="n">
        <f aca="false">+E19*$S19</f>
        <v>0</v>
      </c>
      <c r="U19" s="847" t="n">
        <f aca="false">+F19*$S19</f>
        <v>0</v>
      </c>
      <c r="V19" s="847" t="n">
        <f aca="false">+G19*$S19</f>
        <v>0</v>
      </c>
      <c r="W19" s="847" t="n">
        <f aca="false">+H19*$S19</f>
        <v>0</v>
      </c>
      <c r="X19" s="847" t="n">
        <f aca="false">+I19*$S19</f>
        <v>0</v>
      </c>
      <c r="Y19" s="847" t="n">
        <f aca="false">+J19*$S19</f>
        <v>0</v>
      </c>
      <c r="Z19" s="847" t="n">
        <f aca="false">+K19*$S19</f>
        <v>0</v>
      </c>
      <c r="AA19" s="847" t="n">
        <f aca="false">+L19*$S19</f>
        <v>0</v>
      </c>
      <c r="AB19" s="847" t="n">
        <f aca="false">+M19*$S19</f>
        <v>0</v>
      </c>
      <c r="AC19" s="847" t="n">
        <f aca="false">+N19*$S19</f>
        <v>0</v>
      </c>
      <c r="AD19" s="847" t="n">
        <f aca="false">+O19*$S19</f>
        <v>0</v>
      </c>
      <c r="AE19" s="848" t="n">
        <f aca="false">+P19*$S19</f>
        <v>0</v>
      </c>
    </row>
    <row r="20" customFormat="false" ht="11.25" hidden="false" customHeight="false" outlineLevel="0" collapsed="false">
      <c r="A20" s="835"/>
      <c r="B20" s="843" t="str">
        <f aca="false">+Insumo_LOTE_I!B19</f>
        <v>DETERGENTE Embalagem c/ 5l</v>
      </c>
      <c r="C20" s="844" t="str">
        <f aca="false">+Insumo_LOTE_I!C19</f>
        <v>UND</v>
      </c>
      <c r="D20" s="291" t="n">
        <f aca="false">+Insumo_LOTE_I!D19</f>
        <v>10</v>
      </c>
      <c r="E20" s="845"/>
      <c r="F20" s="845"/>
      <c r="G20" s="845"/>
      <c r="H20" s="845"/>
      <c r="I20" s="845"/>
      <c r="J20" s="845"/>
      <c r="K20" s="845"/>
      <c r="L20" s="845"/>
      <c r="M20" s="845"/>
      <c r="N20" s="845"/>
      <c r="O20" s="845"/>
      <c r="P20" s="845"/>
      <c r="Q20" s="291" t="n">
        <f aca="false">+D20*12</f>
        <v>120</v>
      </c>
      <c r="R20" s="846" t="n">
        <f aca="false">+Q20-SUM(E20:P20)</f>
        <v>120</v>
      </c>
      <c r="S20" s="847" t="n">
        <f aca="false">+Insumos_Cotação!O27</f>
        <v>0</v>
      </c>
      <c r="T20" s="847" t="n">
        <f aca="false">+E20*$S20</f>
        <v>0</v>
      </c>
      <c r="U20" s="847" t="n">
        <f aca="false">+F20*$S20</f>
        <v>0</v>
      </c>
      <c r="V20" s="847" t="n">
        <f aca="false">+G20*$S20</f>
        <v>0</v>
      </c>
      <c r="W20" s="847" t="n">
        <f aca="false">+H20*$S20</f>
        <v>0</v>
      </c>
      <c r="X20" s="847" t="n">
        <f aca="false">+I20*$S20</f>
        <v>0</v>
      </c>
      <c r="Y20" s="847" t="n">
        <f aca="false">+J20*$S20</f>
        <v>0</v>
      </c>
      <c r="Z20" s="847" t="n">
        <f aca="false">+K20*$S20</f>
        <v>0</v>
      </c>
      <c r="AA20" s="847" t="n">
        <f aca="false">+L20*$S20</f>
        <v>0</v>
      </c>
      <c r="AB20" s="847" t="n">
        <f aca="false">+M20*$S20</f>
        <v>0</v>
      </c>
      <c r="AC20" s="847" t="n">
        <f aca="false">+N20*$S20</f>
        <v>0</v>
      </c>
      <c r="AD20" s="847" t="n">
        <f aca="false">+O20*$S20</f>
        <v>0</v>
      </c>
      <c r="AE20" s="848" t="n">
        <f aca="false">+P20*$S20</f>
        <v>0</v>
      </c>
    </row>
    <row r="21" customFormat="false" ht="11.25" hidden="false" customHeight="false" outlineLevel="0" collapsed="false">
      <c r="A21" s="835"/>
      <c r="B21" s="843" t="str">
        <f aca="false">+Insumo_LOTE_I!B20</f>
        <v>DETERGENTE LÍQUIDO Embalagem c/ 5l</v>
      </c>
      <c r="C21" s="844" t="str">
        <f aca="false">+Insumo_LOTE_I!C20</f>
        <v>UND</v>
      </c>
      <c r="D21" s="291" t="n">
        <f aca="false">+Insumo_LOTE_I!D20</f>
        <v>0</v>
      </c>
      <c r="E21" s="845"/>
      <c r="F21" s="845"/>
      <c r="G21" s="845"/>
      <c r="H21" s="845"/>
      <c r="I21" s="845"/>
      <c r="J21" s="845"/>
      <c r="K21" s="845"/>
      <c r="L21" s="845"/>
      <c r="M21" s="845"/>
      <c r="N21" s="845"/>
      <c r="O21" s="845"/>
      <c r="P21" s="845"/>
      <c r="Q21" s="291" t="n">
        <f aca="false">+D21*12</f>
        <v>0</v>
      </c>
      <c r="R21" s="846" t="n">
        <f aca="false">+Q21-SUM(E21:P21)</f>
        <v>0</v>
      </c>
      <c r="S21" s="847" t="n">
        <f aca="false">+Insumos_Cotação!O28</f>
        <v>0</v>
      </c>
      <c r="T21" s="847" t="n">
        <f aca="false">+E21*$S21</f>
        <v>0</v>
      </c>
      <c r="U21" s="847" t="n">
        <f aca="false">+F21*$S21</f>
        <v>0</v>
      </c>
      <c r="V21" s="847" t="n">
        <f aca="false">+G21*$S21</f>
        <v>0</v>
      </c>
      <c r="W21" s="847" t="n">
        <f aca="false">+H21*$S21</f>
        <v>0</v>
      </c>
      <c r="X21" s="847" t="n">
        <f aca="false">+I21*$S21</f>
        <v>0</v>
      </c>
      <c r="Y21" s="847" t="n">
        <f aca="false">+J21*$S21</f>
        <v>0</v>
      </c>
      <c r="Z21" s="847" t="n">
        <f aca="false">+K21*$S21</f>
        <v>0</v>
      </c>
      <c r="AA21" s="847" t="n">
        <f aca="false">+L21*$S21</f>
        <v>0</v>
      </c>
      <c r="AB21" s="847" t="n">
        <f aca="false">+M21*$S21</f>
        <v>0</v>
      </c>
      <c r="AC21" s="847" t="n">
        <f aca="false">+N21*$S21</f>
        <v>0</v>
      </c>
      <c r="AD21" s="847" t="n">
        <f aca="false">+O21*$S21</f>
        <v>0</v>
      </c>
      <c r="AE21" s="848" t="n">
        <f aca="false">+P21*$S21</f>
        <v>0</v>
      </c>
    </row>
    <row r="22" customFormat="false" ht="11.25" hidden="false" customHeight="false" outlineLevel="0" collapsed="false">
      <c r="A22" s="835"/>
      <c r="B22" s="843" t="str">
        <f aca="false">+Insumo_LOTE_I!B21</f>
        <v>ESPONJA DE LIMPEZA</v>
      </c>
      <c r="C22" s="844" t="str">
        <f aca="false">+Insumo_LOTE_I!C21</f>
        <v>UND</v>
      </c>
      <c r="D22" s="291" t="n">
        <f aca="false">+Insumo_LOTE_I!D21</f>
        <v>200</v>
      </c>
      <c r="E22" s="845"/>
      <c r="F22" s="845"/>
      <c r="G22" s="845"/>
      <c r="H22" s="845"/>
      <c r="I22" s="845"/>
      <c r="J22" s="845"/>
      <c r="K22" s="845"/>
      <c r="L22" s="845"/>
      <c r="M22" s="845"/>
      <c r="N22" s="845"/>
      <c r="O22" s="845"/>
      <c r="P22" s="845"/>
      <c r="Q22" s="291" t="n">
        <f aca="false">+D22*12</f>
        <v>2400</v>
      </c>
      <c r="R22" s="846" t="n">
        <f aca="false">+Q22-SUM(E22:P22)</f>
        <v>2400</v>
      </c>
      <c r="S22" s="847" t="n">
        <f aca="false">+Insumos_Cotação!O29</f>
        <v>0</v>
      </c>
      <c r="T22" s="847" t="n">
        <f aca="false">+E22*$S22</f>
        <v>0</v>
      </c>
      <c r="U22" s="847" t="n">
        <f aca="false">+F22*$S22</f>
        <v>0</v>
      </c>
      <c r="V22" s="847" t="n">
        <f aca="false">+G22*$S22</f>
        <v>0</v>
      </c>
      <c r="W22" s="847" t="n">
        <f aca="false">+H22*$S22</f>
        <v>0</v>
      </c>
      <c r="X22" s="847" t="n">
        <f aca="false">+I22*$S22</f>
        <v>0</v>
      </c>
      <c r="Y22" s="847" t="n">
        <f aca="false">+J22*$S22</f>
        <v>0</v>
      </c>
      <c r="Z22" s="847" t="n">
        <f aca="false">+K22*$S22</f>
        <v>0</v>
      </c>
      <c r="AA22" s="847" t="n">
        <f aca="false">+L22*$S22</f>
        <v>0</v>
      </c>
      <c r="AB22" s="847" t="n">
        <f aca="false">+M22*$S22</f>
        <v>0</v>
      </c>
      <c r="AC22" s="847" t="n">
        <f aca="false">+N22*$S22</f>
        <v>0</v>
      </c>
      <c r="AD22" s="847" t="n">
        <f aca="false">+O22*$S22</f>
        <v>0</v>
      </c>
      <c r="AE22" s="848" t="n">
        <f aca="false">+P22*$S22</f>
        <v>0</v>
      </c>
    </row>
    <row r="23" customFormat="false" ht="11.25" hidden="false" customHeight="false" outlineLevel="0" collapsed="false">
      <c r="A23" s="835"/>
      <c r="B23" s="843" t="str">
        <f aca="false">+Insumo_LOTE_I!B22</f>
        <v>FLANELA 30 x 40 cm UND.</v>
      </c>
      <c r="C23" s="844" t="str">
        <f aca="false">+Insumo_LOTE_I!C22</f>
        <v>UND</v>
      </c>
      <c r="D23" s="291" t="n">
        <f aca="false">+Insumo_LOTE_I!D22</f>
        <v>200</v>
      </c>
      <c r="E23" s="845"/>
      <c r="F23" s="845"/>
      <c r="G23" s="845"/>
      <c r="H23" s="845"/>
      <c r="I23" s="845"/>
      <c r="J23" s="845"/>
      <c r="K23" s="845"/>
      <c r="L23" s="845"/>
      <c r="M23" s="845"/>
      <c r="N23" s="845"/>
      <c r="O23" s="845"/>
      <c r="P23" s="845"/>
      <c r="Q23" s="291" t="n">
        <f aca="false">+D23*12</f>
        <v>2400</v>
      </c>
      <c r="R23" s="846" t="n">
        <f aca="false">+Q23-SUM(E23:P23)</f>
        <v>2400</v>
      </c>
      <c r="S23" s="847" t="n">
        <f aca="false">+Insumos_Cotação!O30</f>
        <v>0</v>
      </c>
      <c r="T23" s="847" t="n">
        <f aca="false">+E23*$S23</f>
        <v>0</v>
      </c>
      <c r="U23" s="847" t="n">
        <f aca="false">+F23*$S23</f>
        <v>0</v>
      </c>
      <c r="V23" s="847" t="n">
        <f aca="false">+G23*$S23</f>
        <v>0</v>
      </c>
      <c r="W23" s="847" t="n">
        <f aca="false">+H23*$S23</f>
        <v>0</v>
      </c>
      <c r="X23" s="847" t="n">
        <f aca="false">+I23*$S23</f>
        <v>0</v>
      </c>
      <c r="Y23" s="847" t="n">
        <f aca="false">+J23*$S23</f>
        <v>0</v>
      </c>
      <c r="Z23" s="847" t="n">
        <f aca="false">+K23*$S23</f>
        <v>0</v>
      </c>
      <c r="AA23" s="847" t="n">
        <f aca="false">+L23*$S23</f>
        <v>0</v>
      </c>
      <c r="AB23" s="847" t="n">
        <f aca="false">+M23*$S23</f>
        <v>0</v>
      </c>
      <c r="AC23" s="847" t="n">
        <f aca="false">+N23*$S23</f>
        <v>0</v>
      </c>
      <c r="AD23" s="847" t="n">
        <f aca="false">+O23*$S23</f>
        <v>0</v>
      </c>
      <c r="AE23" s="848" t="n">
        <f aca="false">+P23*$S23</f>
        <v>0</v>
      </c>
    </row>
    <row r="24" customFormat="false" ht="11.25" hidden="false" customHeight="false" outlineLevel="0" collapsed="false">
      <c r="A24" s="835"/>
      <c r="B24" s="843" t="str">
        <f aca="false">+Insumo_LOTE_I!B23</f>
        <v>INSETICIDA AEROSOL (MULTIUSO) Embalagem c/ 300ml</v>
      </c>
      <c r="C24" s="844" t="str">
        <f aca="false">+Insumo_LOTE_I!C23</f>
        <v>UND</v>
      </c>
      <c r="D24" s="291" t="n">
        <f aca="false">+Insumo_LOTE_I!D23</f>
        <v>90</v>
      </c>
      <c r="E24" s="845"/>
      <c r="F24" s="845"/>
      <c r="G24" s="845"/>
      <c r="H24" s="845"/>
      <c r="I24" s="845"/>
      <c r="J24" s="845"/>
      <c r="K24" s="845"/>
      <c r="L24" s="845"/>
      <c r="M24" s="845"/>
      <c r="N24" s="845"/>
      <c r="O24" s="845"/>
      <c r="P24" s="845"/>
      <c r="Q24" s="291" t="n">
        <f aca="false">+D24*12</f>
        <v>1080</v>
      </c>
      <c r="R24" s="846" t="n">
        <f aca="false">+Q24-SUM(E24:P24)</f>
        <v>1080</v>
      </c>
      <c r="S24" s="847" t="n">
        <f aca="false">+Insumos_Cotação!O31</f>
        <v>0</v>
      </c>
      <c r="T24" s="847" t="n">
        <f aca="false">+E24*$S24</f>
        <v>0</v>
      </c>
      <c r="U24" s="847" t="n">
        <f aca="false">+F24*$S24</f>
        <v>0</v>
      </c>
      <c r="V24" s="847" t="n">
        <f aca="false">+G24*$S24</f>
        <v>0</v>
      </c>
      <c r="W24" s="847" t="n">
        <f aca="false">+H24*$S24</f>
        <v>0</v>
      </c>
      <c r="X24" s="847" t="n">
        <f aca="false">+I24*$S24</f>
        <v>0</v>
      </c>
      <c r="Y24" s="847" t="n">
        <f aca="false">+J24*$S24</f>
        <v>0</v>
      </c>
      <c r="Z24" s="847" t="n">
        <f aca="false">+K24*$S24</f>
        <v>0</v>
      </c>
      <c r="AA24" s="847" t="n">
        <f aca="false">+L24*$S24</f>
        <v>0</v>
      </c>
      <c r="AB24" s="847" t="n">
        <f aca="false">+M24*$S24</f>
        <v>0</v>
      </c>
      <c r="AC24" s="847" t="n">
        <f aca="false">+N24*$S24</f>
        <v>0</v>
      </c>
      <c r="AD24" s="847" t="n">
        <f aca="false">+O24*$S24</f>
        <v>0</v>
      </c>
      <c r="AE24" s="848" t="n">
        <f aca="false">+P24*$S24</f>
        <v>0</v>
      </c>
    </row>
    <row r="25" customFormat="false" ht="11.25" hidden="false" customHeight="false" outlineLevel="0" collapsed="false">
      <c r="A25" s="835"/>
      <c r="B25" s="843" t="str">
        <f aca="false">+Insumo_LOTE_I!B24</f>
        <v>LÃ DE AÇO Embalagem c/ 8 UND</v>
      </c>
      <c r="C25" s="844" t="str">
        <f aca="false">+Insumo_LOTE_I!C24</f>
        <v>UND</v>
      </c>
      <c r="D25" s="291" t="n">
        <f aca="false">+Insumo_LOTE_I!D24</f>
        <v>50</v>
      </c>
      <c r="E25" s="845"/>
      <c r="F25" s="845"/>
      <c r="G25" s="845"/>
      <c r="H25" s="845"/>
      <c r="I25" s="845"/>
      <c r="J25" s="845"/>
      <c r="K25" s="845"/>
      <c r="L25" s="845"/>
      <c r="M25" s="845"/>
      <c r="N25" s="845"/>
      <c r="O25" s="845"/>
      <c r="P25" s="845"/>
      <c r="Q25" s="291" t="n">
        <f aca="false">+D25*12</f>
        <v>600</v>
      </c>
      <c r="R25" s="846" t="n">
        <f aca="false">+Q25-SUM(E25:P25)</f>
        <v>600</v>
      </c>
      <c r="S25" s="847" t="n">
        <f aca="false">+Insumos_Cotação!O32</f>
        <v>0</v>
      </c>
      <c r="T25" s="847" t="n">
        <f aca="false">+E25*$S25</f>
        <v>0</v>
      </c>
      <c r="U25" s="847" t="n">
        <f aca="false">+F25*$S25</f>
        <v>0</v>
      </c>
      <c r="V25" s="847" t="n">
        <f aca="false">+G25*$S25</f>
        <v>0</v>
      </c>
      <c r="W25" s="847" t="n">
        <f aca="false">+H25*$S25</f>
        <v>0</v>
      </c>
      <c r="X25" s="847" t="n">
        <f aca="false">+I25*$S25</f>
        <v>0</v>
      </c>
      <c r="Y25" s="847" t="n">
        <f aca="false">+J25*$S25</f>
        <v>0</v>
      </c>
      <c r="Z25" s="847" t="n">
        <f aca="false">+K25*$S25</f>
        <v>0</v>
      </c>
      <c r="AA25" s="847" t="n">
        <f aca="false">+L25*$S25</f>
        <v>0</v>
      </c>
      <c r="AB25" s="847" t="n">
        <f aca="false">+M25*$S25</f>
        <v>0</v>
      </c>
      <c r="AC25" s="847" t="n">
        <f aca="false">+N25*$S25</f>
        <v>0</v>
      </c>
      <c r="AD25" s="847" t="n">
        <f aca="false">+O25*$S25</f>
        <v>0</v>
      </c>
      <c r="AE25" s="848" t="n">
        <f aca="false">+P25*$S25</f>
        <v>0</v>
      </c>
    </row>
    <row r="26" customFormat="false" ht="11.25" hidden="false" customHeight="false" outlineLevel="0" collapsed="false">
      <c r="A26" s="835"/>
      <c r="B26" s="843" t="str">
        <f aca="false">+Insumo_LOTE_I!B25</f>
        <v>LIMPA VIDROS Embalagem c/ 500 ml</v>
      </c>
      <c r="C26" s="844" t="str">
        <f aca="false">+Insumo_LOTE_I!C25</f>
        <v>UND</v>
      </c>
      <c r="D26" s="291" t="n">
        <f aca="false">+Insumo_LOTE_I!D25</f>
        <v>10</v>
      </c>
      <c r="E26" s="845"/>
      <c r="F26" s="845"/>
      <c r="G26" s="845"/>
      <c r="H26" s="845"/>
      <c r="I26" s="845"/>
      <c r="J26" s="845"/>
      <c r="K26" s="845"/>
      <c r="L26" s="845"/>
      <c r="M26" s="845"/>
      <c r="N26" s="845"/>
      <c r="O26" s="845"/>
      <c r="P26" s="845"/>
      <c r="Q26" s="291" t="n">
        <f aca="false">+D26*12</f>
        <v>120</v>
      </c>
      <c r="R26" s="846" t="n">
        <f aca="false">+Q26-SUM(E26:P26)</f>
        <v>120</v>
      </c>
      <c r="S26" s="847" t="n">
        <f aca="false">+Insumos_Cotação!O33</f>
        <v>0</v>
      </c>
      <c r="T26" s="847" t="n">
        <f aca="false">+E26*$S26</f>
        <v>0</v>
      </c>
      <c r="U26" s="847" t="n">
        <f aca="false">+F26*$S26</f>
        <v>0</v>
      </c>
      <c r="V26" s="847" t="n">
        <f aca="false">+G26*$S26</f>
        <v>0</v>
      </c>
      <c r="W26" s="847" t="n">
        <f aca="false">+H26*$S26</f>
        <v>0</v>
      </c>
      <c r="X26" s="847" t="n">
        <f aca="false">+I26*$S26</f>
        <v>0</v>
      </c>
      <c r="Y26" s="847" t="n">
        <f aca="false">+J26*$S26</f>
        <v>0</v>
      </c>
      <c r="Z26" s="847" t="n">
        <f aca="false">+K26*$S26</f>
        <v>0</v>
      </c>
      <c r="AA26" s="847" t="n">
        <f aca="false">+L26*$S26</f>
        <v>0</v>
      </c>
      <c r="AB26" s="847" t="n">
        <f aca="false">+M26*$S26</f>
        <v>0</v>
      </c>
      <c r="AC26" s="847" t="n">
        <f aca="false">+N26*$S26</f>
        <v>0</v>
      </c>
      <c r="AD26" s="847" t="n">
        <f aca="false">+O26*$S26</f>
        <v>0</v>
      </c>
      <c r="AE26" s="848" t="n">
        <f aca="false">+P26*$S26</f>
        <v>0</v>
      </c>
    </row>
    <row r="27" customFormat="false" ht="11.25" hidden="false" customHeight="false" outlineLevel="0" collapsed="false">
      <c r="A27" s="835"/>
      <c r="B27" s="843" t="str">
        <f aca="false">+Insumo_LOTE_I!B26</f>
        <v>LIMPADOR MULTIUSO emb.500 ml</v>
      </c>
      <c r="C27" s="844" t="str">
        <f aca="false">+Insumo_LOTE_I!C26</f>
        <v>UND</v>
      </c>
      <c r="D27" s="291" t="n">
        <f aca="false">+Insumo_LOTE_I!D26</f>
        <v>100</v>
      </c>
      <c r="E27" s="845"/>
      <c r="F27" s="845"/>
      <c r="G27" s="845"/>
      <c r="H27" s="845"/>
      <c r="I27" s="845"/>
      <c r="J27" s="845"/>
      <c r="K27" s="845"/>
      <c r="L27" s="845"/>
      <c r="M27" s="845"/>
      <c r="N27" s="845"/>
      <c r="O27" s="845"/>
      <c r="P27" s="845"/>
      <c r="Q27" s="291" t="n">
        <f aca="false">+D27*12</f>
        <v>1200</v>
      </c>
      <c r="R27" s="846" t="n">
        <f aca="false">+Q27-SUM(E27:P27)</f>
        <v>1200</v>
      </c>
      <c r="S27" s="847" t="n">
        <f aca="false">+Insumos_Cotação!O34</f>
        <v>0</v>
      </c>
      <c r="T27" s="847" t="n">
        <f aca="false">+E27*$S27</f>
        <v>0</v>
      </c>
      <c r="U27" s="847" t="n">
        <f aca="false">+F27*$S27</f>
        <v>0</v>
      </c>
      <c r="V27" s="847" t="n">
        <f aca="false">+G27*$S27</f>
        <v>0</v>
      </c>
      <c r="W27" s="847" t="n">
        <f aca="false">+H27*$S27</f>
        <v>0</v>
      </c>
      <c r="X27" s="847" t="n">
        <f aca="false">+I27*$S27</f>
        <v>0</v>
      </c>
      <c r="Y27" s="847" t="n">
        <f aca="false">+J27*$S27</f>
        <v>0</v>
      </c>
      <c r="Z27" s="847" t="n">
        <f aca="false">+K27*$S27</f>
        <v>0</v>
      </c>
      <c r="AA27" s="847" t="n">
        <f aca="false">+L27*$S27</f>
        <v>0</v>
      </c>
      <c r="AB27" s="847" t="n">
        <f aca="false">+M27*$S27</f>
        <v>0</v>
      </c>
      <c r="AC27" s="847" t="n">
        <f aca="false">+N27*$S27</f>
        <v>0</v>
      </c>
      <c r="AD27" s="847" t="n">
        <f aca="false">+O27*$S27</f>
        <v>0</v>
      </c>
      <c r="AE27" s="848" t="n">
        <f aca="false">+P27*$S27</f>
        <v>0</v>
      </c>
    </row>
    <row r="28" customFormat="false" ht="11.25" hidden="false" customHeight="false" outlineLevel="0" collapsed="false">
      <c r="A28" s="835"/>
      <c r="B28" s="843" t="str">
        <f aca="false">+Insumo_LOTE_I!B27</f>
        <v>LUSTRA MÓVEL Frasco 200 ml</v>
      </c>
      <c r="C28" s="844" t="str">
        <f aca="false">+Insumo_LOTE_I!C27</f>
        <v>UND</v>
      </c>
      <c r="D28" s="291" t="n">
        <f aca="false">+Insumo_LOTE_I!D27</f>
        <v>90</v>
      </c>
      <c r="E28" s="845"/>
      <c r="F28" s="845"/>
      <c r="G28" s="845"/>
      <c r="H28" s="845"/>
      <c r="I28" s="845"/>
      <c r="J28" s="845"/>
      <c r="K28" s="845"/>
      <c r="L28" s="845"/>
      <c r="M28" s="845"/>
      <c r="N28" s="845"/>
      <c r="O28" s="845"/>
      <c r="P28" s="845"/>
      <c r="Q28" s="291" t="n">
        <f aca="false">+D28*12</f>
        <v>1080</v>
      </c>
      <c r="R28" s="846" t="n">
        <f aca="false">+Q28-SUM(E28:P28)</f>
        <v>1080</v>
      </c>
      <c r="S28" s="847" t="n">
        <f aca="false">+Insumos_Cotação!O35</f>
        <v>0</v>
      </c>
      <c r="T28" s="847" t="n">
        <f aca="false">+E28*$S28</f>
        <v>0</v>
      </c>
      <c r="U28" s="847" t="n">
        <f aca="false">+F28*$S28</f>
        <v>0</v>
      </c>
      <c r="V28" s="847" t="n">
        <f aca="false">+G28*$S28</f>
        <v>0</v>
      </c>
      <c r="W28" s="847" t="n">
        <f aca="false">+H28*$S28</f>
        <v>0</v>
      </c>
      <c r="X28" s="847" t="n">
        <f aca="false">+I28*$S28</f>
        <v>0</v>
      </c>
      <c r="Y28" s="847" t="n">
        <f aca="false">+J28*$S28</f>
        <v>0</v>
      </c>
      <c r="Z28" s="847" t="n">
        <f aca="false">+K28*$S28</f>
        <v>0</v>
      </c>
      <c r="AA28" s="847" t="n">
        <f aca="false">+L28*$S28</f>
        <v>0</v>
      </c>
      <c r="AB28" s="847" t="n">
        <f aca="false">+M28*$S28</f>
        <v>0</v>
      </c>
      <c r="AC28" s="847" t="n">
        <f aca="false">+N28*$S28</f>
        <v>0</v>
      </c>
      <c r="AD28" s="847" t="n">
        <f aca="false">+O28*$S28</f>
        <v>0</v>
      </c>
      <c r="AE28" s="848" t="n">
        <f aca="false">+P28*$S28</f>
        <v>0</v>
      </c>
    </row>
    <row r="29" customFormat="false" ht="11.25" hidden="false" customHeight="false" outlineLevel="0" collapsed="false">
      <c r="A29" s="835"/>
      <c r="B29" s="843" t="str">
        <f aca="false">+Insumo_LOTE_I!B28</f>
        <v>PALHA DE AÇO FINA (fardo)</v>
      </c>
      <c r="C29" s="844" t="str">
        <f aca="false">+Insumo_LOTE_I!C28</f>
        <v>PCT</v>
      </c>
      <c r="D29" s="291" t="n">
        <f aca="false">+Insumo_LOTE_I!D28</f>
        <v>30</v>
      </c>
      <c r="E29" s="845"/>
      <c r="F29" s="845"/>
      <c r="G29" s="845"/>
      <c r="H29" s="845"/>
      <c r="I29" s="845"/>
      <c r="J29" s="845"/>
      <c r="K29" s="845"/>
      <c r="L29" s="845"/>
      <c r="M29" s="845"/>
      <c r="N29" s="845"/>
      <c r="O29" s="845"/>
      <c r="P29" s="845"/>
      <c r="Q29" s="291" t="n">
        <f aca="false">+D29*12</f>
        <v>360</v>
      </c>
      <c r="R29" s="846" t="n">
        <f aca="false">+Q29-SUM(E29:P29)</f>
        <v>360</v>
      </c>
      <c r="S29" s="847" t="n">
        <f aca="false">+Insumos_Cotação!O36</f>
        <v>0</v>
      </c>
      <c r="T29" s="847" t="n">
        <f aca="false">+E29*$S29</f>
        <v>0</v>
      </c>
      <c r="U29" s="847" t="n">
        <f aca="false">+F29*$S29</f>
        <v>0</v>
      </c>
      <c r="V29" s="847" t="n">
        <f aca="false">+G29*$S29</f>
        <v>0</v>
      </c>
      <c r="W29" s="847" t="n">
        <f aca="false">+H29*$S29</f>
        <v>0</v>
      </c>
      <c r="X29" s="847" t="n">
        <f aca="false">+I29*$S29</f>
        <v>0</v>
      </c>
      <c r="Y29" s="847" t="n">
        <f aca="false">+J29*$S29</f>
        <v>0</v>
      </c>
      <c r="Z29" s="847" t="n">
        <f aca="false">+K29*$S29</f>
        <v>0</v>
      </c>
      <c r="AA29" s="847" t="n">
        <f aca="false">+L29*$S29</f>
        <v>0</v>
      </c>
      <c r="AB29" s="847" t="n">
        <f aca="false">+M29*$S29</f>
        <v>0</v>
      </c>
      <c r="AC29" s="847" t="n">
        <f aca="false">+N29*$S29</f>
        <v>0</v>
      </c>
      <c r="AD29" s="847" t="n">
        <f aca="false">+O29*$S29</f>
        <v>0</v>
      </c>
      <c r="AE29" s="848" t="n">
        <f aca="false">+P29*$S29</f>
        <v>0</v>
      </c>
    </row>
    <row r="30" customFormat="false" ht="11.25" hidden="false" customHeight="false" outlineLevel="0" collapsed="false">
      <c r="A30" s="835"/>
      <c r="B30" s="843" t="str">
        <f aca="false">+Insumo_LOTE_I!B29</f>
        <v>PANO DE CHÃO alvejado</v>
      </c>
      <c r="C30" s="844" t="str">
        <f aca="false">+Insumo_LOTE_I!C29</f>
        <v>UND</v>
      </c>
      <c r="D30" s="291" t="n">
        <f aca="false">+Insumo_LOTE_I!D29</f>
        <v>500</v>
      </c>
      <c r="E30" s="845"/>
      <c r="F30" s="845"/>
      <c r="G30" s="845"/>
      <c r="H30" s="845"/>
      <c r="I30" s="845"/>
      <c r="J30" s="845"/>
      <c r="K30" s="845"/>
      <c r="L30" s="845"/>
      <c r="M30" s="845"/>
      <c r="N30" s="845"/>
      <c r="O30" s="845"/>
      <c r="P30" s="845"/>
      <c r="Q30" s="291" t="n">
        <f aca="false">+D30*12</f>
        <v>6000</v>
      </c>
      <c r="R30" s="846" t="n">
        <f aca="false">+Q30-SUM(E30:P30)</f>
        <v>6000</v>
      </c>
      <c r="S30" s="847" t="n">
        <f aca="false">+Insumos_Cotação!O37</f>
        <v>0</v>
      </c>
      <c r="T30" s="847" t="n">
        <f aca="false">+E30*$S30</f>
        <v>0</v>
      </c>
      <c r="U30" s="847" t="n">
        <f aca="false">+F30*$S30</f>
        <v>0</v>
      </c>
      <c r="V30" s="847" t="n">
        <f aca="false">+G30*$S30</f>
        <v>0</v>
      </c>
      <c r="W30" s="847" t="n">
        <f aca="false">+H30*$S30</f>
        <v>0</v>
      </c>
      <c r="X30" s="847" t="n">
        <f aca="false">+I30*$S30</f>
        <v>0</v>
      </c>
      <c r="Y30" s="847" t="n">
        <f aca="false">+J30*$S30</f>
        <v>0</v>
      </c>
      <c r="Z30" s="847" t="n">
        <f aca="false">+K30*$S30</f>
        <v>0</v>
      </c>
      <c r="AA30" s="847" t="n">
        <f aca="false">+L30*$S30</f>
        <v>0</v>
      </c>
      <c r="AB30" s="847" t="n">
        <f aca="false">+M30*$S30</f>
        <v>0</v>
      </c>
      <c r="AC30" s="847" t="n">
        <f aca="false">+N30*$S30</f>
        <v>0</v>
      </c>
      <c r="AD30" s="847" t="n">
        <f aca="false">+O30*$S30</f>
        <v>0</v>
      </c>
      <c r="AE30" s="848" t="n">
        <f aca="false">+P30*$S30</f>
        <v>0</v>
      </c>
    </row>
    <row r="31" customFormat="false" ht="11.25" hidden="false" customHeight="false" outlineLevel="0" collapsed="false">
      <c r="A31" s="835"/>
      <c r="B31" s="843" t="str">
        <f aca="false">+Insumo_LOTE_I!B30</f>
        <v>PANO DE PIA</v>
      </c>
      <c r="C31" s="844" t="str">
        <f aca="false">+Insumo_LOTE_I!C30</f>
        <v>PCT</v>
      </c>
      <c r="D31" s="291" t="n">
        <f aca="false">+Insumo_LOTE_I!D30</f>
        <v>50</v>
      </c>
      <c r="E31" s="845"/>
      <c r="F31" s="845"/>
      <c r="G31" s="845"/>
      <c r="H31" s="845"/>
      <c r="I31" s="845"/>
      <c r="J31" s="845"/>
      <c r="K31" s="845"/>
      <c r="L31" s="845"/>
      <c r="M31" s="845"/>
      <c r="N31" s="845"/>
      <c r="O31" s="845"/>
      <c r="P31" s="845"/>
      <c r="Q31" s="291" t="n">
        <f aca="false">+D31*12</f>
        <v>600</v>
      </c>
      <c r="R31" s="846" t="n">
        <f aca="false">+Q31-SUM(E31:P31)</f>
        <v>600</v>
      </c>
      <c r="S31" s="847" t="n">
        <f aca="false">+Insumos_Cotação!O38</f>
        <v>0</v>
      </c>
      <c r="T31" s="847" t="n">
        <f aca="false">+E31*$S31</f>
        <v>0</v>
      </c>
      <c r="U31" s="847" t="n">
        <f aca="false">+F31*$S31</f>
        <v>0</v>
      </c>
      <c r="V31" s="847" t="n">
        <f aca="false">+G31*$S31</f>
        <v>0</v>
      </c>
      <c r="W31" s="847" t="n">
        <f aca="false">+H31*$S31</f>
        <v>0</v>
      </c>
      <c r="X31" s="847" t="n">
        <f aca="false">+I31*$S31</f>
        <v>0</v>
      </c>
      <c r="Y31" s="847" t="n">
        <f aca="false">+J31*$S31</f>
        <v>0</v>
      </c>
      <c r="Z31" s="847" t="n">
        <f aca="false">+K31*$S31</f>
        <v>0</v>
      </c>
      <c r="AA31" s="847" t="n">
        <f aca="false">+L31*$S31</f>
        <v>0</v>
      </c>
      <c r="AB31" s="847" t="n">
        <f aca="false">+M31*$S31</f>
        <v>0</v>
      </c>
      <c r="AC31" s="847" t="n">
        <f aca="false">+N31*$S31</f>
        <v>0</v>
      </c>
      <c r="AD31" s="847" t="n">
        <f aca="false">+O31*$S31</f>
        <v>0</v>
      </c>
      <c r="AE31" s="848" t="n">
        <f aca="false">+P31*$S31</f>
        <v>0</v>
      </c>
    </row>
    <row r="32" customFormat="false" ht="11.25" hidden="false" customHeight="false" outlineLevel="0" collapsed="false">
      <c r="A32" s="835"/>
      <c r="B32" s="843" t="str">
        <f aca="false">+Insumo_LOTE_I!B31</f>
        <v>PANO MULTIUSO (pct c/ 5 und)</v>
      </c>
      <c r="C32" s="844" t="str">
        <f aca="false">+Insumo_LOTE_I!C31</f>
        <v>PCT</v>
      </c>
      <c r="D32" s="291" t="n">
        <f aca="false">+Insumo_LOTE_I!D31</f>
        <v>20</v>
      </c>
      <c r="E32" s="845"/>
      <c r="F32" s="845"/>
      <c r="G32" s="845"/>
      <c r="H32" s="845"/>
      <c r="I32" s="845"/>
      <c r="J32" s="845"/>
      <c r="K32" s="845"/>
      <c r="L32" s="845"/>
      <c r="M32" s="845"/>
      <c r="N32" s="845"/>
      <c r="O32" s="845"/>
      <c r="P32" s="845"/>
      <c r="Q32" s="291" t="n">
        <f aca="false">+D32*12</f>
        <v>240</v>
      </c>
      <c r="R32" s="846" t="n">
        <f aca="false">+Q32-SUM(E32:P32)</f>
        <v>240</v>
      </c>
      <c r="S32" s="847" t="n">
        <f aca="false">+Insumos_Cotação!O39</f>
        <v>0</v>
      </c>
      <c r="T32" s="847" t="n">
        <f aca="false">+E32*$S32</f>
        <v>0</v>
      </c>
      <c r="U32" s="847" t="n">
        <f aca="false">+F32*$S32</f>
        <v>0</v>
      </c>
      <c r="V32" s="847" t="n">
        <f aca="false">+G32*$S32</f>
        <v>0</v>
      </c>
      <c r="W32" s="847" t="n">
        <f aca="false">+H32*$S32</f>
        <v>0</v>
      </c>
      <c r="X32" s="847" t="n">
        <f aca="false">+I32*$S32</f>
        <v>0</v>
      </c>
      <c r="Y32" s="847" t="n">
        <f aca="false">+J32*$S32</f>
        <v>0</v>
      </c>
      <c r="Z32" s="847" t="n">
        <f aca="false">+K32*$S32</f>
        <v>0</v>
      </c>
      <c r="AA32" s="847" t="n">
        <f aca="false">+L32*$S32</f>
        <v>0</v>
      </c>
      <c r="AB32" s="847" t="n">
        <f aca="false">+M32*$S32</f>
        <v>0</v>
      </c>
      <c r="AC32" s="847" t="n">
        <f aca="false">+N32*$S32</f>
        <v>0</v>
      </c>
      <c r="AD32" s="847" t="n">
        <f aca="false">+O32*$S32</f>
        <v>0</v>
      </c>
      <c r="AE32" s="848" t="n">
        <f aca="false">+P32*$S32</f>
        <v>0</v>
      </c>
    </row>
    <row r="33" customFormat="false" ht="11.25" hidden="false" customHeight="false" outlineLevel="0" collapsed="false">
      <c r="A33" s="835"/>
      <c r="B33" s="843" t="str">
        <f aca="false">+Insumo_LOTE_I!B32</f>
        <v>PASTA PARA LIMPEZA Embalagem c/ 500g</v>
      </c>
      <c r="C33" s="844" t="str">
        <f aca="false">+Insumo_LOTE_I!C32</f>
        <v>UND</v>
      </c>
      <c r="D33" s="291" t="n">
        <f aca="false">+Insumo_LOTE_I!D32</f>
        <v>70</v>
      </c>
      <c r="E33" s="845"/>
      <c r="F33" s="845"/>
      <c r="G33" s="845"/>
      <c r="H33" s="845"/>
      <c r="I33" s="845"/>
      <c r="J33" s="845"/>
      <c r="K33" s="845"/>
      <c r="L33" s="845"/>
      <c r="M33" s="845"/>
      <c r="N33" s="845"/>
      <c r="O33" s="845"/>
      <c r="P33" s="845"/>
      <c r="Q33" s="291" t="n">
        <f aca="false">+D33*12</f>
        <v>840</v>
      </c>
      <c r="R33" s="846" t="n">
        <f aca="false">+Q33-SUM(E33:P33)</f>
        <v>840</v>
      </c>
      <c r="S33" s="847" t="n">
        <f aca="false">+Insumos_Cotação!O40</f>
        <v>0</v>
      </c>
      <c r="T33" s="847" t="n">
        <f aca="false">+E33*$S33</f>
        <v>0</v>
      </c>
      <c r="U33" s="847" t="n">
        <f aca="false">+F33*$S33</f>
        <v>0</v>
      </c>
      <c r="V33" s="847" t="n">
        <f aca="false">+G33*$S33</f>
        <v>0</v>
      </c>
      <c r="W33" s="847" t="n">
        <f aca="false">+H33*$S33</f>
        <v>0</v>
      </c>
      <c r="X33" s="847" t="n">
        <f aca="false">+I33*$S33</f>
        <v>0</v>
      </c>
      <c r="Y33" s="847" t="n">
        <f aca="false">+J33*$S33</f>
        <v>0</v>
      </c>
      <c r="Z33" s="847" t="n">
        <f aca="false">+K33*$S33</f>
        <v>0</v>
      </c>
      <c r="AA33" s="847" t="n">
        <f aca="false">+L33*$S33</f>
        <v>0</v>
      </c>
      <c r="AB33" s="847" t="n">
        <f aca="false">+M33*$S33</f>
        <v>0</v>
      </c>
      <c r="AC33" s="847" t="n">
        <f aca="false">+N33*$S33</f>
        <v>0</v>
      </c>
      <c r="AD33" s="847" t="n">
        <f aca="false">+O33*$S33</f>
        <v>0</v>
      </c>
      <c r="AE33" s="848" t="n">
        <f aca="false">+P33*$S33</f>
        <v>0</v>
      </c>
    </row>
    <row r="34" customFormat="false" ht="11.25" hidden="false" customHeight="false" outlineLevel="0" collapsed="false">
      <c r="A34" s="835"/>
      <c r="B34" s="843" t="str">
        <f aca="false">+Insumo_LOTE_I!B33</f>
        <v>PASTA SAPONÁCEA  Embalagem c/ 300g</v>
      </c>
      <c r="C34" s="844" t="str">
        <f aca="false">+Insumo_LOTE_I!C33</f>
        <v>KG</v>
      </c>
      <c r="D34" s="291" t="n">
        <f aca="false">+Insumo_LOTE_I!D33</f>
        <v>50</v>
      </c>
      <c r="E34" s="845"/>
      <c r="F34" s="845"/>
      <c r="G34" s="845"/>
      <c r="H34" s="845"/>
      <c r="I34" s="845"/>
      <c r="J34" s="845"/>
      <c r="K34" s="845"/>
      <c r="L34" s="845"/>
      <c r="M34" s="845"/>
      <c r="N34" s="845"/>
      <c r="O34" s="845"/>
      <c r="P34" s="845"/>
      <c r="Q34" s="291" t="n">
        <f aca="false">+D34*12</f>
        <v>600</v>
      </c>
      <c r="R34" s="846" t="n">
        <f aca="false">+Q34-SUM(E34:P34)</f>
        <v>600</v>
      </c>
      <c r="S34" s="847" t="n">
        <f aca="false">+Insumos_Cotação!O41</f>
        <v>0</v>
      </c>
      <c r="T34" s="847" t="n">
        <f aca="false">+E34*$S34</f>
        <v>0</v>
      </c>
      <c r="U34" s="847" t="n">
        <f aca="false">+F34*$S34</f>
        <v>0</v>
      </c>
      <c r="V34" s="847" t="n">
        <f aca="false">+G34*$S34</f>
        <v>0</v>
      </c>
      <c r="W34" s="847" t="n">
        <f aca="false">+H34*$S34</f>
        <v>0</v>
      </c>
      <c r="X34" s="847" t="n">
        <f aca="false">+I34*$S34</f>
        <v>0</v>
      </c>
      <c r="Y34" s="847" t="n">
        <f aca="false">+J34*$S34</f>
        <v>0</v>
      </c>
      <c r="Z34" s="847" t="n">
        <f aca="false">+K34*$S34</f>
        <v>0</v>
      </c>
      <c r="AA34" s="847" t="n">
        <f aca="false">+L34*$S34</f>
        <v>0</v>
      </c>
      <c r="AB34" s="847" t="n">
        <f aca="false">+M34*$S34</f>
        <v>0</v>
      </c>
      <c r="AC34" s="847" t="n">
        <f aca="false">+N34*$S34</f>
        <v>0</v>
      </c>
      <c r="AD34" s="847" t="n">
        <f aca="false">+O34*$S34</f>
        <v>0</v>
      </c>
      <c r="AE34" s="848" t="n">
        <f aca="false">+P34*$S34</f>
        <v>0</v>
      </c>
    </row>
    <row r="35" customFormat="false" ht="11.25" hidden="false" customHeight="false" outlineLevel="0" collapsed="false">
      <c r="A35" s="835"/>
      <c r="B35" s="843" t="str">
        <f aca="false">+Insumo_LOTE_I!B34</f>
        <v>PEDRA SANITÁRIA 20g</v>
      </c>
      <c r="C35" s="844" t="str">
        <f aca="false">+Insumo_LOTE_I!C34</f>
        <v>UND</v>
      </c>
      <c r="D35" s="291" t="n">
        <f aca="false">+Insumo_LOTE_I!D34</f>
        <v>400</v>
      </c>
      <c r="E35" s="845"/>
      <c r="F35" s="845"/>
      <c r="G35" s="845"/>
      <c r="H35" s="845"/>
      <c r="I35" s="845"/>
      <c r="J35" s="845"/>
      <c r="K35" s="845"/>
      <c r="L35" s="845"/>
      <c r="M35" s="845"/>
      <c r="N35" s="845"/>
      <c r="O35" s="845"/>
      <c r="P35" s="845"/>
      <c r="Q35" s="291" t="n">
        <f aca="false">+D35*12</f>
        <v>4800</v>
      </c>
      <c r="R35" s="846" t="n">
        <f aca="false">+Q35-SUM(E35:P35)</f>
        <v>4800</v>
      </c>
      <c r="S35" s="847" t="n">
        <f aca="false">+Insumos_Cotação!O42</f>
        <v>0</v>
      </c>
      <c r="T35" s="847" t="n">
        <f aca="false">+E35*$S35</f>
        <v>0</v>
      </c>
      <c r="U35" s="847" t="n">
        <f aca="false">+F35*$S35</f>
        <v>0</v>
      </c>
      <c r="V35" s="847" t="n">
        <f aca="false">+G35*$S35</f>
        <v>0</v>
      </c>
      <c r="W35" s="847" t="n">
        <f aca="false">+H35*$S35</f>
        <v>0</v>
      </c>
      <c r="X35" s="847" t="n">
        <f aca="false">+I35*$S35</f>
        <v>0</v>
      </c>
      <c r="Y35" s="847" t="n">
        <f aca="false">+J35*$S35</f>
        <v>0</v>
      </c>
      <c r="Z35" s="847" t="n">
        <f aca="false">+K35*$S35</f>
        <v>0</v>
      </c>
      <c r="AA35" s="847" t="n">
        <f aca="false">+L35*$S35</f>
        <v>0</v>
      </c>
      <c r="AB35" s="847" t="n">
        <f aca="false">+M35*$S35</f>
        <v>0</v>
      </c>
      <c r="AC35" s="847" t="n">
        <f aca="false">+N35*$S35</f>
        <v>0</v>
      </c>
      <c r="AD35" s="847" t="n">
        <f aca="false">+O35*$S35</f>
        <v>0</v>
      </c>
      <c r="AE35" s="848" t="n">
        <f aca="false">+P35*$S35</f>
        <v>0</v>
      </c>
    </row>
    <row r="36" customFormat="false" ht="11.25" hidden="false" customHeight="false" outlineLevel="0" collapsed="false">
      <c r="A36" s="835"/>
      <c r="B36" s="843" t="str">
        <f aca="false">+Insumo_LOTE_I!B35</f>
        <v>POLIDOR DE METAIS Embalagem c/ 200 ml</v>
      </c>
      <c r="C36" s="844" t="str">
        <f aca="false">+Insumo_LOTE_I!C35</f>
        <v>UND</v>
      </c>
      <c r="D36" s="291" t="n">
        <f aca="false">+Insumo_LOTE_I!D35</f>
        <v>20</v>
      </c>
      <c r="E36" s="845"/>
      <c r="F36" s="845"/>
      <c r="G36" s="845"/>
      <c r="H36" s="845"/>
      <c r="I36" s="845"/>
      <c r="J36" s="845"/>
      <c r="K36" s="845"/>
      <c r="L36" s="845"/>
      <c r="M36" s="845"/>
      <c r="N36" s="845"/>
      <c r="O36" s="845"/>
      <c r="P36" s="845"/>
      <c r="Q36" s="291" t="n">
        <f aca="false">+D36*12</f>
        <v>240</v>
      </c>
      <c r="R36" s="846" t="n">
        <f aca="false">+Q36-SUM(E36:P36)</f>
        <v>240</v>
      </c>
      <c r="S36" s="847" t="n">
        <f aca="false">+Insumos_Cotação!O43</f>
        <v>0</v>
      </c>
      <c r="T36" s="847" t="n">
        <f aca="false">+E36*$S36</f>
        <v>0</v>
      </c>
      <c r="U36" s="847" t="n">
        <f aca="false">+F36*$S36</f>
        <v>0</v>
      </c>
      <c r="V36" s="847" t="n">
        <f aca="false">+G36*$S36</f>
        <v>0</v>
      </c>
      <c r="W36" s="847" t="n">
        <f aca="false">+H36*$S36</f>
        <v>0</v>
      </c>
      <c r="X36" s="847" t="n">
        <f aca="false">+I36*$S36</f>
        <v>0</v>
      </c>
      <c r="Y36" s="847" t="n">
        <f aca="false">+J36*$S36</f>
        <v>0</v>
      </c>
      <c r="Z36" s="847" t="n">
        <f aca="false">+K36*$S36</f>
        <v>0</v>
      </c>
      <c r="AA36" s="847" t="n">
        <f aca="false">+L36*$S36</f>
        <v>0</v>
      </c>
      <c r="AB36" s="847" t="n">
        <f aca="false">+M36*$S36</f>
        <v>0</v>
      </c>
      <c r="AC36" s="847" t="n">
        <f aca="false">+N36*$S36</f>
        <v>0</v>
      </c>
      <c r="AD36" s="847" t="n">
        <f aca="false">+O36*$S36</f>
        <v>0</v>
      </c>
      <c r="AE36" s="848" t="n">
        <f aca="false">+P36*$S36</f>
        <v>0</v>
      </c>
    </row>
    <row r="37" customFormat="false" ht="11.25" hidden="false" customHeight="false" outlineLevel="0" collapsed="false">
      <c r="A37" s="835"/>
      <c r="B37" s="843" t="str">
        <f aca="false">+Insumo_LOTE_I!B36</f>
        <v>QUEROSENE Embalagem c/ 1L</v>
      </c>
      <c r="C37" s="844" t="str">
        <f aca="false">+Insumo_LOTE_I!C36</f>
        <v>L</v>
      </c>
      <c r="D37" s="291" t="n">
        <f aca="false">+Insumo_LOTE_I!D36</f>
        <v>0</v>
      </c>
      <c r="E37" s="845"/>
      <c r="F37" s="845"/>
      <c r="G37" s="845"/>
      <c r="H37" s="845"/>
      <c r="I37" s="845"/>
      <c r="J37" s="845"/>
      <c r="K37" s="845"/>
      <c r="L37" s="845"/>
      <c r="M37" s="845"/>
      <c r="N37" s="845"/>
      <c r="O37" s="845"/>
      <c r="P37" s="845"/>
      <c r="Q37" s="291" t="n">
        <f aca="false">+D37*12</f>
        <v>0</v>
      </c>
      <c r="R37" s="846" t="n">
        <f aca="false">+Q37-SUM(E37:P37)</f>
        <v>0</v>
      </c>
      <c r="S37" s="847" t="n">
        <f aca="false">+Insumos_Cotação!O44</f>
        <v>0</v>
      </c>
      <c r="T37" s="847" t="n">
        <f aca="false">+E37*$S37</f>
        <v>0</v>
      </c>
      <c r="U37" s="847" t="n">
        <f aca="false">+F37*$S37</f>
        <v>0</v>
      </c>
      <c r="V37" s="847" t="n">
        <f aca="false">+G37*$S37</f>
        <v>0</v>
      </c>
      <c r="W37" s="847" t="n">
        <f aca="false">+H37*$S37</f>
        <v>0</v>
      </c>
      <c r="X37" s="847" t="n">
        <f aca="false">+I37*$S37</f>
        <v>0</v>
      </c>
      <c r="Y37" s="847" t="n">
        <f aca="false">+J37*$S37</f>
        <v>0</v>
      </c>
      <c r="Z37" s="847" t="n">
        <f aca="false">+K37*$S37</f>
        <v>0</v>
      </c>
      <c r="AA37" s="847" t="n">
        <f aca="false">+L37*$S37</f>
        <v>0</v>
      </c>
      <c r="AB37" s="847" t="n">
        <f aca="false">+M37*$S37</f>
        <v>0</v>
      </c>
      <c r="AC37" s="847" t="n">
        <f aca="false">+N37*$S37</f>
        <v>0</v>
      </c>
      <c r="AD37" s="847" t="n">
        <f aca="false">+O37*$S37</f>
        <v>0</v>
      </c>
      <c r="AE37" s="848" t="n">
        <f aca="false">+P37*$S37</f>
        <v>0</v>
      </c>
    </row>
    <row r="38" customFormat="false" ht="11.25" hidden="false" customHeight="false" outlineLevel="0" collapsed="false">
      <c r="A38" s="835"/>
      <c r="B38" s="843" t="str">
        <f aca="false">+Insumo_LOTE_I!B37</f>
        <v>REMOVEDOR Embalagem c/1L</v>
      </c>
      <c r="C38" s="844" t="str">
        <f aca="false">+Insumo_LOTE_I!C37</f>
        <v>L</v>
      </c>
      <c r="D38" s="291" t="n">
        <f aca="false">+Insumo_LOTE_I!D37</f>
        <v>8</v>
      </c>
      <c r="E38" s="845"/>
      <c r="F38" s="845"/>
      <c r="G38" s="845"/>
      <c r="H38" s="845"/>
      <c r="I38" s="845"/>
      <c r="J38" s="845"/>
      <c r="K38" s="845"/>
      <c r="L38" s="845"/>
      <c r="M38" s="845"/>
      <c r="N38" s="845"/>
      <c r="O38" s="845"/>
      <c r="P38" s="845"/>
      <c r="Q38" s="291" t="n">
        <f aca="false">+D38*12</f>
        <v>96</v>
      </c>
      <c r="R38" s="846" t="n">
        <f aca="false">+Q38-SUM(E38:P38)</f>
        <v>96</v>
      </c>
      <c r="S38" s="847" t="n">
        <f aca="false">+Insumos_Cotação!O45</f>
        <v>0</v>
      </c>
      <c r="T38" s="847" t="n">
        <f aca="false">+E38*$S38</f>
        <v>0</v>
      </c>
      <c r="U38" s="847" t="n">
        <f aca="false">+F38*$S38</f>
        <v>0</v>
      </c>
      <c r="V38" s="847" t="n">
        <f aca="false">+G38*$S38</f>
        <v>0</v>
      </c>
      <c r="W38" s="847" t="n">
        <f aca="false">+H38*$S38</f>
        <v>0</v>
      </c>
      <c r="X38" s="847" t="n">
        <f aca="false">+I38*$S38</f>
        <v>0</v>
      </c>
      <c r="Y38" s="847" t="n">
        <f aca="false">+J38*$S38</f>
        <v>0</v>
      </c>
      <c r="Z38" s="847" t="n">
        <f aca="false">+K38*$S38</f>
        <v>0</v>
      </c>
      <c r="AA38" s="847" t="n">
        <f aca="false">+L38*$S38</f>
        <v>0</v>
      </c>
      <c r="AB38" s="847" t="n">
        <f aca="false">+M38*$S38</f>
        <v>0</v>
      </c>
      <c r="AC38" s="847" t="n">
        <f aca="false">+N38*$S38</f>
        <v>0</v>
      </c>
      <c r="AD38" s="847" t="n">
        <f aca="false">+O38*$S38</f>
        <v>0</v>
      </c>
      <c r="AE38" s="848" t="n">
        <f aca="false">+P38*$S38</f>
        <v>0</v>
      </c>
    </row>
    <row r="39" customFormat="false" ht="11.25" hidden="false" customHeight="false" outlineLevel="0" collapsed="false">
      <c r="A39" s="835"/>
      <c r="B39" s="843" t="str">
        <f aca="false">+Insumo_LOTE_I!B38</f>
        <v>SABÃO DE COCO Embalagem c/ 1Kg </v>
      </c>
      <c r="C39" s="844" t="str">
        <f aca="false">+Insumo_LOTE_I!C38</f>
        <v>KG</v>
      </c>
      <c r="D39" s="291" t="n">
        <f aca="false">+Insumo_LOTE_I!D38</f>
        <v>0</v>
      </c>
      <c r="E39" s="845"/>
      <c r="F39" s="845"/>
      <c r="G39" s="845"/>
      <c r="H39" s="845"/>
      <c r="I39" s="845"/>
      <c r="J39" s="845"/>
      <c r="K39" s="845"/>
      <c r="L39" s="845"/>
      <c r="M39" s="845"/>
      <c r="N39" s="845"/>
      <c r="O39" s="845"/>
      <c r="P39" s="845"/>
      <c r="Q39" s="291" t="n">
        <f aca="false">+D39*12</f>
        <v>0</v>
      </c>
      <c r="R39" s="846" t="n">
        <f aca="false">+Q39-SUM(E39:P39)</f>
        <v>0</v>
      </c>
      <c r="S39" s="847" t="n">
        <f aca="false">+Insumos_Cotação!O46</f>
        <v>0</v>
      </c>
      <c r="T39" s="847" t="n">
        <f aca="false">+E39*$S39</f>
        <v>0</v>
      </c>
      <c r="U39" s="847" t="n">
        <f aca="false">+F39*$S39</f>
        <v>0</v>
      </c>
      <c r="V39" s="847" t="n">
        <f aca="false">+G39*$S39</f>
        <v>0</v>
      </c>
      <c r="W39" s="847" t="n">
        <f aca="false">+H39*$S39</f>
        <v>0</v>
      </c>
      <c r="X39" s="847" t="n">
        <f aca="false">+I39*$S39</f>
        <v>0</v>
      </c>
      <c r="Y39" s="847" t="n">
        <f aca="false">+J39*$S39</f>
        <v>0</v>
      </c>
      <c r="Z39" s="847" t="n">
        <f aca="false">+K39*$S39</f>
        <v>0</v>
      </c>
      <c r="AA39" s="847" t="n">
        <f aca="false">+L39*$S39</f>
        <v>0</v>
      </c>
      <c r="AB39" s="847" t="n">
        <f aca="false">+M39*$S39</f>
        <v>0</v>
      </c>
      <c r="AC39" s="847" t="n">
        <f aca="false">+N39*$S39</f>
        <v>0</v>
      </c>
      <c r="AD39" s="847" t="n">
        <f aca="false">+O39*$S39</f>
        <v>0</v>
      </c>
      <c r="AE39" s="848" t="n">
        <f aca="false">+P39*$S39</f>
        <v>0</v>
      </c>
    </row>
    <row r="40" customFormat="false" ht="11.25" hidden="false" customHeight="false" outlineLevel="0" collapsed="false">
      <c r="A40" s="835"/>
      <c r="B40" s="843" t="str">
        <f aca="false">+Insumo_LOTE_I!B39</f>
        <v>SABÃO EM BARRA Embalagem c/ 200g</v>
      </c>
      <c r="C40" s="844" t="str">
        <f aca="false">+Insumo_LOTE_I!C39</f>
        <v>UND</v>
      </c>
      <c r="D40" s="291" t="n">
        <f aca="false">+Insumo_LOTE_I!D39</f>
        <v>0</v>
      </c>
      <c r="E40" s="845"/>
      <c r="F40" s="845"/>
      <c r="G40" s="845"/>
      <c r="H40" s="845"/>
      <c r="I40" s="845"/>
      <c r="J40" s="845"/>
      <c r="K40" s="845"/>
      <c r="L40" s="845"/>
      <c r="M40" s="845"/>
      <c r="N40" s="845"/>
      <c r="O40" s="845"/>
      <c r="P40" s="845"/>
      <c r="Q40" s="291" t="n">
        <f aca="false">+D40*12</f>
        <v>0</v>
      </c>
      <c r="R40" s="846" t="n">
        <f aca="false">+Q40-SUM(E40:P40)</f>
        <v>0</v>
      </c>
      <c r="S40" s="847" t="n">
        <f aca="false">+Insumos_Cotação!O47</f>
        <v>0</v>
      </c>
      <c r="T40" s="847" t="n">
        <f aca="false">+E40*$S40</f>
        <v>0</v>
      </c>
      <c r="U40" s="847" t="n">
        <f aca="false">+F40*$S40</f>
        <v>0</v>
      </c>
      <c r="V40" s="847" t="n">
        <f aca="false">+G40*$S40</f>
        <v>0</v>
      </c>
      <c r="W40" s="847" t="n">
        <f aca="false">+H40*$S40</f>
        <v>0</v>
      </c>
      <c r="X40" s="847" t="n">
        <f aca="false">+I40*$S40</f>
        <v>0</v>
      </c>
      <c r="Y40" s="847" t="n">
        <f aca="false">+J40*$S40</f>
        <v>0</v>
      </c>
      <c r="Z40" s="847" t="n">
        <f aca="false">+K40*$S40</f>
        <v>0</v>
      </c>
      <c r="AA40" s="847" t="n">
        <f aca="false">+L40*$S40</f>
        <v>0</v>
      </c>
      <c r="AB40" s="847" t="n">
        <f aca="false">+M40*$S40</f>
        <v>0</v>
      </c>
      <c r="AC40" s="847" t="n">
        <f aca="false">+N40*$S40</f>
        <v>0</v>
      </c>
      <c r="AD40" s="847" t="n">
        <f aca="false">+O40*$S40</f>
        <v>0</v>
      </c>
      <c r="AE40" s="848" t="n">
        <f aca="false">+P40*$S40</f>
        <v>0</v>
      </c>
    </row>
    <row r="41" customFormat="false" ht="11.25" hidden="false" customHeight="false" outlineLevel="0" collapsed="false">
      <c r="A41" s="835"/>
      <c r="B41" s="843" t="str">
        <f aca="false">+Insumo_LOTE_I!B40</f>
        <v>SABÃO EM PÓ Embalagem c/ 1kg</v>
      </c>
      <c r="C41" s="844" t="str">
        <f aca="false">+Insumo_LOTE_I!C40</f>
        <v>PCT</v>
      </c>
      <c r="D41" s="291" t="n">
        <f aca="false">+Insumo_LOTE_I!D40</f>
        <v>0</v>
      </c>
      <c r="E41" s="845"/>
      <c r="F41" s="845"/>
      <c r="G41" s="845"/>
      <c r="H41" s="845"/>
      <c r="I41" s="845"/>
      <c r="J41" s="845"/>
      <c r="K41" s="845"/>
      <c r="L41" s="845"/>
      <c r="M41" s="845"/>
      <c r="N41" s="845"/>
      <c r="O41" s="845"/>
      <c r="P41" s="845"/>
      <c r="Q41" s="291" t="n">
        <f aca="false">+D41*12</f>
        <v>0</v>
      </c>
      <c r="R41" s="846" t="n">
        <f aca="false">+Q41-SUM(E41:P41)</f>
        <v>0</v>
      </c>
      <c r="S41" s="847" t="n">
        <f aca="false">+Insumos_Cotação!O48</f>
        <v>0</v>
      </c>
      <c r="T41" s="847" t="n">
        <f aca="false">+E41*$S41</f>
        <v>0</v>
      </c>
      <c r="U41" s="847" t="n">
        <f aca="false">+F41*$S41</f>
        <v>0</v>
      </c>
      <c r="V41" s="847" t="n">
        <f aca="false">+G41*$S41</f>
        <v>0</v>
      </c>
      <c r="W41" s="847" t="n">
        <f aca="false">+H41*$S41</f>
        <v>0</v>
      </c>
      <c r="X41" s="847" t="n">
        <f aca="false">+I41*$S41</f>
        <v>0</v>
      </c>
      <c r="Y41" s="847" t="n">
        <f aca="false">+J41*$S41</f>
        <v>0</v>
      </c>
      <c r="Z41" s="847" t="n">
        <f aca="false">+K41*$S41</f>
        <v>0</v>
      </c>
      <c r="AA41" s="847" t="n">
        <f aca="false">+L41*$S41</f>
        <v>0</v>
      </c>
      <c r="AB41" s="847" t="n">
        <f aca="false">+M41*$S41</f>
        <v>0</v>
      </c>
      <c r="AC41" s="847" t="n">
        <f aca="false">+N41*$S41</f>
        <v>0</v>
      </c>
      <c r="AD41" s="847" t="n">
        <f aca="false">+O41*$S41</f>
        <v>0</v>
      </c>
      <c r="AE41" s="848" t="n">
        <f aca="false">+P41*$S41</f>
        <v>0</v>
      </c>
    </row>
    <row r="42" customFormat="false" ht="11.25" hidden="false" customHeight="false" outlineLevel="0" collapsed="false">
      <c r="A42" s="835"/>
      <c r="B42" s="843" t="str">
        <f aca="false">+Insumo_LOTE_I!B41</f>
        <v>SABÃO PASTOSO Embalagem c/ 500g</v>
      </c>
      <c r="C42" s="844" t="str">
        <f aca="false">+Insumo_LOTE_I!C41</f>
        <v>UND</v>
      </c>
      <c r="D42" s="291" t="n">
        <f aca="false">+Insumo_LOTE_I!D41</f>
        <v>20</v>
      </c>
      <c r="E42" s="845"/>
      <c r="F42" s="845"/>
      <c r="G42" s="845"/>
      <c r="H42" s="845"/>
      <c r="I42" s="845"/>
      <c r="J42" s="845"/>
      <c r="K42" s="845"/>
      <c r="L42" s="845"/>
      <c r="M42" s="845"/>
      <c r="N42" s="845"/>
      <c r="O42" s="845"/>
      <c r="P42" s="845"/>
      <c r="Q42" s="291" t="n">
        <f aca="false">+D42*12</f>
        <v>240</v>
      </c>
      <c r="R42" s="846" t="n">
        <f aca="false">+Q42-SUM(E42:P42)</f>
        <v>240</v>
      </c>
      <c r="S42" s="847" t="n">
        <f aca="false">+Insumos_Cotação!O49</f>
        <v>0</v>
      </c>
      <c r="T42" s="847" t="n">
        <f aca="false">+E42*$S42</f>
        <v>0</v>
      </c>
      <c r="U42" s="847" t="n">
        <f aca="false">+F42*$S42</f>
        <v>0</v>
      </c>
      <c r="V42" s="847" t="n">
        <f aca="false">+G42*$S42</f>
        <v>0</v>
      </c>
      <c r="W42" s="847" t="n">
        <f aca="false">+H42*$S42</f>
        <v>0</v>
      </c>
      <c r="X42" s="847" t="n">
        <f aca="false">+I42*$S42</f>
        <v>0</v>
      </c>
      <c r="Y42" s="847" t="n">
        <f aca="false">+J42*$S42</f>
        <v>0</v>
      </c>
      <c r="Z42" s="847" t="n">
        <f aca="false">+K42*$S42</f>
        <v>0</v>
      </c>
      <c r="AA42" s="847" t="n">
        <f aca="false">+L42*$S42</f>
        <v>0</v>
      </c>
      <c r="AB42" s="847" t="n">
        <f aca="false">+M42*$S42</f>
        <v>0</v>
      </c>
      <c r="AC42" s="847" t="n">
        <f aca="false">+N42*$S42</f>
        <v>0</v>
      </c>
      <c r="AD42" s="847" t="n">
        <f aca="false">+O42*$S42</f>
        <v>0</v>
      </c>
      <c r="AE42" s="848" t="n">
        <f aca="false">+P42*$S42</f>
        <v>0</v>
      </c>
    </row>
    <row r="43" customFormat="false" ht="22.5" hidden="false" customHeight="false" outlineLevel="0" collapsed="false">
      <c r="A43" s="835"/>
      <c r="B43" s="843" t="str">
        <f aca="false">+Insumo_LOTE_I!B42</f>
        <v>SACO PLÁST. 50 LTS BRANCO INFECTANTE com identificação- Embalagem c/ 100und</v>
      </c>
      <c r="C43" s="844" t="str">
        <f aca="false">+Insumo_LOTE_I!C42</f>
        <v>PCT</v>
      </c>
      <c r="D43" s="291" t="n">
        <f aca="false">+Insumo_LOTE_I!D42</f>
        <v>1</v>
      </c>
      <c r="E43" s="845"/>
      <c r="F43" s="845"/>
      <c r="G43" s="845"/>
      <c r="H43" s="845"/>
      <c r="I43" s="845"/>
      <c r="J43" s="845"/>
      <c r="K43" s="845"/>
      <c r="L43" s="845"/>
      <c r="M43" s="845"/>
      <c r="N43" s="845"/>
      <c r="O43" s="845"/>
      <c r="P43" s="845"/>
      <c r="Q43" s="291" t="n">
        <f aca="false">+D43*12</f>
        <v>12</v>
      </c>
      <c r="R43" s="846" t="n">
        <f aca="false">+Q43-SUM(E43:P43)</f>
        <v>12</v>
      </c>
      <c r="S43" s="847" t="n">
        <f aca="false">+Insumos_Cotação!O50</f>
        <v>0</v>
      </c>
      <c r="T43" s="847" t="n">
        <f aca="false">+E43*$S43</f>
        <v>0</v>
      </c>
      <c r="U43" s="847" t="n">
        <f aca="false">+F43*$S43</f>
        <v>0</v>
      </c>
      <c r="V43" s="847" t="n">
        <f aca="false">+G43*$S43</f>
        <v>0</v>
      </c>
      <c r="W43" s="847" t="n">
        <f aca="false">+H43*$S43</f>
        <v>0</v>
      </c>
      <c r="X43" s="847" t="n">
        <f aca="false">+I43*$S43</f>
        <v>0</v>
      </c>
      <c r="Y43" s="847" t="n">
        <f aca="false">+J43*$S43</f>
        <v>0</v>
      </c>
      <c r="Z43" s="847" t="n">
        <f aca="false">+K43*$S43</f>
        <v>0</v>
      </c>
      <c r="AA43" s="847" t="n">
        <f aca="false">+L43*$S43</f>
        <v>0</v>
      </c>
      <c r="AB43" s="847" t="n">
        <f aca="false">+M43*$S43</f>
        <v>0</v>
      </c>
      <c r="AC43" s="847" t="n">
        <f aca="false">+N43*$S43</f>
        <v>0</v>
      </c>
      <c r="AD43" s="847" t="n">
        <f aca="false">+O43*$S43</f>
        <v>0</v>
      </c>
      <c r="AE43" s="848" t="n">
        <f aca="false">+P43*$S43</f>
        <v>0</v>
      </c>
    </row>
    <row r="44" customFormat="false" ht="22.5" hidden="false" customHeight="false" outlineLevel="0" collapsed="false">
      <c r="A44" s="835"/>
      <c r="B44" s="843" t="str">
        <f aca="false">+Insumo_LOTE_I!B43</f>
        <v>SACO PLÁST. 100 LTS BRANCO INFECTANTE com identificação - Embalagem c/ 100und</v>
      </c>
      <c r="C44" s="844" t="str">
        <f aca="false">+Insumo_LOTE_I!C43</f>
        <v>UND</v>
      </c>
      <c r="D44" s="291" t="n">
        <f aca="false">+Insumo_LOTE_I!D43</f>
        <v>1</v>
      </c>
      <c r="E44" s="845"/>
      <c r="F44" s="845"/>
      <c r="G44" s="845"/>
      <c r="H44" s="845"/>
      <c r="I44" s="845"/>
      <c r="J44" s="845"/>
      <c r="K44" s="845"/>
      <c r="L44" s="845"/>
      <c r="M44" s="845"/>
      <c r="N44" s="845"/>
      <c r="O44" s="845"/>
      <c r="P44" s="845"/>
      <c r="Q44" s="291" t="n">
        <f aca="false">+D44*12</f>
        <v>12</v>
      </c>
      <c r="R44" s="846" t="n">
        <f aca="false">+Q44-SUM(E44:P44)</f>
        <v>12</v>
      </c>
      <c r="S44" s="847" t="n">
        <f aca="false">+Insumos_Cotação!O51</f>
        <v>0</v>
      </c>
      <c r="T44" s="847" t="n">
        <f aca="false">+E44*$S44</f>
        <v>0</v>
      </c>
      <c r="U44" s="847" t="n">
        <f aca="false">+F44*$S44</f>
        <v>0</v>
      </c>
      <c r="V44" s="847" t="n">
        <f aca="false">+G44*$S44</f>
        <v>0</v>
      </c>
      <c r="W44" s="847" t="n">
        <f aca="false">+H44*$S44</f>
        <v>0</v>
      </c>
      <c r="X44" s="847" t="n">
        <f aca="false">+I44*$S44</f>
        <v>0</v>
      </c>
      <c r="Y44" s="847" t="n">
        <f aca="false">+J44*$S44</f>
        <v>0</v>
      </c>
      <c r="Z44" s="847" t="n">
        <f aca="false">+K44*$S44</f>
        <v>0</v>
      </c>
      <c r="AA44" s="847" t="n">
        <f aca="false">+L44*$S44</f>
        <v>0</v>
      </c>
      <c r="AB44" s="847" t="n">
        <f aca="false">+M44*$S44</f>
        <v>0</v>
      </c>
      <c r="AC44" s="847" t="n">
        <f aca="false">+N44*$S44</f>
        <v>0</v>
      </c>
      <c r="AD44" s="847" t="n">
        <f aca="false">+O44*$S44</f>
        <v>0</v>
      </c>
      <c r="AE44" s="848" t="n">
        <f aca="false">+P44*$S44</f>
        <v>0</v>
      </c>
    </row>
    <row r="45" customFormat="false" ht="11.25" hidden="false" customHeight="false" outlineLevel="0" collapsed="false">
      <c r="A45" s="835"/>
      <c r="B45" s="843" t="str">
        <f aca="false">+Insumo_LOTE_I!B44</f>
        <v>SACO PLÁST. 40 LTS PRETO - Embalagem c/ 100und</v>
      </c>
      <c r="C45" s="844" t="str">
        <f aca="false">+Insumo_LOTE_I!C44</f>
        <v>PCT</v>
      </c>
      <c r="D45" s="291" t="n">
        <f aca="false">+Insumo_LOTE_I!D44</f>
        <v>20</v>
      </c>
      <c r="E45" s="845"/>
      <c r="F45" s="845"/>
      <c r="G45" s="845"/>
      <c r="H45" s="845"/>
      <c r="I45" s="845"/>
      <c r="J45" s="845"/>
      <c r="K45" s="845"/>
      <c r="L45" s="845"/>
      <c r="M45" s="845"/>
      <c r="N45" s="845"/>
      <c r="O45" s="845"/>
      <c r="P45" s="845"/>
      <c r="Q45" s="291" t="n">
        <f aca="false">+D45*12</f>
        <v>240</v>
      </c>
      <c r="R45" s="846" t="n">
        <f aca="false">+Q45-SUM(E45:P45)</f>
        <v>240</v>
      </c>
      <c r="S45" s="847" t="n">
        <f aca="false">+Insumos_Cotação!O52</f>
        <v>0</v>
      </c>
      <c r="T45" s="847" t="n">
        <f aca="false">+E45*$S45</f>
        <v>0</v>
      </c>
      <c r="U45" s="847" t="n">
        <f aca="false">+F45*$S45</f>
        <v>0</v>
      </c>
      <c r="V45" s="847" t="n">
        <f aca="false">+G45*$S45</f>
        <v>0</v>
      </c>
      <c r="W45" s="847" t="n">
        <f aca="false">+H45*$S45</f>
        <v>0</v>
      </c>
      <c r="X45" s="847" t="n">
        <f aca="false">+I45*$S45</f>
        <v>0</v>
      </c>
      <c r="Y45" s="847" t="n">
        <f aca="false">+J45*$S45</f>
        <v>0</v>
      </c>
      <c r="Z45" s="847" t="n">
        <f aca="false">+K45*$S45</f>
        <v>0</v>
      </c>
      <c r="AA45" s="847" t="n">
        <f aca="false">+L45*$S45</f>
        <v>0</v>
      </c>
      <c r="AB45" s="847" t="n">
        <f aca="false">+M45*$S45</f>
        <v>0</v>
      </c>
      <c r="AC45" s="847" t="n">
        <f aca="false">+N45*$S45</f>
        <v>0</v>
      </c>
      <c r="AD45" s="847" t="n">
        <f aca="false">+O45*$S45</f>
        <v>0</v>
      </c>
      <c r="AE45" s="848" t="n">
        <f aca="false">+P45*$S45</f>
        <v>0</v>
      </c>
    </row>
    <row r="46" customFormat="false" ht="11.25" hidden="false" customHeight="false" outlineLevel="0" collapsed="false">
      <c r="A46" s="835"/>
      <c r="B46" s="843" t="str">
        <f aca="false">+Insumo_LOTE_I!B45</f>
        <v>SACO PLÁST. 60 LTS PRETO - Embalagem c/ 100und</v>
      </c>
      <c r="C46" s="844" t="str">
        <f aca="false">+Insumo_LOTE_I!C45</f>
        <v>PCT</v>
      </c>
      <c r="D46" s="291" t="n">
        <f aca="false">+Insumo_LOTE_I!D45</f>
        <v>15</v>
      </c>
      <c r="E46" s="845"/>
      <c r="F46" s="845"/>
      <c r="G46" s="845"/>
      <c r="H46" s="845"/>
      <c r="I46" s="845"/>
      <c r="J46" s="845"/>
      <c r="K46" s="845"/>
      <c r="L46" s="845"/>
      <c r="M46" s="845"/>
      <c r="N46" s="845"/>
      <c r="O46" s="845"/>
      <c r="P46" s="845"/>
      <c r="Q46" s="291" t="n">
        <f aca="false">+D46*12</f>
        <v>180</v>
      </c>
      <c r="R46" s="846" t="n">
        <f aca="false">+Q46-SUM(E46:P46)</f>
        <v>180</v>
      </c>
      <c r="S46" s="847" t="n">
        <f aca="false">+Insumos_Cotação!O53</f>
        <v>0</v>
      </c>
      <c r="T46" s="847" t="n">
        <f aca="false">+E46*$S46</f>
        <v>0</v>
      </c>
      <c r="U46" s="847" t="n">
        <f aca="false">+F46*$S46</f>
        <v>0</v>
      </c>
      <c r="V46" s="847" t="n">
        <f aca="false">+G46*$S46</f>
        <v>0</v>
      </c>
      <c r="W46" s="847" t="n">
        <f aca="false">+H46*$S46</f>
        <v>0</v>
      </c>
      <c r="X46" s="847" t="n">
        <f aca="false">+I46*$S46</f>
        <v>0</v>
      </c>
      <c r="Y46" s="847" t="n">
        <f aca="false">+J46*$S46</f>
        <v>0</v>
      </c>
      <c r="Z46" s="847" t="n">
        <f aca="false">+K46*$S46</f>
        <v>0</v>
      </c>
      <c r="AA46" s="847" t="n">
        <f aca="false">+L46*$S46</f>
        <v>0</v>
      </c>
      <c r="AB46" s="847" t="n">
        <f aca="false">+M46*$S46</f>
        <v>0</v>
      </c>
      <c r="AC46" s="847" t="n">
        <f aca="false">+N46*$S46</f>
        <v>0</v>
      </c>
      <c r="AD46" s="847" t="n">
        <f aca="false">+O46*$S46</f>
        <v>0</v>
      </c>
      <c r="AE46" s="848" t="n">
        <f aca="false">+P46*$S46</f>
        <v>0</v>
      </c>
    </row>
    <row r="47" customFormat="false" ht="11.25" hidden="false" customHeight="false" outlineLevel="0" collapsed="false">
      <c r="A47" s="835"/>
      <c r="B47" s="843" t="str">
        <f aca="false">+Insumo_LOTE_I!B46</f>
        <v>SACO PLÁST. 100 LTS PRETO - Embalagem c/ 100und</v>
      </c>
      <c r="C47" s="844" t="str">
        <f aca="false">+Insumo_LOTE_I!C46</f>
        <v>PCT</v>
      </c>
      <c r="D47" s="291" t="n">
        <f aca="false">+Insumo_LOTE_I!D46</f>
        <v>45</v>
      </c>
      <c r="E47" s="845"/>
      <c r="F47" s="845"/>
      <c r="G47" s="845"/>
      <c r="H47" s="845"/>
      <c r="I47" s="845"/>
      <c r="J47" s="845"/>
      <c r="K47" s="845"/>
      <c r="L47" s="845"/>
      <c r="M47" s="845"/>
      <c r="N47" s="845"/>
      <c r="O47" s="845"/>
      <c r="P47" s="845"/>
      <c r="Q47" s="291" t="n">
        <f aca="false">+D47*12</f>
        <v>540</v>
      </c>
      <c r="R47" s="846" t="n">
        <f aca="false">+Q47-SUM(E47:P47)</f>
        <v>540</v>
      </c>
      <c r="S47" s="847" t="n">
        <f aca="false">+Insumos_Cotação!O54</f>
        <v>0</v>
      </c>
      <c r="T47" s="847" t="n">
        <f aca="false">+E47*$S47</f>
        <v>0</v>
      </c>
      <c r="U47" s="847" t="n">
        <f aca="false">+F47*$S47</f>
        <v>0</v>
      </c>
      <c r="V47" s="847" t="n">
        <f aca="false">+G47*$S47</f>
        <v>0</v>
      </c>
      <c r="W47" s="847" t="n">
        <f aca="false">+H47*$S47</f>
        <v>0</v>
      </c>
      <c r="X47" s="847" t="n">
        <f aca="false">+I47*$S47</f>
        <v>0</v>
      </c>
      <c r="Y47" s="847" t="n">
        <f aca="false">+J47*$S47</f>
        <v>0</v>
      </c>
      <c r="Z47" s="847" t="n">
        <f aca="false">+K47*$S47</f>
        <v>0</v>
      </c>
      <c r="AA47" s="847" t="n">
        <f aca="false">+L47*$S47</f>
        <v>0</v>
      </c>
      <c r="AB47" s="847" t="n">
        <f aca="false">+M47*$S47</f>
        <v>0</v>
      </c>
      <c r="AC47" s="847" t="n">
        <f aca="false">+N47*$S47</f>
        <v>0</v>
      </c>
      <c r="AD47" s="847" t="n">
        <f aca="false">+O47*$S47</f>
        <v>0</v>
      </c>
      <c r="AE47" s="848" t="n">
        <f aca="false">+P47*$S47</f>
        <v>0</v>
      </c>
    </row>
    <row r="48" customFormat="false" ht="11.25" hidden="false" customHeight="false" outlineLevel="0" collapsed="false">
      <c r="A48" s="835"/>
      <c r="B48" s="843" t="str">
        <f aca="false">+Insumo_LOTE_I!B47</f>
        <v>SACO PLÁST. 200 LTS PRETO - Embalagem c/ 100und</v>
      </c>
      <c r="C48" s="844" t="str">
        <f aca="false">+Insumo_LOTE_I!C47</f>
        <v>PCT</v>
      </c>
      <c r="D48" s="291" t="n">
        <f aca="false">+Insumo_LOTE_I!D47</f>
        <v>45</v>
      </c>
      <c r="E48" s="845"/>
      <c r="F48" s="845"/>
      <c r="G48" s="845"/>
      <c r="H48" s="845"/>
      <c r="I48" s="845"/>
      <c r="J48" s="845"/>
      <c r="K48" s="845"/>
      <c r="L48" s="845"/>
      <c r="M48" s="845"/>
      <c r="N48" s="845"/>
      <c r="O48" s="845"/>
      <c r="P48" s="845"/>
      <c r="Q48" s="291" t="n">
        <f aca="false">+D48*12</f>
        <v>540</v>
      </c>
      <c r="R48" s="846" t="n">
        <f aca="false">+Q48-SUM(E48:P48)</f>
        <v>540</v>
      </c>
      <c r="S48" s="847" t="n">
        <f aca="false">+Insumos_Cotação!O55</f>
        <v>0</v>
      </c>
      <c r="T48" s="847" t="n">
        <f aca="false">+E48*$S48</f>
        <v>0</v>
      </c>
      <c r="U48" s="847" t="n">
        <f aca="false">+F48*$S48</f>
        <v>0</v>
      </c>
      <c r="V48" s="847" t="n">
        <f aca="false">+G48*$S48</f>
        <v>0</v>
      </c>
      <c r="W48" s="847" t="n">
        <f aca="false">+H48*$S48</f>
        <v>0</v>
      </c>
      <c r="X48" s="847" t="n">
        <f aca="false">+I48*$S48</f>
        <v>0</v>
      </c>
      <c r="Y48" s="847" t="n">
        <f aca="false">+J48*$S48</f>
        <v>0</v>
      </c>
      <c r="Z48" s="847" t="n">
        <f aca="false">+K48*$S48</f>
        <v>0</v>
      </c>
      <c r="AA48" s="847" t="n">
        <f aca="false">+L48*$S48</f>
        <v>0</v>
      </c>
      <c r="AB48" s="847" t="n">
        <f aca="false">+M48*$S48</f>
        <v>0</v>
      </c>
      <c r="AC48" s="847" t="n">
        <f aca="false">+N48*$S48</f>
        <v>0</v>
      </c>
      <c r="AD48" s="847" t="n">
        <f aca="false">+O48*$S48</f>
        <v>0</v>
      </c>
      <c r="AE48" s="848" t="n">
        <f aca="false">+P48*$S48</f>
        <v>0</v>
      </c>
    </row>
    <row r="49" customFormat="false" ht="11.25" hidden="false" customHeight="false" outlineLevel="0" collapsed="false">
      <c r="A49" s="835"/>
      <c r="B49" s="843" t="str">
        <f aca="false">+Insumo_LOTE_I!B48</f>
        <v>SACO PLÁST. 300 LTS PRETO - Embalagem c/ 100und</v>
      </c>
      <c r="C49" s="844" t="str">
        <f aca="false">+Insumo_LOTE_I!C48</f>
        <v>PCT</v>
      </c>
      <c r="D49" s="291" t="n">
        <f aca="false">+Insumo_LOTE_I!D48</f>
        <v>10</v>
      </c>
      <c r="E49" s="845"/>
      <c r="F49" s="845"/>
      <c r="G49" s="845"/>
      <c r="H49" s="845"/>
      <c r="I49" s="845"/>
      <c r="J49" s="845"/>
      <c r="K49" s="845"/>
      <c r="L49" s="845"/>
      <c r="M49" s="845"/>
      <c r="N49" s="845"/>
      <c r="O49" s="845"/>
      <c r="P49" s="845"/>
      <c r="Q49" s="291" t="n">
        <f aca="false">+D49*12</f>
        <v>120</v>
      </c>
      <c r="R49" s="846" t="n">
        <f aca="false">+Q49-SUM(E49:P49)</f>
        <v>120</v>
      </c>
      <c r="S49" s="847" t="n">
        <f aca="false">+Insumos_Cotação!O56</f>
        <v>0</v>
      </c>
      <c r="T49" s="847" t="n">
        <f aca="false">+E49*$S49</f>
        <v>0</v>
      </c>
      <c r="U49" s="847" t="n">
        <f aca="false">+F49*$S49</f>
        <v>0</v>
      </c>
      <c r="V49" s="847" t="n">
        <f aca="false">+G49*$S49</f>
        <v>0</v>
      </c>
      <c r="W49" s="847" t="n">
        <f aca="false">+H49*$S49</f>
        <v>0</v>
      </c>
      <c r="X49" s="847" t="n">
        <f aca="false">+I49*$S49</f>
        <v>0</v>
      </c>
      <c r="Y49" s="847" t="n">
        <f aca="false">+J49*$S49</f>
        <v>0</v>
      </c>
      <c r="Z49" s="847" t="n">
        <f aca="false">+K49*$S49</f>
        <v>0</v>
      </c>
      <c r="AA49" s="847" t="n">
        <f aca="false">+L49*$S49</f>
        <v>0</v>
      </c>
      <c r="AB49" s="847" t="n">
        <f aca="false">+M49*$S49</f>
        <v>0</v>
      </c>
      <c r="AC49" s="847" t="n">
        <f aca="false">+N49*$S49</f>
        <v>0</v>
      </c>
      <c r="AD49" s="847" t="n">
        <f aca="false">+O49*$S49</f>
        <v>0</v>
      </c>
      <c r="AE49" s="848" t="n">
        <f aca="false">+P49*$S49</f>
        <v>0</v>
      </c>
    </row>
    <row r="50" customFormat="false" ht="22.5" hidden="false" customHeight="false" outlineLevel="0" collapsed="false">
      <c r="A50" s="835"/>
      <c r="B50" s="843" t="str">
        <f aca="false">+Insumo_LOTE_I!B49</f>
        <v>SACO PLÁST. 20 LTS VERMELHO - Embalagem c/ 100 und</v>
      </c>
      <c r="C50" s="844" t="str">
        <f aca="false">+Insumo_LOTE_I!C49</f>
        <v>PCT</v>
      </c>
      <c r="D50" s="291" t="n">
        <f aca="false">+Insumo_LOTE_I!D49</f>
        <v>0</v>
      </c>
      <c r="E50" s="845"/>
      <c r="F50" s="845"/>
      <c r="G50" s="845"/>
      <c r="H50" s="845"/>
      <c r="I50" s="845"/>
      <c r="J50" s="845"/>
      <c r="K50" s="845"/>
      <c r="L50" s="845"/>
      <c r="M50" s="845"/>
      <c r="N50" s="845"/>
      <c r="O50" s="845"/>
      <c r="P50" s="845"/>
      <c r="Q50" s="291" t="n">
        <f aca="false">+D50*12</f>
        <v>0</v>
      </c>
      <c r="R50" s="846" t="n">
        <f aca="false">+Q50-SUM(E50:P50)</f>
        <v>0</v>
      </c>
      <c r="S50" s="847" t="n">
        <f aca="false">+Insumos_Cotação!O57</f>
        <v>0</v>
      </c>
      <c r="T50" s="847" t="n">
        <f aca="false">+E50*$S50</f>
        <v>0</v>
      </c>
      <c r="U50" s="847" t="n">
        <f aca="false">+F50*$S50</f>
        <v>0</v>
      </c>
      <c r="V50" s="847" t="n">
        <f aca="false">+G50*$S50</f>
        <v>0</v>
      </c>
      <c r="W50" s="847" t="n">
        <f aca="false">+H50*$S50</f>
        <v>0</v>
      </c>
      <c r="X50" s="847" t="n">
        <f aca="false">+I50*$S50</f>
        <v>0</v>
      </c>
      <c r="Y50" s="847" t="n">
        <f aca="false">+J50*$S50</f>
        <v>0</v>
      </c>
      <c r="Z50" s="847" t="n">
        <f aca="false">+K50*$S50</f>
        <v>0</v>
      </c>
      <c r="AA50" s="847" t="n">
        <f aca="false">+L50*$S50</f>
        <v>0</v>
      </c>
      <c r="AB50" s="847" t="n">
        <f aca="false">+M50*$S50</f>
        <v>0</v>
      </c>
      <c r="AC50" s="847" t="n">
        <f aca="false">+N50*$S50</f>
        <v>0</v>
      </c>
      <c r="AD50" s="847" t="n">
        <f aca="false">+O50*$S50</f>
        <v>0</v>
      </c>
      <c r="AE50" s="848" t="n">
        <f aca="false">+P50*$S50</f>
        <v>0</v>
      </c>
    </row>
    <row r="51" customFormat="false" ht="11.25" hidden="false" customHeight="true" outlineLevel="0" collapsed="false">
      <c r="A51" s="835"/>
      <c r="B51" s="843" t="str">
        <f aca="false">+Insumo_LOTE_I!B50</f>
        <v>SACO PLÁST. 50 LTS VERMELHO - Embalagem c/ 100 und</v>
      </c>
      <c r="C51" s="844" t="str">
        <f aca="false">+Insumo_LOTE_I!C50</f>
        <v>PCT</v>
      </c>
      <c r="D51" s="291" t="n">
        <f aca="false">+Insumo_LOTE_I!D50</f>
        <v>0</v>
      </c>
      <c r="E51" s="845"/>
      <c r="F51" s="845"/>
      <c r="G51" s="845"/>
      <c r="H51" s="845"/>
      <c r="I51" s="845"/>
      <c r="J51" s="845"/>
      <c r="K51" s="845"/>
      <c r="L51" s="845"/>
      <c r="M51" s="845"/>
      <c r="N51" s="845"/>
      <c r="O51" s="845"/>
      <c r="P51" s="845"/>
      <c r="Q51" s="291" t="n">
        <f aca="false">+D51*12</f>
        <v>0</v>
      </c>
      <c r="R51" s="846" t="n">
        <f aca="false">+Q51-SUM(E51:P51)</f>
        <v>0</v>
      </c>
      <c r="S51" s="847" t="n">
        <f aca="false">+Insumos_Cotação!O58</f>
        <v>0</v>
      </c>
      <c r="T51" s="847" t="n">
        <f aca="false">+E51*$S51</f>
        <v>0</v>
      </c>
      <c r="U51" s="847" t="n">
        <f aca="false">+F51*$S51</f>
        <v>0</v>
      </c>
      <c r="V51" s="847" t="n">
        <f aca="false">+G51*$S51</f>
        <v>0</v>
      </c>
      <c r="W51" s="847" t="n">
        <f aca="false">+H51*$S51</f>
        <v>0</v>
      </c>
      <c r="X51" s="847" t="n">
        <f aca="false">+I51*$S51</f>
        <v>0</v>
      </c>
      <c r="Y51" s="847" t="n">
        <f aca="false">+J51*$S51</f>
        <v>0</v>
      </c>
      <c r="Z51" s="847" t="n">
        <f aca="false">+K51*$S51</f>
        <v>0</v>
      </c>
      <c r="AA51" s="847" t="n">
        <f aca="false">+L51*$S51</f>
        <v>0</v>
      </c>
      <c r="AB51" s="847" t="n">
        <f aca="false">+M51*$S51</f>
        <v>0</v>
      </c>
      <c r="AC51" s="847" t="n">
        <f aca="false">+N51*$S51</f>
        <v>0</v>
      </c>
      <c r="AD51" s="847" t="n">
        <f aca="false">+O51*$S51</f>
        <v>0</v>
      </c>
      <c r="AE51" s="848" t="n">
        <f aca="false">+P51*$S51</f>
        <v>0</v>
      </c>
    </row>
    <row r="52" customFormat="false" ht="11.25" hidden="false" customHeight="true" outlineLevel="0" collapsed="false">
      <c r="A52" s="835"/>
      <c r="B52" s="843" t="str">
        <f aca="false">+Insumo_LOTE_I!B51</f>
        <v>SACO PLÁST. 100 LTS VERMELHO - Embalagem c/ 100 und</v>
      </c>
      <c r="C52" s="844" t="str">
        <f aca="false">+Insumo_LOTE_I!C51</f>
        <v>PCT</v>
      </c>
      <c r="D52" s="291" t="n">
        <f aca="false">+Insumo_LOTE_I!D51</f>
        <v>1</v>
      </c>
      <c r="E52" s="845"/>
      <c r="F52" s="845"/>
      <c r="G52" s="845"/>
      <c r="H52" s="845"/>
      <c r="I52" s="845"/>
      <c r="J52" s="845"/>
      <c r="K52" s="845"/>
      <c r="L52" s="845"/>
      <c r="M52" s="845"/>
      <c r="N52" s="845"/>
      <c r="O52" s="845"/>
      <c r="P52" s="845"/>
      <c r="Q52" s="291" t="n">
        <f aca="false">+D52*12</f>
        <v>12</v>
      </c>
      <c r="R52" s="846" t="n">
        <f aca="false">+Q52-SUM(E52:P52)</f>
        <v>12</v>
      </c>
      <c r="S52" s="847" t="n">
        <f aca="false">+Insumos_Cotação!O59</f>
        <v>0</v>
      </c>
      <c r="T52" s="847" t="n">
        <f aca="false">+E52*$S52</f>
        <v>0</v>
      </c>
      <c r="U52" s="847" t="n">
        <f aca="false">+F52*$S52</f>
        <v>0</v>
      </c>
      <c r="V52" s="847" t="n">
        <f aca="false">+G52*$S52</f>
        <v>0</v>
      </c>
      <c r="W52" s="847" t="n">
        <f aca="false">+H52*$S52</f>
        <v>0</v>
      </c>
      <c r="X52" s="847" t="n">
        <f aca="false">+I52*$S52</f>
        <v>0</v>
      </c>
      <c r="Y52" s="847" t="n">
        <f aca="false">+J52*$S52</f>
        <v>0</v>
      </c>
      <c r="Z52" s="847" t="n">
        <f aca="false">+K52*$S52</f>
        <v>0</v>
      </c>
      <c r="AA52" s="847" t="n">
        <f aca="false">+L52*$S52</f>
        <v>0</v>
      </c>
      <c r="AB52" s="847" t="n">
        <f aca="false">+M52*$S52</f>
        <v>0</v>
      </c>
      <c r="AC52" s="847" t="n">
        <f aca="false">+N52*$S52</f>
        <v>0</v>
      </c>
      <c r="AD52" s="847" t="n">
        <f aca="false">+O52*$S52</f>
        <v>0</v>
      </c>
      <c r="AE52" s="848" t="n">
        <f aca="false">+P52*$S52</f>
        <v>0</v>
      </c>
    </row>
    <row r="53" customFormat="false" ht="11.25" hidden="false" customHeight="true" outlineLevel="0" collapsed="false">
      <c r="A53" s="835"/>
      <c r="B53" s="843" t="str">
        <f aca="false">+Insumo_LOTE_I!B52</f>
        <v>SACOS PARA AUTOCLAVAÇÃO DE 5 LTS - Embalagem c/ 100 und</v>
      </c>
      <c r="C53" s="844" t="str">
        <f aca="false">+Insumo_LOTE_I!C52</f>
        <v>PCT</v>
      </c>
      <c r="D53" s="291" t="n">
        <f aca="false">+Insumo_LOTE_I!D52</f>
        <v>0</v>
      </c>
      <c r="E53" s="845"/>
      <c r="F53" s="845"/>
      <c r="G53" s="845"/>
      <c r="H53" s="845"/>
      <c r="I53" s="845"/>
      <c r="J53" s="845"/>
      <c r="K53" s="845"/>
      <c r="L53" s="845"/>
      <c r="M53" s="845"/>
      <c r="N53" s="845"/>
      <c r="O53" s="845"/>
      <c r="P53" s="845"/>
      <c r="Q53" s="291" t="n">
        <f aca="false">+D53*12</f>
        <v>0</v>
      </c>
      <c r="R53" s="846" t="n">
        <f aca="false">+Q53-SUM(E53:P53)</f>
        <v>0</v>
      </c>
      <c r="S53" s="847" t="n">
        <f aca="false">+Insumos_Cotação!O60</f>
        <v>0</v>
      </c>
      <c r="T53" s="847" t="n">
        <f aca="false">+E53*$S53</f>
        <v>0</v>
      </c>
      <c r="U53" s="847" t="n">
        <f aca="false">+F53*$S53</f>
        <v>0</v>
      </c>
      <c r="V53" s="847" t="n">
        <f aca="false">+G53*$S53</f>
        <v>0</v>
      </c>
      <c r="W53" s="847" t="n">
        <f aca="false">+H53*$S53</f>
        <v>0</v>
      </c>
      <c r="X53" s="847" t="n">
        <f aca="false">+I53*$S53</f>
        <v>0</v>
      </c>
      <c r="Y53" s="847" t="n">
        <f aca="false">+J53*$S53</f>
        <v>0</v>
      </c>
      <c r="Z53" s="847" t="n">
        <f aca="false">+K53*$S53</f>
        <v>0</v>
      </c>
      <c r="AA53" s="847" t="n">
        <f aca="false">+L53*$S53</f>
        <v>0</v>
      </c>
      <c r="AB53" s="847" t="n">
        <f aca="false">+M53*$S53</f>
        <v>0</v>
      </c>
      <c r="AC53" s="847" t="n">
        <f aca="false">+N53*$S53</f>
        <v>0</v>
      </c>
      <c r="AD53" s="847" t="n">
        <f aca="false">+O53*$S53</f>
        <v>0</v>
      </c>
      <c r="AE53" s="848" t="n">
        <f aca="false">+P53*$S53</f>
        <v>0</v>
      </c>
    </row>
    <row r="54" customFormat="false" ht="11.25" hidden="false" customHeight="true" outlineLevel="0" collapsed="false">
      <c r="A54" s="835"/>
      <c r="B54" s="843" t="str">
        <f aca="false">+Insumo_LOTE_I!B53</f>
        <v>SACOS PARA AUTOCLAVAÇÃO DE 10 LTS - Embalagem c/ 100 und</v>
      </c>
      <c r="C54" s="844" t="str">
        <f aca="false">+Insumo_LOTE_I!C53</f>
        <v>PCT</v>
      </c>
      <c r="D54" s="291" t="n">
        <f aca="false">+Insumo_LOTE_I!D53</f>
        <v>0</v>
      </c>
      <c r="E54" s="845"/>
      <c r="F54" s="845"/>
      <c r="G54" s="845"/>
      <c r="H54" s="845"/>
      <c r="I54" s="845"/>
      <c r="J54" s="845"/>
      <c r="K54" s="845"/>
      <c r="L54" s="845"/>
      <c r="M54" s="845"/>
      <c r="N54" s="845"/>
      <c r="O54" s="845"/>
      <c r="P54" s="845"/>
      <c r="Q54" s="291" t="n">
        <f aca="false">+D54*12</f>
        <v>0</v>
      </c>
      <c r="R54" s="846" t="n">
        <f aca="false">+Q54-SUM(E54:P54)</f>
        <v>0</v>
      </c>
      <c r="S54" s="847" t="n">
        <f aca="false">+Insumos_Cotação!O61</f>
        <v>0</v>
      </c>
      <c r="T54" s="847" t="n">
        <f aca="false">+E54*$S54</f>
        <v>0</v>
      </c>
      <c r="U54" s="847" t="n">
        <f aca="false">+F54*$S54</f>
        <v>0</v>
      </c>
      <c r="V54" s="847" t="n">
        <f aca="false">+G54*$S54</f>
        <v>0</v>
      </c>
      <c r="W54" s="847" t="n">
        <f aca="false">+H54*$S54</f>
        <v>0</v>
      </c>
      <c r="X54" s="847" t="n">
        <f aca="false">+I54*$S54</f>
        <v>0</v>
      </c>
      <c r="Y54" s="847" t="n">
        <f aca="false">+J54*$S54</f>
        <v>0</v>
      </c>
      <c r="Z54" s="847" t="n">
        <f aca="false">+K54*$S54</f>
        <v>0</v>
      </c>
      <c r="AA54" s="847" t="n">
        <f aca="false">+L54*$S54</f>
        <v>0</v>
      </c>
      <c r="AB54" s="847" t="n">
        <f aca="false">+M54*$S54</f>
        <v>0</v>
      </c>
      <c r="AC54" s="847" t="n">
        <f aca="false">+N54*$S54</f>
        <v>0</v>
      </c>
      <c r="AD54" s="847" t="n">
        <f aca="false">+O54*$S54</f>
        <v>0</v>
      </c>
      <c r="AE54" s="848" t="n">
        <f aca="false">+P54*$S54</f>
        <v>0</v>
      </c>
    </row>
    <row r="55" customFormat="false" ht="11.25" hidden="false" customHeight="true" outlineLevel="0" collapsed="false">
      <c r="A55" s="835"/>
      <c r="B55" s="843" t="str">
        <f aca="false">+Insumo_LOTE_I!B54</f>
        <v>SACOS PARA AUTOCLAVAÇÃO DE 20 LTS - Embalagem c/ 100 und</v>
      </c>
      <c r="C55" s="844" t="str">
        <f aca="false">+Insumo_LOTE_I!C54</f>
        <v>PCT</v>
      </c>
      <c r="D55" s="291" t="n">
        <f aca="false">+Insumo_LOTE_I!D54</f>
        <v>0</v>
      </c>
      <c r="E55" s="845"/>
      <c r="F55" s="845"/>
      <c r="G55" s="845"/>
      <c r="H55" s="845"/>
      <c r="I55" s="845"/>
      <c r="J55" s="845"/>
      <c r="K55" s="845"/>
      <c r="L55" s="845"/>
      <c r="M55" s="845"/>
      <c r="N55" s="845"/>
      <c r="O55" s="845"/>
      <c r="P55" s="845"/>
      <c r="Q55" s="291" t="n">
        <f aca="false">+D55*12</f>
        <v>0</v>
      </c>
      <c r="R55" s="846" t="n">
        <f aca="false">+Q55-SUM(E55:P55)</f>
        <v>0</v>
      </c>
      <c r="S55" s="847" t="n">
        <f aca="false">+Insumos_Cotação!O62</f>
        <v>0</v>
      </c>
      <c r="T55" s="847" t="n">
        <f aca="false">+E55*$S55</f>
        <v>0</v>
      </c>
      <c r="U55" s="847" t="n">
        <f aca="false">+F55*$S55</f>
        <v>0</v>
      </c>
      <c r="V55" s="847" t="n">
        <f aca="false">+G55*$S55</f>
        <v>0</v>
      </c>
      <c r="W55" s="847" t="n">
        <f aca="false">+H55*$S55</f>
        <v>0</v>
      </c>
      <c r="X55" s="847" t="n">
        <f aca="false">+I55*$S55</f>
        <v>0</v>
      </c>
      <c r="Y55" s="847" t="n">
        <f aca="false">+J55*$S55</f>
        <v>0</v>
      </c>
      <c r="Z55" s="847" t="n">
        <f aca="false">+K55*$S55</f>
        <v>0</v>
      </c>
      <c r="AA55" s="847" t="n">
        <f aca="false">+L55*$S55</f>
        <v>0</v>
      </c>
      <c r="AB55" s="847" t="n">
        <f aca="false">+M55*$S55</f>
        <v>0</v>
      </c>
      <c r="AC55" s="847" t="n">
        <f aca="false">+N55*$S55</f>
        <v>0</v>
      </c>
      <c r="AD55" s="847" t="n">
        <f aca="false">+O55*$S55</f>
        <v>0</v>
      </c>
      <c r="AE55" s="848" t="n">
        <f aca="false">+P55*$S55</f>
        <v>0</v>
      </c>
    </row>
    <row r="56" customFormat="false" ht="11.25" hidden="false" customHeight="true" outlineLevel="0" collapsed="false">
      <c r="A56" s="835"/>
      <c r="B56" s="843" t="str">
        <f aca="false">+Insumo_LOTE_I!B55</f>
        <v>DETERGENTE / DESINFETANTE Hospitalar a base de cloreto de didecildimetilamônio e cloridrato de polihexametileno biguanida; bactericida. - Embalagem c/ 5l</v>
      </c>
      <c r="C56" s="844" t="str">
        <f aca="false">+Insumo_LOTE_I!C55</f>
        <v>UND</v>
      </c>
      <c r="D56" s="291" t="n">
        <f aca="false">+Insumo_LOTE_I!D55</f>
        <v>20</v>
      </c>
      <c r="E56" s="845"/>
      <c r="F56" s="845"/>
      <c r="G56" s="845"/>
      <c r="H56" s="845"/>
      <c r="I56" s="845"/>
      <c r="J56" s="845"/>
      <c r="K56" s="845"/>
      <c r="L56" s="845"/>
      <c r="M56" s="845"/>
      <c r="N56" s="845"/>
      <c r="O56" s="845"/>
      <c r="P56" s="845"/>
      <c r="Q56" s="291" t="n">
        <f aca="false">+D56*12</f>
        <v>240</v>
      </c>
      <c r="R56" s="846" t="n">
        <f aca="false">+Q56-SUM(E56:P56)</f>
        <v>240</v>
      </c>
      <c r="S56" s="847" t="n">
        <f aca="false">+Insumos_Cotação!O63</f>
        <v>0</v>
      </c>
      <c r="T56" s="847" t="n">
        <f aca="false">+E56*$S56</f>
        <v>0</v>
      </c>
      <c r="U56" s="847" t="n">
        <f aca="false">+F56*$S56</f>
        <v>0</v>
      </c>
      <c r="V56" s="847" t="n">
        <f aca="false">+G56*$S56</f>
        <v>0</v>
      </c>
      <c r="W56" s="847" t="n">
        <f aca="false">+H56*$S56</f>
        <v>0</v>
      </c>
      <c r="X56" s="847" t="n">
        <f aca="false">+I56*$S56</f>
        <v>0</v>
      </c>
      <c r="Y56" s="847" t="n">
        <f aca="false">+J56*$S56</f>
        <v>0</v>
      </c>
      <c r="Z56" s="847" t="n">
        <f aca="false">+K56*$S56</f>
        <v>0</v>
      </c>
      <c r="AA56" s="847" t="n">
        <f aca="false">+L56*$S56</f>
        <v>0</v>
      </c>
      <c r="AB56" s="847" t="n">
        <f aca="false">+M56*$S56</f>
        <v>0</v>
      </c>
      <c r="AC56" s="847" t="n">
        <f aca="false">+N56*$S56</f>
        <v>0</v>
      </c>
      <c r="AD56" s="847" t="n">
        <f aca="false">+O56*$S56</f>
        <v>0</v>
      </c>
      <c r="AE56" s="848" t="n">
        <f aca="false">+P56*$S56</f>
        <v>0</v>
      </c>
    </row>
    <row r="57" customFormat="false" ht="11.25" hidden="false" customHeight="true" outlineLevel="0" collapsed="false">
      <c r="A57" s="835"/>
      <c r="B57" s="843" t="str">
        <f aca="false">+Insumo_LOTE_I!B56</f>
        <v>DESINFETANTE componente Ativo: 0,45% de Cloreto de Benzil Alquil Dimetil Amônio / Cloreto de Didecil Dimetilamônio - Lysoform - Embalagem c/ 5l</v>
      </c>
      <c r="C57" s="844" t="str">
        <f aca="false">+Insumo_LOTE_I!C56</f>
        <v>UND</v>
      </c>
      <c r="D57" s="291" t="n">
        <f aca="false">+Insumo_LOTE_I!D56</f>
        <v>30</v>
      </c>
      <c r="E57" s="845"/>
      <c r="F57" s="845"/>
      <c r="G57" s="845"/>
      <c r="H57" s="845"/>
      <c r="I57" s="845"/>
      <c r="J57" s="845"/>
      <c r="K57" s="845"/>
      <c r="L57" s="845"/>
      <c r="M57" s="845"/>
      <c r="N57" s="845"/>
      <c r="O57" s="845"/>
      <c r="P57" s="845"/>
      <c r="Q57" s="291" t="n">
        <f aca="false">+D57*12</f>
        <v>360</v>
      </c>
      <c r="R57" s="846" t="n">
        <f aca="false">+Q57-SUM(E57:P57)</f>
        <v>360</v>
      </c>
      <c r="S57" s="847" t="n">
        <f aca="false">+Insumos_Cotação!O64</f>
        <v>0</v>
      </c>
      <c r="T57" s="847" t="n">
        <f aca="false">+E57*$S57</f>
        <v>0</v>
      </c>
      <c r="U57" s="847" t="n">
        <f aca="false">+F57*$S57</f>
        <v>0</v>
      </c>
      <c r="V57" s="847" t="n">
        <f aca="false">+G57*$S57</f>
        <v>0</v>
      </c>
      <c r="W57" s="847" t="n">
        <f aca="false">+H57*$S57</f>
        <v>0</v>
      </c>
      <c r="X57" s="847" t="n">
        <f aca="false">+I57*$S57</f>
        <v>0</v>
      </c>
      <c r="Y57" s="847" t="n">
        <f aca="false">+J57*$S57</f>
        <v>0</v>
      </c>
      <c r="Z57" s="847" t="n">
        <f aca="false">+K57*$S57</f>
        <v>0</v>
      </c>
      <c r="AA57" s="847" t="n">
        <f aca="false">+L57*$S57</f>
        <v>0</v>
      </c>
      <c r="AB57" s="847" t="n">
        <f aca="false">+M57*$S57</f>
        <v>0</v>
      </c>
      <c r="AC57" s="847" t="n">
        <f aca="false">+N57*$S57</f>
        <v>0</v>
      </c>
      <c r="AD57" s="847" t="n">
        <f aca="false">+O57*$S57</f>
        <v>0</v>
      </c>
      <c r="AE57" s="848" t="n">
        <f aca="false">+P57*$S57</f>
        <v>0</v>
      </c>
    </row>
    <row r="58" customFormat="false" ht="11.25" hidden="false" customHeight="true" outlineLevel="0" collapsed="false">
      <c r="A58" s="835"/>
      <c r="B58" s="843" t="str">
        <f aca="false">+Insumo_LOTE_I!B57</f>
        <v>SODA CÁUSTICA Embalagem c/ 1 Kg</v>
      </c>
      <c r="C58" s="844" t="str">
        <f aca="false">+Insumo_LOTE_I!C57</f>
        <v>KG</v>
      </c>
      <c r="D58" s="291" t="n">
        <f aca="false">+Insumo_LOTE_I!D57</f>
        <v>1</v>
      </c>
      <c r="E58" s="845"/>
      <c r="F58" s="845"/>
      <c r="G58" s="845"/>
      <c r="H58" s="845"/>
      <c r="I58" s="845"/>
      <c r="J58" s="845"/>
      <c r="K58" s="845"/>
      <c r="L58" s="845"/>
      <c r="M58" s="845"/>
      <c r="N58" s="845"/>
      <c r="O58" s="845"/>
      <c r="P58" s="845"/>
      <c r="Q58" s="291" t="n">
        <f aca="false">+D58*12</f>
        <v>12</v>
      </c>
      <c r="R58" s="846" t="n">
        <f aca="false">+Q58-SUM(E58:P58)</f>
        <v>12</v>
      </c>
      <c r="S58" s="847" t="n">
        <f aca="false">+Insumos_Cotação!O65</f>
        <v>0</v>
      </c>
      <c r="T58" s="847" t="n">
        <f aca="false">+E58*$S58</f>
        <v>0</v>
      </c>
      <c r="U58" s="847" t="n">
        <f aca="false">+F58*$S58</f>
        <v>0</v>
      </c>
      <c r="V58" s="847" t="n">
        <f aca="false">+G58*$S58</f>
        <v>0</v>
      </c>
      <c r="W58" s="847" t="n">
        <f aca="false">+H58*$S58</f>
        <v>0</v>
      </c>
      <c r="X58" s="847" t="n">
        <f aca="false">+I58*$S58</f>
        <v>0</v>
      </c>
      <c r="Y58" s="847" t="n">
        <f aca="false">+J58*$S58</f>
        <v>0</v>
      </c>
      <c r="Z58" s="847" t="n">
        <f aca="false">+K58*$S58</f>
        <v>0</v>
      </c>
      <c r="AA58" s="847" t="n">
        <f aca="false">+L58*$S58</f>
        <v>0</v>
      </c>
      <c r="AB58" s="847" t="n">
        <f aca="false">+M58*$S58</f>
        <v>0</v>
      </c>
      <c r="AC58" s="847" t="n">
        <f aca="false">+N58*$S58</f>
        <v>0</v>
      </c>
      <c r="AD58" s="847" t="n">
        <f aca="false">+O58*$S58</f>
        <v>0</v>
      </c>
      <c r="AE58" s="848" t="n">
        <f aca="false">+P58*$S58</f>
        <v>0</v>
      </c>
    </row>
    <row r="59" customFormat="false" ht="12" hidden="false" customHeight="false" outlineLevel="0" collapsed="false">
      <c r="A59" s="835"/>
      <c r="B59" s="849" t="str">
        <f aca="false">+Insumo_LOTE_I!B58</f>
        <v>VASELINA Embalagem c/ 1L</v>
      </c>
      <c r="C59" s="850" t="str">
        <f aca="false">+Insumo_LOTE_I!C58</f>
        <v>L</v>
      </c>
      <c r="D59" s="851" t="n">
        <f aca="false">+Insumo_LOTE_I!D58</f>
        <v>15</v>
      </c>
      <c r="E59" s="852"/>
      <c r="F59" s="852"/>
      <c r="G59" s="852"/>
      <c r="H59" s="852"/>
      <c r="I59" s="852"/>
      <c r="J59" s="852"/>
      <c r="K59" s="852"/>
      <c r="L59" s="852"/>
      <c r="M59" s="852"/>
      <c r="N59" s="852"/>
      <c r="O59" s="852"/>
      <c r="P59" s="852"/>
      <c r="Q59" s="851" t="n">
        <f aca="false">+D59*12</f>
        <v>180</v>
      </c>
      <c r="R59" s="853" t="n">
        <f aca="false">+Q59-SUM(E59:P59)</f>
        <v>180</v>
      </c>
      <c r="S59" s="854" t="n">
        <f aca="false">+Insumos_Cotação!O66</f>
        <v>0</v>
      </c>
      <c r="T59" s="854" t="n">
        <f aca="false">+E59*$S59</f>
        <v>0</v>
      </c>
      <c r="U59" s="854" t="n">
        <f aca="false">+F59*$S59</f>
        <v>0</v>
      </c>
      <c r="V59" s="854" t="n">
        <f aca="false">+G59*$S59</f>
        <v>0</v>
      </c>
      <c r="W59" s="854" t="n">
        <f aca="false">+H59*$S59</f>
        <v>0</v>
      </c>
      <c r="X59" s="854" t="n">
        <f aca="false">+I59*$S59</f>
        <v>0</v>
      </c>
      <c r="Y59" s="854" t="n">
        <f aca="false">+J59*$S59</f>
        <v>0</v>
      </c>
      <c r="Z59" s="854" t="n">
        <f aca="false">+K59*$S59</f>
        <v>0</v>
      </c>
      <c r="AA59" s="854" t="n">
        <f aca="false">+L59*$S59</f>
        <v>0</v>
      </c>
      <c r="AB59" s="854" t="n">
        <f aca="false">+M59*$S59</f>
        <v>0</v>
      </c>
      <c r="AC59" s="854" t="n">
        <f aca="false">+N59*$S59</f>
        <v>0</v>
      </c>
      <c r="AD59" s="854" t="n">
        <f aca="false">+O59*$S59</f>
        <v>0</v>
      </c>
      <c r="AE59" s="855" t="n">
        <f aca="false">+P59*$S59</f>
        <v>0</v>
      </c>
    </row>
    <row r="60" customFormat="false" ht="11.25" hidden="false" customHeight="true" outlineLevel="0" collapsed="false">
      <c r="A60" s="856" t="s">
        <v>280</v>
      </c>
      <c r="B60" s="857" t="str">
        <f aca="false">+Insumo_LOTE_I!B59</f>
        <v>RODO BORRACHA 30CM </v>
      </c>
      <c r="C60" s="837" t="str">
        <f aca="false">+Insumo_LOTE_I!C59</f>
        <v>UND</v>
      </c>
      <c r="D60" s="838" t="n">
        <f aca="false">+Insumo_LOTE_I!D59</f>
        <v>20</v>
      </c>
      <c r="E60" s="839"/>
      <c r="F60" s="838"/>
      <c r="G60" s="839"/>
      <c r="H60" s="838"/>
      <c r="I60" s="839"/>
      <c r="J60" s="838"/>
      <c r="K60" s="839"/>
      <c r="L60" s="838"/>
      <c r="M60" s="839"/>
      <c r="N60" s="838"/>
      <c r="O60" s="839"/>
      <c r="P60" s="838"/>
      <c r="Q60" s="838" t="n">
        <f aca="false">+D60*6</f>
        <v>120</v>
      </c>
      <c r="R60" s="840" t="n">
        <f aca="false">+Q60-SUM(E60:P60)</f>
        <v>120</v>
      </c>
      <c r="S60" s="841" t="n">
        <f aca="false">+Insumos_Cotação!O68</f>
        <v>0</v>
      </c>
      <c r="T60" s="841" t="n">
        <f aca="false">+$S60*$E60</f>
        <v>0</v>
      </c>
      <c r="U60" s="841" t="n">
        <f aca="false">+$S60*$E60+($F60*$S60)</f>
        <v>0</v>
      </c>
      <c r="V60" s="841" t="n">
        <f aca="false">+$S60*$F60+($G60*$S60)</f>
        <v>0</v>
      </c>
      <c r="W60" s="841" t="n">
        <f aca="false">+$S60*$G60+($H60*$S60)</f>
        <v>0</v>
      </c>
      <c r="X60" s="841" t="n">
        <f aca="false">+$S60*$H60+($I60*$S60)</f>
        <v>0</v>
      </c>
      <c r="Y60" s="841" t="n">
        <f aca="false">+$S60*$I60+($J60*$S60)</f>
        <v>0</v>
      </c>
      <c r="Z60" s="841" t="n">
        <f aca="false">+$S60*$J60+($K60*$S60)</f>
        <v>0</v>
      </c>
      <c r="AA60" s="841" t="n">
        <f aca="false">+$S60*$K60+($L60*$S60)</f>
        <v>0</v>
      </c>
      <c r="AB60" s="841" t="n">
        <f aca="false">+$S60*$L60+($M60*$S60)</f>
        <v>0</v>
      </c>
      <c r="AC60" s="841" t="n">
        <f aca="false">+$S60*$M60+($N60*$S60)</f>
        <v>0</v>
      </c>
      <c r="AD60" s="841" t="n">
        <f aca="false">+$S60*$N60+($O60*$S60)</f>
        <v>0</v>
      </c>
      <c r="AE60" s="842" t="n">
        <f aca="false">+$S60*$O60+($P60*($S60*2))</f>
        <v>0</v>
      </c>
    </row>
    <row r="61" customFormat="false" ht="11.25" hidden="false" customHeight="false" outlineLevel="0" collapsed="false">
      <c r="A61" s="856"/>
      <c r="B61" s="858" t="str">
        <f aca="false">+Insumo_LOTE_I!B60</f>
        <v>RODO BORRACHA 60CM </v>
      </c>
      <c r="C61" s="844" t="str">
        <f aca="false">+Insumo_LOTE_I!C60</f>
        <v>UND</v>
      </c>
      <c r="D61" s="291" t="n">
        <f aca="false">+Insumo_LOTE_I!D60</f>
        <v>60</v>
      </c>
      <c r="E61" s="845"/>
      <c r="F61" s="291"/>
      <c r="G61" s="845"/>
      <c r="H61" s="291"/>
      <c r="I61" s="845"/>
      <c r="J61" s="291"/>
      <c r="K61" s="845"/>
      <c r="L61" s="291"/>
      <c r="M61" s="845"/>
      <c r="N61" s="291"/>
      <c r="O61" s="845"/>
      <c r="P61" s="291"/>
      <c r="Q61" s="291" t="n">
        <f aca="false">+D61*6</f>
        <v>360</v>
      </c>
      <c r="R61" s="846" t="n">
        <f aca="false">+Q61-SUM(E61:P61)</f>
        <v>360</v>
      </c>
      <c r="S61" s="847" t="n">
        <f aca="false">+Insumos_Cotação!O69</f>
        <v>0</v>
      </c>
      <c r="T61" s="847" t="n">
        <f aca="false">+$S61*$E61</f>
        <v>0</v>
      </c>
      <c r="U61" s="847" t="n">
        <f aca="false">+$S61*$E61+($F61*$S61)</f>
        <v>0</v>
      </c>
      <c r="V61" s="847" t="n">
        <f aca="false">+$S61*$F61+($G61*$S61)</f>
        <v>0</v>
      </c>
      <c r="W61" s="847" t="n">
        <f aca="false">+$S61*$G61+($H61*$S61)</f>
        <v>0</v>
      </c>
      <c r="X61" s="847" t="n">
        <f aca="false">+$S61*$H61+($I61*$S61)</f>
        <v>0</v>
      </c>
      <c r="Y61" s="847" t="n">
        <f aca="false">+$S61*$I61+($J61*$S61)</f>
        <v>0</v>
      </c>
      <c r="Z61" s="847" t="n">
        <f aca="false">+$S61*$J61+($K61*$S61)</f>
        <v>0</v>
      </c>
      <c r="AA61" s="847" t="n">
        <f aca="false">+$S61*$K61+($L61*$S61)</f>
        <v>0</v>
      </c>
      <c r="AB61" s="847" t="n">
        <f aca="false">+$S61*$L61+($M61*$S61)</f>
        <v>0</v>
      </c>
      <c r="AC61" s="847" t="n">
        <f aca="false">+$S61*$M61+($N61*$S61)</f>
        <v>0</v>
      </c>
      <c r="AD61" s="847" t="n">
        <f aca="false">+$S61*$N61+($O61*$S61)</f>
        <v>0</v>
      </c>
      <c r="AE61" s="848" t="n">
        <f aca="false">+$S61*$O61+($P61*($S61*2))</f>
        <v>0</v>
      </c>
    </row>
    <row r="62" customFormat="false" ht="11.25" hidden="false" customHeight="false" outlineLevel="0" collapsed="false">
      <c r="A62" s="856"/>
      <c r="B62" s="858" t="str">
        <f aca="false">+Insumo_LOTE_I!B61</f>
        <v>REFIL MOP MOLHADO</v>
      </c>
      <c r="C62" s="844" t="n">
        <f aca="false">+Insumo_LOTE_I!C61</f>
        <v>0</v>
      </c>
      <c r="D62" s="291" t="n">
        <f aca="false">+Insumo_LOTE_I!D61</f>
        <v>30</v>
      </c>
      <c r="E62" s="845"/>
      <c r="F62" s="291"/>
      <c r="G62" s="845"/>
      <c r="H62" s="291"/>
      <c r="I62" s="845"/>
      <c r="J62" s="291"/>
      <c r="K62" s="845"/>
      <c r="L62" s="291"/>
      <c r="M62" s="845"/>
      <c r="N62" s="291"/>
      <c r="O62" s="845"/>
      <c r="P62" s="291"/>
      <c r="Q62" s="291" t="n">
        <f aca="false">+D62*6</f>
        <v>180</v>
      </c>
      <c r="R62" s="846" t="n">
        <f aca="false">+Q62-SUM(E62:P62)</f>
        <v>180</v>
      </c>
      <c r="S62" s="847" t="n">
        <f aca="false">+Insumos_Cotação!O70</f>
        <v>0</v>
      </c>
      <c r="T62" s="847" t="n">
        <f aca="false">+$S62*$E62</f>
        <v>0</v>
      </c>
      <c r="U62" s="847" t="n">
        <f aca="false">+$S62*$E62+($F62*$S62)</f>
        <v>0</v>
      </c>
      <c r="V62" s="847" t="n">
        <f aca="false">+$S62*$F62+($G62*$S62)</f>
        <v>0</v>
      </c>
      <c r="W62" s="847" t="n">
        <f aca="false">+$S62*$G62+($H62*$S62)</f>
        <v>0</v>
      </c>
      <c r="X62" s="847" t="n">
        <f aca="false">+$S62*$H62+($I62*$S62)</f>
        <v>0</v>
      </c>
      <c r="Y62" s="847" t="n">
        <f aca="false">+$S62*$I62+($J62*$S62)</f>
        <v>0</v>
      </c>
      <c r="Z62" s="847" t="n">
        <f aca="false">+$S62*$J62+($K62*$S62)</f>
        <v>0</v>
      </c>
      <c r="AA62" s="847" t="n">
        <f aca="false">+$S62*$K62+($L62*$S62)</f>
        <v>0</v>
      </c>
      <c r="AB62" s="847" t="n">
        <f aca="false">+$S62*$L62+($M62*$S62)</f>
        <v>0</v>
      </c>
      <c r="AC62" s="847" t="n">
        <f aca="false">+$S62*$M62+($N62*$S62)</f>
        <v>0</v>
      </c>
      <c r="AD62" s="847" t="n">
        <f aca="false">+$S62*$N62+($O62*$S62)</f>
        <v>0</v>
      </c>
      <c r="AE62" s="848" t="n">
        <f aca="false">+$S62*$O62+($P62*($S62*2))</f>
        <v>0</v>
      </c>
    </row>
    <row r="63" customFormat="false" ht="11.25" hidden="false" customHeight="false" outlineLevel="0" collapsed="false">
      <c r="A63" s="856"/>
      <c r="B63" s="858" t="str">
        <f aca="false">+Insumo_LOTE_I!B62</f>
        <v>REFIL MOP SECO</v>
      </c>
      <c r="C63" s="844" t="n">
        <f aca="false">+Insumo_LOTE_I!C62</f>
        <v>0</v>
      </c>
      <c r="D63" s="291" t="n">
        <f aca="false">+Insumo_LOTE_I!D62</f>
        <v>15</v>
      </c>
      <c r="E63" s="845"/>
      <c r="F63" s="291"/>
      <c r="G63" s="845"/>
      <c r="H63" s="291"/>
      <c r="I63" s="845"/>
      <c r="J63" s="291"/>
      <c r="K63" s="845"/>
      <c r="L63" s="291"/>
      <c r="M63" s="845"/>
      <c r="N63" s="291"/>
      <c r="O63" s="845"/>
      <c r="P63" s="291"/>
      <c r="Q63" s="291" t="n">
        <f aca="false">+D63*6</f>
        <v>90</v>
      </c>
      <c r="R63" s="846" t="n">
        <f aca="false">+Q63-SUM(E63:P63)</f>
        <v>90</v>
      </c>
      <c r="S63" s="847" t="n">
        <f aca="false">+Insumos_Cotação!O71</f>
        <v>0</v>
      </c>
      <c r="T63" s="847" t="n">
        <f aca="false">+$S63*$E63</f>
        <v>0</v>
      </c>
      <c r="U63" s="847" t="n">
        <f aca="false">+$S63*$E63+($F63*$S63)</f>
        <v>0</v>
      </c>
      <c r="V63" s="847" t="n">
        <f aca="false">+$S63*$F63+($G63*$S63)</f>
        <v>0</v>
      </c>
      <c r="W63" s="847" t="n">
        <f aca="false">+$S63*$G63+($H63*$S63)</f>
        <v>0</v>
      </c>
      <c r="X63" s="847" t="n">
        <f aca="false">+$S63*$H63+($I63*$S63)</f>
        <v>0</v>
      </c>
      <c r="Y63" s="847" t="n">
        <f aca="false">+$S63*$I63+($J63*$S63)</f>
        <v>0</v>
      </c>
      <c r="Z63" s="847" t="n">
        <f aca="false">+$S63*$J63+($K63*$S63)</f>
        <v>0</v>
      </c>
      <c r="AA63" s="847" t="n">
        <f aca="false">+$S63*$K63+($L63*$S63)</f>
        <v>0</v>
      </c>
      <c r="AB63" s="847" t="n">
        <f aca="false">+$S63*$L63+($M63*$S63)</f>
        <v>0</v>
      </c>
      <c r="AC63" s="847" t="n">
        <f aca="false">+$S63*$M63+($N63*$S63)</f>
        <v>0</v>
      </c>
      <c r="AD63" s="847" t="n">
        <f aca="false">+$S63*$N63+($O63*$S63)</f>
        <v>0</v>
      </c>
      <c r="AE63" s="848" t="n">
        <f aca="false">+$S63*$O63+($P63*($S63*2))</f>
        <v>0</v>
      </c>
    </row>
    <row r="64" customFormat="false" ht="11.25" hidden="false" customHeight="false" outlineLevel="0" collapsed="false">
      <c r="A64" s="856"/>
      <c r="B64" s="858" t="str">
        <f aca="false">+Insumo_LOTE_I!B63</f>
        <v>VASSOURA DE PIA</v>
      </c>
      <c r="C64" s="844" t="str">
        <f aca="false">+Insumo_LOTE_I!C63</f>
        <v>UND</v>
      </c>
      <c r="D64" s="291" t="n">
        <f aca="false">+Insumo_LOTE_I!D63</f>
        <v>30</v>
      </c>
      <c r="E64" s="845"/>
      <c r="F64" s="291"/>
      <c r="G64" s="845"/>
      <c r="H64" s="291"/>
      <c r="I64" s="845"/>
      <c r="J64" s="291"/>
      <c r="K64" s="845"/>
      <c r="L64" s="291"/>
      <c r="M64" s="845"/>
      <c r="N64" s="291"/>
      <c r="O64" s="845"/>
      <c r="P64" s="291"/>
      <c r="Q64" s="291" t="n">
        <f aca="false">+D64*6</f>
        <v>180</v>
      </c>
      <c r="R64" s="846" t="n">
        <f aca="false">+Q64-SUM(E64:P64)</f>
        <v>180</v>
      </c>
      <c r="S64" s="847" t="n">
        <f aca="false">+Insumos_Cotação!O72</f>
        <v>0</v>
      </c>
      <c r="T64" s="847" t="n">
        <f aca="false">+$S64*$E64</f>
        <v>0</v>
      </c>
      <c r="U64" s="847" t="n">
        <f aca="false">+$S64*$E64+($F64*$S64)</f>
        <v>0</v>
      </c>
      <c r="V64" s="847" t="n">
        <f aca="false">+$S64*$F64+($G64*$S64)</f>
        <v>0</v>
      </c>
      <c r="W64" s="847" t="n">
        <f aca="false">+$S64*$G64+($H64*$S64)</f>
        <v>0</v>
      </c>
      <c r="X64" s="847" t="n">
        <f aca="false">+$S64*$H64+($I64*$S64)</f>
        <v>0</v>
      </c>
      <c r="Y64" s="847" t="n">
        <f aca="false">+$S64*$I64+($J64*$S64)</f>
        <v>0</v>
      </c>
      <c r="Z64" s="847" t="n">
        <f aca="false">+$S64*$J64+($K64*$S64)</f>
        <v>0</v>
      </c>
      <c r="AA64" s="847" t="n">
        <f aca="false">+$S64*$K64+($L64*$S64)</f>
        <v>0</v>
      </c>
      <c r="AB64" s="847" t="n">
        <f aca="false">+$S64*$L64+($M64*$S64)</f>
        <v>0</v>
      </c>
      <c r="AC64" s="847" t="n">
        <f aca="false">+$S64*$M64+($N64*$S64)</f>
        <v>0</v>
      </c>
      <c r="AD64" s="847" t="n">
        <f aca="false">+$S64*$N64+($O64*$S64)</f>
        <v>0</v>
      </c>
      <c r="AE64" s="848" t="n">
        <f aca="false">+$S64*$O64+($P64*($S64*2))</f>
        <v>0</v>
      </c>
    </row>
    <row r="65" customFormat="false" ht="11.25" hidden="false" customHeight="false" outlineLevel="0" collapsed="false">
      <c r="A65" s="856"/>
      <c r="B65" s="858" t="str">
        <f aca="false">+Insumo_LOTE_I!B64</f>
        <v>VASSOURA PELO 40CM </v>
      </c>
      <c r="C65" s="844" t="str">
        <f aca="false">+Insumo_LOTE_I!C64</f>
        <v>UND</v>
      </c>
      <c r="D65" s="291" t="n">
        <f aca="false">+Insumo_LOTE_I!D64</f>
        <v>20</v>
      </c>
      <c r="E65" s="845"/>
      <c r="F65" s="291"/>
      <c r="G65" s="845"/>
      <c r="H65" s="291"/>
      <c r="I65" s="845"/>
      <c r="J65" s="291"/>
      <c r="K65" s="845"/>
      <c r="L65" s="291"/>
      <c r="M65" s="845"/>
      <c r="N65" s="291"/>
      <c r="O65" s="845"/>
      <c r="P65" s="291"/>
      <c r="Q65" s="291" t="n">
        <f aca="false">+D65*6</f>
        <v>120</v>
      </c>
      <c r="R65" s="846" t="n">
        <f aca="false">+Q65-SUM(E65:P65)</f>
        <v>120</v>
      </c>
      <c r="S65" s="847" t="n">
        <f aca="false">+Insumos_Cotação!O73</f>
        <v>0</v>
      </c>
      <c r="T65" s="847" t="n">
        <f aca="false">+$S65*$E65</f>
        <v>0</v>
      </c>
      <c r="U65" s="847" t="n">
        <f aca="false">+$S65*$E65+($F65*$S65)</f>
        <v>0</v>
      </c>
      <c r="V65" s="847" t="n">
        <f aca="false">+$S65*$F65+($G65*$S65)</f>
        <v>0</v>
      </c>
      <c r="W65" s="847" t="n">
        <f aca="false">+$S65*$G65+($H65*$S65)</f>
        <v>0</v>
      </c>
      <c r="X65" s="847" t="n">
        <f aca="false">+$S65*$H65+($I65*$S65)</f>
        <v>0</v>
      </c>
      <c r="Y65" s="847" t="n">
        <f aca="false">+$S65*$I65+($J65*$S65)</f>
        <v>0</v>
      </c>
      <c r="Z65" s="847" t="n">
        <f aca="false">+$S65*$J65+($K65*$S65)</f>
        <v>0</v>
      </c>
      <c r="AA65" s="847" t="n">
        <f aca="false">+$S65*$K65+($L65*$S65)</f>
        <v>0</v>
      </c>
      <c r="AB65" s="847" t="n">
        <f aca="false">+$S65*$L65+($M65*$S65)</f>
        <v>0</v>
      </c>
      <c r="AC65" s="847" t="n">
        <f aca="false">+$S65*$M65+($N65*$S65)</f>
        <v>0</v>
      </c>
      <c r="AD65" s="847" t="n">
        <f aca="false">+$S65*$N65+($O65*$S65)</f>
        <v>0</v>
      </c>
      <c r="AE65" s="848" t="n">
        <f aca="false">+$S65*$O65+($P65*($S65*2))</f>
        <v>0</v>
      </c>
    </row>
    <row r="66" customFormat="false" ht="11.25" hidden="false" customHeight="false" outlineLevel="0" collapsed="false">
      <c r="A66" s="856"/>
      <c r="B66" s="858" t="str">
        <f aca="false">+Insumo_LOTE_I!B65</f>
        <v>VASSOURA PELO 60CM </v>
      </c>
      <c r="C66" s="844" t="str">
        <f aca="false">+Insumo_LOTE_I!C65</f>
        <v>UND</v>
      </c>
      <c r="D66" s="291" t="n">
        <f aca="false">+Insumo_LOTE_I!D65</f>
        <v>20</v>
      </c>
      <c r="E66" s="845"/>
      <c r="F66" s="291"/>
      <c r="G66" s="845"/>
      <c r="H66" s="291"/>
      <c r="I66" s="845"/>
      <c r="J66" s="291"/>
      <c r="K66" s="845"/>
      <c r="L66" s="291"/>
      <c r="M66" s="845"/>
      <c r="N66" s="291"/>
      <c r="O66" s="845"/>
      <c r="P66" s="291"/>
      <c r="Q66" s="291" t="n">
        <f aca="false">+D66*6</f>
        <v>120</v>
      </c>
      <c r="R66" s="846" t="n">
        <f aca="false">+Q66-SUM(E66:P66)</f>
        <v>120</v>
      </c>
      <c r="S66" s="847" t="n">
        <f aca="false">+Insumos_Cotação!O74</f>
        <v>0</v>
      </c>
      <c r="T66" s="847" t="n">
        <f aca="false">+$S66*$E66</f>
        <v>0</v>
      </c>
      <c r="U66" s="847" t="n">
        <f aca="false">+$S66*$E66+($F66*$S66)</f>
        <v>0</v>
      </c>
      <c r="V66" s="847" t="n">
        <f aca="false">+$S66*$F66+($G66*$S66)</f>
        <v>0</v>
      </c>
      <c r="W66" s="847" t="n">
        <f aca="false">+$S66*$G66+($H66*$S66)</f>
        <v>0</v>
      </c>
      <c r="X66" s="847" t="n">
        <f aca="false">+$S66*$H66+($I66*$S66)</f>
        <v>0</v>
      </c>
      <c r="Y66" s="847" t="n">
        <f aca="false">+$S66*$I66+($J66*$S66)</f>
        <v>0</v>
      </c>
      <c r="Z66" s="847" t="n">
        <f aca="false">+$S66*$J66+($K66*$S66)</f>
        <v>0</v>
      </c>
      <c r="AA66" s="847" t="n">
        <f aca="false">+$S66*$K66+($L66*$S66)</f>
        <v>0</v>
      </c>
      <c r="AB66" s="847" t="n">
        <f aca="false">+$S66*$L66+($M66*$S66)</f>
        <v>0</v>
      </c>
      <c r="AC66" s="847" t="n">
        <f aca="false">+$S66*$M66+($N66*$S66)</f>
        <v>0</v>
      </c>
      <c r="AD66" s="847" t="n">
        <f aca="false">+$S66*$N66+($O66*$S66)</f>
        <v>0</v>
      </c>
      <c r="AE66" s="848" t="n">
        <f aca="false">+$S66*$O66+($P66*($S66*2))</f>
        <v>0</v>
      </c>
    </row>
    <row r="67" customFormat="false" ht="11.25" hidden="false" customHeight="false" outlineLevel="0" collapsed="false">
      <c r="A67" s="856"/>
      <c r="B67" s="858" t="str">
        <f aca="false">+Insumo_LOTE_I!B66</f>
        <v>VASSOURA PIAÇAVA 30CM</v>
      </c>
      <c r="C67" s="844" t="str">
        <f aca="false">+Insumo_LOTE_I!C66</f>
        <v>UND</v>
      </c>
      <c r="D67" s="291" t="n">
        <f aca="false">+Insumo_LOTE_I!D66</f>
        <v>40</v>
      </c>
      <c r="E67" s="845"/>
      <c r="F67" s="291"/>
      <c r="G67" s="845"/>
      <c r="H67" s="291"/>
      <c r="I67" s="845"/>
      <c r="J67" s="291"/>
      <c r="K67" s="845"/>
      <c r="L67" s="291"/>
      <c r="M67" s="845"/>
      <c r="N67" s="291"/>
      <c r="O67" s="845"/>
      <c r="P67" s="291"/>
      <c r="Q67" s="291" t="n">
        <f aca="false">+D67*6</f>
        <v>240</v>
      </c>
      <c r="R67" s="846" t="n">
        <f aca="false">+Q67-SUM(E67:P67)</f>
        <v>240</v>
      </c>
      <c r="S67" s="847" t="n">
        <f aca="false">+Insumos_Cotação!O75</f>
        <v>0</v>
      </c>
      <c r="T67" s="847" t="n">
        <f aca="false">+$S67*$E67</f>
        <v>0</v>
      </c>
      <c r="U67" s="847" t="n">
        <f aca="false">+$S67*$E67+($F67*$S67)</f>
        <v>0</v>
      </c>
      <c r="V67" s="847" t="n">
        <f aca="false">+$S67*$F67+($G67*$S67)</f>
        <v>0</v>
      </c>
      <c r="W67" s="847" t="n">
        <f aca="false">+$S67*$G67+($H67*$S67)</f>
        <v>0</v>
      </c>
      <c r="X67" s="847" t="n">
        <f aca="false">+$S67*$H67+($I67*$S67)</f>
        <v>0</v>
      </c>
      <c r="Y67" s="847" t="n">
        <f aca="false">+$S67*$I67+($J67*$S67)</f>
        <v>0</v>
      </c>
      <c r="Z67" s="847" t="n">
        <f aca="false">+$S67*$J67+($K67*$S67)</f>
        <v>0</v>
      </c>
      <c r="AA67" s="847" t="n">
        <f aca="false">+$S67*$K67+($L67*$S67)</f>
        <v>0</v>
      </c>
      <c r="AB67" s="847" t="n">
        <f aca="false">+$S67*$L67+($M67*$S67)</f>
        <v>0</v>
      </c>
      <c r="AC67" s="847" t="n">
        <f aca="false">+$S67*$M67+($N67*$S67)</f>
        <v>0</v>
      </c>
      <c r="AD67" s="847" t="n">
        <f aca="false">+$S67*$N67+($O67*$S67)</f>
        <v>0</v>
      </c>
      <c r="AE67" s="848" t="n">
        <f aca="false">+$S67*$O67+($P67*($S67*2))</f>
        <v>0</v>
      </c>
    </row>
    <row r="68" customFormat="false" ht="11.25" hidden="false" customHeight="false" outlineLevel="0" collapsed="false">
      <c r="A68" s="856"/>
      <c r="B68" s="858" t="str">
        <f aca="false">+Insumo_LOTE_I!B67</f>
        <v>VASSOURA PIAÇAVA 40CM</v>
      </c>
      <c r="C68" s="844" t="str">
        <f aca="false">+Insumo_LOTE_I!C67</f>
        <v>UND</v>
      </c>
      <c r="D68" s="291" t="n">
        <f aca="false">+Insumo_LOTE_I!D67</f>
        <v>40</v>
      </c>
      <c r="E68" s="845"/>
      <c r="F68" s="291"/>
      <c r="G68" s="845"/>
      <c r="H68" s="291"/>
      <c r="I68" s="845"/>
      <c r="J68" s="291"/>
      <c r="K68" s="845"/>
      <c r="L68" s="291"/>
      <c r="M68" s="845"/>
      <c r="N68" s="291"/>
      <c r="O68" s="845"/>
      <c r="P68" s="291"/>
      <c r="Q68" s="291" t="n">
        <f aca="false">+D68*6</f>
        <v>240</v>
      </c>
      <c r="R68" s="846" t="n">
        <f aca="false">+Q68-SUM(E68:P68)</f>
        <v>240</v>
      </c>
      <c r="S68" s="847" t="n">
        <f aca="false">+Insumos_Cotação!O76</f>
        <v>0</v>
      </c>
      <c r="T68" s="847" t="n">
        <f aca="false">+$S68*$E68</f>
        <v>0</v>
      </c>
      <c r="U68" s="847" t="n">
        <f aca="false">+$S68*$E68+($F68*$S68)</f>
        <v>0</v>
      </c>
      <c r="V68" s="847" t="n">
        <f aca="false">+$S68*$F68+($G68*$S68)</f>
        <v>0</v>
      </c>
      <c r="W68" s="847" t="n">
        <f aca="false">+$S68*$G68+($H68*$S68)</f>
        <v>0</v>
      </c>
      <c r="X68" s="847" t="n">
        <f aca="false">+$S68*$H68+($I68*$S68)</f>
        <v>0</v>
      </c>
      <c r="Y68" s="847" t="n">
        <f aca="false">+$S68*$I68+($J68*$S68)</f>
        <v>0</v>
      </c>
      <c r="Z68" s="847" t="n">
        <f aca="false">+$S68*$J68+($K68*$S68)</f>
        <v>0</v>
      </c>
      <c r="AA68" s="847" t="n">
        <f aca="false">+$S68*$K68+($L68*$S68)</f>
        <v>0</v>
      </c>
      <c r="AB68" s="847" t="n">
        <f aca="false">+$S68*$L68+($M68*$S68)</f>
        <v>0</v>
      </c>
      <c r="AC68" s="847" t="n">
        <f aca="false">+$S68*$M68+($N68*$S68)</f>
        <v>0</v>
      </c>
      <c r="AD68" s="847" t="n">
        <f aca="false">+$S68*$N68+($O68*$S68)</f>
        <v>0</v>
      </c>
      <c r="AE68" s="848" t="n">
        <f aca="false">+$S68*$O68+($P68*($S68*2))</f>
        <v>0</v>
      </c>
    </row>
    <row r="69" customFormat="false" ht="12" hidden="false" customHeight="false" outlineLevel="0" collapsed="false">
      <c r="A69" s="856"/>
      <c r="B69" s="859" t="str">
        <f aca="false">+Insumo_LOTE_I!B68</f>
        <v>VASSOURA PIAÇAVA GARI </v>
      </c>
      <c r="C69" s="860" t="str">
        <f aca="false">+Insumo_LOTE_I!C68</f>
        <v>UND</v>
      </c>
      <c r="D69" s="861" t="n">
        <f aca="false">+Insumo_LOTE_I!D68</f>
        <v>10</v>
      </c>
      <c r="E69" s="862"/>
      <c r="F69" s="861"/>
      <c r="G69" s="862"/>
      <c r="H69" s="861"/>
      <c r="I69" s="862"/>
      <c r="J69" s="861"/>
      <c r="K69" s="862"/>
      <c r="L69" s="861"/>
      <c r="M69" s="862"/>
      <c r="N69" s="861"/>
      <c r="O69" s="862"/>
      <c r="P69" s="861"/>
      <c r="Q69" s="861" t="n">
        <f aca="false">+D69*6</f>
        <v>60</v>
      </c>
      <c r="R69" s="863" t="n">
        <f aca="false">+Q69-SUM(E69:P69)</f>
        <v>60</v>
      </c>
      <c r="S69" s="864" t="n">
        <f aca="false">+Insumos_Cotação!O77</f>
        <v>0</v>
      </c>
      <c r="T69" s="864" t="n">
        <f aca="false">+$S69*$E69</f>
        <v>0</v>
      </c>
      <c r="U69" s="864" t="n">
        <f aca="false">+$S69*$E69+($F69*$S69)</f>
        <v>0</v>
      </c>
      <c r="V69" s="864" t="n">
        <f aca="false">+$S69*$F69+($G69*$S69)</f>
        <v>0</v>
      </c>
      <c r="W69" s="864" t="n">
        <f aca="false">+$S69*$G69+($H69*$S69)</f>
        <v>0</v>
      </c>
      <c r="X69" s="864" t="n">
        <f aca="false">+$S69*$H69+($I69*$S69)</f>
        <v>0</v>
      </c>
      <c r="Y69" s="864" t="n">
        <f aca="false">+$S69*$I69+($J69*$S69)</f>
        <v>0</v>
      </c>
      <c r="Z69" s="864" t="n">
        <f aca="false">+$S69*$J69+($K69*$S69)</f>
        <v>0</v>
      </c>
      <c r="AA69" s="864" t="n">
        <f aca="false">+$S69*$K69+($L69*$S69)</f>
        <v>0</v>
      </c>
      <c r="AB69" s="864" t="n">
        <f aca="false">+$S69*$L69+($M69*$S69)</f>
        <v>0</v>
      </c>
      <c r="AC69" s="864" t="n">
        <f aca="false">+$S69*$M69+($N69*$S69)</f>
        <v>0</v>
      </c>
      <c r="AD69" s="864" t="n">
        <f aca="false">+$S69*$N69+($O69*$S69)</f>
        <v>0</v>
      </c>
      <c r="AE69" s="865" t="n">
        <f aca="false">+$S69*$O69+($P69*($S69*2))</f>
        <v>0</v>
      </c>
    </row>
    <row r="70" customFormat="false" ht="11.25" hidden="false" customHeight="true" outlineLevel="0" collapsed="false">
      <c r="A70" s="856" t="s">
        <v>291</v>
      </c>
      <c r="B70" s="866" t="str">
        <f aca="false">+Insumo_LOTE_I!B69</f>
        <v>BALDE PLÁSTICO 10LT </v>
      </c>
      <c r="C70" s="867" t="str">
        <f aca="false">+Insumo_LOTE_I!C69</f>
        <v>UND</v>
      </c>
      <c r="D70" s="868" t="n">
        <f aca="false">+Insumo_LOTE_I!D69</f>
        <v>40</v>
      </c>
      <c r="E70" s="869"/>
      <c r="F70" s="868"/>
      <c r="G70" s="868"/>
      <c r="H70" s="869"/>
      <c r="I70" s="868"/>
      <c r="J70" s="868"/>
      <c r="K70" s="869"/>
      <c r="L70" s="868"/>
      <c r="M70" s="868"/>
      <c r="N70" s="869"/>
      <c r="O70" s="868"/>
      <c r="P70" s="868"/>
      <c r="Q70" s="868" t="n">
        <f aca="false">+D70*4</f>
        <v>160</v>
      </c>
      <c r="R70" s="870" t="n">
        <f aca="false">+Q70-SUM(E70:P70)</f>
        <v>160</v>
      </c>
      <c r="S70" s="871" t="n">
        <f aca="false">+Insumos_Cotação!O79</f>
        <v>0</v>
      </c>
      <c r="T70" s="871" t="n">
        <f aca="false">+(E70*$S70)</f>
        <v>0</v>
      </c>
      <c r="U70" s="871" t="n">
        <f aca="false">+(E70*$S70)+(F70*$S70)</f>
        <v>0</v>
      </c>
      <c r="V70" s="871" t="n">
        <f aca="false">(E70*$S70)+(F70*$S70)+(G70*$S70)</f>
        <v>0</v>
      </c>
      <c r="W70" s="871" t="n">
        <f aca="false">(F70*$S70)+(G70*$S70)+(H70*$S70)</f>
        <v>0</v>
      </c>
      <c r="X70" s="871" t="n">
        <f aca="false">(G70*$S70)+(H70*$S70)+(I70*$S70)</f>
        <v>0</v>
      </c>
      <c r="Y70" s="871" t="n">
        <f aca="false">(H70*$S70)+(I70*$S70)+(J70*$S70)</f>
        <v>0</v>
      </c>
      <c r="Z70" s="871" t="n">
        <f aca="false">(I70*$S70)+(J70*$S70)+(K70*$S70)</f>
        <v>0</v>
      </c>
      <c r="AA70" s="871" t="n">
        <f aca="false">(J70*$S70)+(K70*$S70)+(L70*$S70)</f>
        <v>0</v>
      </c>
      <c r="AB70" s="871" t="n">
        <f aca="false">(K70*$S70)+(L70*$S70)+(M70*$S70)</f>
        <v>0</v>
      </c>
      <c r="AC70" s="871" t="n">
        <f aca="false">(L70*$S70)+(M70*$S70)+(N70*$S70)</f>
        <v>0</v>
      </c>
      <c r="AD70" s="871" t="n">
        <f aca="false">(M70*$S70)+(N70*$S70)+(O70*$S70)</f>
        <v>0</v>
      </c>
      <c r="AE70" s="872" t="n">
        <f aca="false">(N70*$S70)+(O70*($S70*2))+(P70*($S70*3))</f>
        <v>0</v>
      </c>
    </row>
    <row r="71" customFormat="false" ht="11.25" hidden="false" customHeight="false" outlineLevel="0" collapsed="false">
      <c r="A71" s="856"/>
      <c r="B71" s="866" t="str">
        <f aca="false">+Insumo_LOTE_I!B70</f>
        <v>BALDE PLÁSTICO 20LT </v>
      </c>
      <c r="C71" s="867" t="str">
        <f aca="false">+Insumo_LOTE_I!C70</f>
        <v>UND</v>
      </c>
      <c r="D71" s="868" t="n">
        <f aca="false">+Insumo_LOTE_I!D70</f>
        <v>40</v>
      </c>
      <c r="E71" s="845"/>
      <c r="F71" s="291"/>
      <c r="G71" s="291"/>
      <c r="H71" s="845"/>
      <c r="I71" s="291"/>
      <c r="J71" s="291"/>
      <c r="K71" s="845"/>
      <c r="L71" s="291"/>
      <c r="M71" s="291"/>
      <c r="N71" s="845"/>
      <c r="O71" s="291"/>
      <c r="P71" s="291"/>
      <c r="Q71" s="291" t="n">
        <f aca="false">+D71*4</f>
        <v>160</v>
      </c>
      <c r="R71" s="846" t="n">
        <f aca="false">+Q71-SUM(E71:P71)</f>
        <v>160</v>
      </c>
      <c r="S71" s="871" t="n">
        <f aca="false">+Insumos_Cotação!O80</f>
        <v>0</v>
      </c>
      <c r="T71" s="847" t="n">
        <f aca="false">+(E71*$S71)</f>
        <v>0</v>
      </c>
      <c r="U71" s="847" t="n">
        <f aca="false">+(E71*$S71)+(F71*$S71)</f>
        <v>0</v>
      </c>
      <c r="V71" s="847" t="n">
        <f aca="false">(E71*$S71)+(F71*$S71)+(G71*$S71)</f>
        <v>0</v>
      </c>
      <c r="W71" s="847" t="n">
        <f aca="false">(F71*$S71)+(G71*$S71)+(H71*$S71)</f>
        <v>0</v>
      </c>
      <c r="X71" s="847" t="n">
        <f aca="false">(G71*$S71)+(H71*$S71)+(I71*$S71)</f>
        <v>0</v>
      </c>
      <c r="Y71" s="847" t="n">
        <f aca="false">(H71*$S71)+(I71*$S71)+(J71*$S71)</f>
        <v>0</v>
      </c>
      <c r="Z71" s="847" t="n">
        <f aca="false">(I71*$S71)+(J71*$S71)+(K71*$S71)</f>
        <v>0</v>
      </c>
      <c r="AA71" s="847" t="n">
        <f aca="false">(J71*$S71)+(K71*$S71)+(L71*$S71)</f>
        <v>0</v>
      </c>
      <c r="AB71" s="847" t="n">
        <f aca="false">(K71*$S71)+(L71*$S71)+(M71*$S71)</f>
        <v>0</v>
      </c>
      <c r="AC71" s="847" t="n">
        <f aca="false">(L71*$S71)+(M71*$S71)+(N71*$S71)</f>
        <v>0</v>
      </c>
      <c r="AD71" s="847" t="n">
        <f aca="false">(M71*$S71)+(N71*$S71)+(O71*$S71)</f>
        <v>0</v>
      </c>
      <c r="AE71" s="848" t="n">
        <f aca="false">(N71*$S71)+(O71*($S71*2))+(P71*($S71*3))</f>
        <v>0</v>
      </c>
    </row>
    <row r="72" customFormat="false" ht="11.25" hidden="false" customHeight="false" outlineLevel="0" collapsed="false">
      <c r="A72" s="856"/>
      <c r="B72" s="866" t="str">
        <f aca="false">+Insumo_LOTE_I!B71</f>
        <v>DESENTUPIDOR DE PIA </v>
      </c>
      <c r="C72" s="867" t="str">
        <f aca="false">+Insumo_LOTE_I!C71</f>
        <v>UND</v>
      </c>
      <c r="D72" s="868" t="n">
        <f aca="false">+Insumo_LOTE_I!D71</f>
        <v>10</v>
      </c>
      <c r="E72" s="845"/>
      <c r="F72" s="291"/>
      <c r="G72" s="291"/>
      <c r="H72" s="845"/>
      <c r="I72" s="291"/>
      <c r="J72" s="291"/>
      <c r="K72" s="845"/>
      <c r="L72" s="291"/>
      <c r="M72" s="291"/>
      <c r="N72" s="845"/>
      <c r="O72" s="291"/>
      <c r="P72" s="291"/>
      <c r="Q72" s="291" t="n">
        <f aca="false">+D72*4</f>
        <v>40</v>
      </c>
      <c r="R72" s="846" t="n">
        <f aca="false">+Q72-SUM(E72:P72)</f>
        <v>40</v>
      </c>
      <c r="S72" s="871" t="n">
        <f aca="false">+Insumos_Cotação!O81</f>
        <v>0</v>
      </c>
      <c r="T72" s="847" t="n">
        <f aca="false">+(E72*$S72)</f>
        <v>0</v>
      </c>
      <c r="U72" s="847" t="n">
        <f aca="false">+(E72*$S72)+(F72*$S72)</f>
        <v>0</v>
      </c>
      <c r="V72" s="847" t="n">
        <f aca="false">(E72*$S72)+(F72*$S72)+(G72*$S72)</f>
        <v>0</v>
      </c>
      <c r="W72" s="847" t="n">
        <f aca="false">(F72*$S72)+(G72*$S72)+(H72*$S72)</f>
        <v>0</v>
      </c>
      <c r="X72" s="847" t="n">
        <f aca="false">(G72*$S72)+(H72*$S72)+(I72*$S72)</f>
        <v>0</v>
      </c>
      <c r="Y72" s="847" t="n">
        <f aca="false">(H72*$S72)+(I72*$S72)+(J72*$S72)</f>
        <v>0</v>
      </c>
      <c r="Z72" s="847" t="n">
        <f aca="false">(I72*$S72)+(J72*$S72)+(K72*$S72)</f>
        <v>0</v>
      </c>
      <c r="AA72" s="847" t="n">
        <f aca="false">(J72*$S72)+(K72*$S72)+(L72*$S72)</f>
        <v>0</v>
      </c>
      <c r="AB72" s="847" t="n">
        <f aca="false">(K72*$S72)+(L72*$S72)+(M72*$S72)</f>
        <v>0</v>
      </c>
      <c r="AC72" s="847" t="n">
        <f aca="false">(L72*$S72)+(M72*$S72)+(N72*$S72)</f>
        <v>0</v>
      </c>
      <c r="AD72" s="847" t="n">
        <f aca="false">(M72*$S72)+(N72*$S72)+(O72*$S72)</f>
        <v>0</v>
      </c>
      <c r="AE72" s="848" t="n">
        <f aca="false">(N72*$S72)+(O72*($S72*2))+(P72*($S72*3))</f>
        <v>0</v>
      </c>
    </row>
    <row r="73" customFormat="false" ht="11.25" hidden="false" customHeight="false" outlineLevel="0" collapsed="false">
      <c r="A73" s="856"/>
      <c r="B73" s="866" t="str">
        <f aca="false">+Insumo_LOTE_I!B72</f>
        <v>DESENTUPIDOR DE VASO </v>
      </c>
      <c r="C73" s="867" t="str">
        <f aca="false">+Insumo_LOTE_I!C72</f>
        <v>UND</v>
      </c>
      <c r="D73" s="868" t="n">
        <f aca="false">+Insumo_LOTE_I!D72</f>
        <v>15</v>
      </c>
      <c r="E73" s="845"/>
      <c r="F73" s="291"/>
      <c r="G73" s="291"/>
      <c r="H73" s="845"/>
      <c r="I73" s="291"/>
      <c r="J73" s="291"/>
      <c r="K73" s="845"/>
      <c r="L73" s="291"/>
      <c r="M73" s="291"/>
      <c r="N73" s="845"/>
      <c r="O73" s="291"/>
      <c r="P73" s="291"/>
      <c r="Q73" s="291" t="n">
        <f aca="false">+D73*4</f>
        <v>60</v>
      </c>
      <c r="R73" s="846" t="n">
        <f aca="false">+Q73-SUM(E73:P73)</f>
        <v>60</v>
      </c>
      <c r="S73" s="871" t="n">
        <f aca="false">+Insumos_Cotação!O82</f>
        <v>0</v>
      </c>
      <c r="T73" s="847" t="n">
        <f aca="false">+(E73*$S73)</f>
        <v>0</v>
      </c>
      <c r="U73" s="847" t="n">
        <f aca="false">+(E73*$S73)+(F73*$S73)</f>
        <v>0</v>
      </c>
      <c r="V73" s="847" t="n">
        <f aca="false">(E73*$S73)+(F73*$S73)+(G73*$S73)</f>
        <v>0</v>
      </c>
      <c r="W73" s="847" t="n">
        <f aca="false">(F73*$S73)+(G73*$S73)+(H73*$S73)</f>
        <v>0</v>
      </c>
      <c r="X73" s="847" t="n">
        <f aca="false">(G73*$S73)+(H73*$S73)+(I73*$S73)</f>
        <v>0</v>
      </c>
      <c r="Y73" s="847" t="n">
        <f aca="false">(H73*$S73)+(I73*$S73)+(J73*$S73)</f>
        <v>0</v>
      </c>
      <c r="Z73" s="847" t="n">
        <f aca="false">(I73*$S73)+(J73*$S73)+(K73*$S73)</f>
        <v>0</v>
      </c>
      <c r="AA73" s="847" t="n">
        <f aca="false">(J73*$S73)+(K73*$S73)+(L73*$S73)</f>
        <v>0</v>
      </c>
      <c r="AB73" s="847" t="n">
        <f aca="false">(K73*$S73)+(L73*$S73)+(M73*$S73)</f>
        <v>0</v>
      </c>
      <c r="AC73" s="847" t="n">
        <f aca="false">(L73*$S73)+(M73*$S73)+(N73*$S73)</f>
        <v>0</v>
      </c>
      <c r="AD73" s="847" t="n">
        <f aca="false">(M73*$S73)+(N73*$S73)+(O73*$S73)</f>
        <v>0</v>
      </c>
      <c r="AE73" s="848" t="n">
        <f aca="false">(N73*$S73)+(O73*($S73*2))+(P73*($S73*3))</f>
        <v>0</v>
      </c>
    </row>
    <row r="74" customFormat="false" ht="11.25" hidden="false" customHeight="false" outlineLevel="0" collapsed="false">
      <c r="A74" s="856"/>
      <c r="B74" s="866" t="str">
        <f aca="false">+Insumo_LOTE_I!B73</f>
        <v>ESCOVA OVAL NYLON</v>
      </c>
      <c r="C74" s="867" t="str">
        <f aca="false">+Insumo_LOTE_I!C73</f>
        <v>UND</v>
      </c>
      <c r="D74" s="868" t="n">
        <f aca="false">+Insumo_LOTE_I!D73</f>
        <v>15</v>
      </c>
      <c r="E74" s="845"/>
      <c r="F74" s="291"/>
      <c r="G74" s="291"/>
      <c r="H74" s="845"/>
      <c r="I74" s="291"/>
      <c r="J74" s="291"/>
      <c r="K74" s="845"/>
      <c r="L74" s="291"/>
      <c r="M74" s="291"/>
      <c r="N74" s="845"/>
      <c r="O74" s="291"/>
      <c r="P74" s="291"/>
      <c r="Q74" s="291" t="n">
        <f aca="false">+D74*4</f>
        <v>60</v>
      </c>
      <c r="R74" s="846" t="n">
        <f aca="false">+Q74-SUM(E74:P74)</f>
        <v>60</v>
      </c>
      <c r="S74" s="871" t="n">
        <f aca="false">+Insumos_Cotação!O83</f>
        <v>0</v>
      </c>
      <c r="T74" s="847" t="n">
        <f aca="false">+(E74*$S74)</f>
        <v>0</v>
      </c>
      <c r="U74" s="847" t="n">
        <f aca="false">+(E74*$S74)+(F74*$S74)</f>
        <v>0</v>
      </c>
      <c r="V74" s="847" t="n">
        <f aca="false">(E74*$S74)+(F74*$S74)+(G74*$S74)</f>
        <v>0</v>
      </c>
      <c r="W74" s="847" t="n">
        <f aca="false">(F74*$S74)+(G74*$S74)+(H74*$S74)</f>
        <v>0</v>
      </c>
      <c r="X74" s="847" t="n">
        <f aca="false">(G74*$S74)+(H74*$S74)+(I74*$S74)</f>
        <v>0</v>
      </c>
      <c r="Y74" s="847" t="n">
        <f aca="false">(H74*$S74)+(I74*$S74)+(J74*$S74)</f>
        <v>0</v>
      </c>
      <c r="Z74" s="847" t="n">
        <f aca="false">(I74*$S74)+(J74*$S74)+(K74*$S74)</f>
        <v>0</v>
      </c>
      <c r="AA74" s="847" t="n">
        <f aca="false">(J74*$S74)+(K74*$S74)+(L74*$S74)</f>
        <v>0</v>
      </c>
      <c r="AB74" s="847" t="n">
        <f aca="false">(K74*$S74)+(L74*$S74)+(M74*$S74)</f>
        <v>0</v>
      </c>
      <c r="AC74" s="847" t="n">
        <f aca="false">(L74*$S74)+(M74*$S74)+(N74*$S74)</f>
        <v>0</v>
      </c>
      <c r="AD74" s="847" t="n">
        <f aca="false">(M74*$S74)+(N74*$S74)+(O74*$S74)</f>
        <v>0</v>
      </c>
      <c r="AE74" s="848" t="n">
        <f aca="false">(N74*$S74)+(O74*($S74*2))+(P74*($S74*3))</f>
        <v>0</v>
      </c>
    </row>
    <row r="75" customFormat="false" ht="11.25" hidden="false" customHeight="false" outlineLevel="0" collapsed="false">
      <c r="A75" s="856"/>
      <c r="B75" s="866" t="str">
        <f aca="false">+Insumo_LOTE_I!B74</f>
        <v>PÁ DE LIXO ZINCO C/ CABO LONGO</v>
      </c>
      <c r="C75" s="867" t="str">
        <f aca="false">+Insumo_LOTE_I!C74</f>
        <v>UND</v>
      </c>
      <c r="D75" s="868" t="n">
        <f aca="false">+Insumo_LOTE_I!D74</f>
        <v>20</v>
      </c>
      <c r="E75" s="845"/>
      <c r="F75" s="291"/>
      <c r="G75" s="291"/>
      <c r="H75" s="845"/>
      <c r="I75" s="291"/>
      <c r="J75" s="291"/>
      <c r="K75" s="845"/>
      <c r="L75" s="291"/>
      <c r="M75" s="291"/>
      <c r="N75" s="845"/>
      <c r="O75" s="291"/>
      <c r="P75" s="291"/>
      <c r="Q75" s="291" t="n">
        <f aca="false">+D75*4</f>
        <v>80</v>
      </c>
      <c r="R75" s="846" t="n">
        <f aca="false">+Q75-SUM(E75:P75)</f>
        <v>80</v>
      </c>
      <c r="S75" s="871" t="n">
        <f aca="false">+Insumos_Cotação!O84</f>
        <v>0</v>
      </c>
      <c r="T75" s="847" t="n">
        <f aca="false">+(E75*$S75)</f>
        <v>0</v>
      </c>
      <c r="U75" s="847" t="n">
        <f aca="false">+(E75*$S75)+(F75*$S75)</f>
        <v>0</v>
      </c>
      <c r="V75" s="847" t="n">
        <f aca="false">(E75*$S75)+(F75*$S75)+(G75*$S75)</f>
        <v>0</v>
      </c>
      <c r="W75" s="847" t="n">
        <f aca="false">(F75*$S75)+(G75*$S75)+(H75*$S75)</f>
        <v>0</v>
      </c>
      <c r="X75" s="847" t="n">
        <f aca="false">(G75*$S75)+(H75*$S75)+(I75*$S75)</f>
        <v>0</v>
      </c>
      <c r="Y75" s="847" t="n">
        <f aca="false">(H75*$S75)+(I75*$S75)+(J75*$S75)</f>
        <v>0</v>
      </c>
      <c r="Z75" s="847" t="n">
        <f aca="false">(I75*$S75)+(J75*$S75)+(K75*$S75)</f>
        <v>0</v>
      </c>
      <c r="AA75" s="847" t="n">
        <f aca="false">(J75*$S75)+(K75*$S75)+(L75*$S75)</f>
        <v>0</v>
      </c>
      <c r="AB75" s="847" t="n">
        <f aca="false">(K75*$S75)+(L75*$S75)+(M75*$S75)</f>
        <v>0</v>
      </c>
      <c r="AC75" s="847" t="n">
        <f aca="false">(L75*$S75)+(M75*$S75)+(N75*$S75)</f>
        <v>0</v>
      </c>
      <c r="AD75" s="847" t="n">
        <f aca="false">(M75*$S75)+(N75*$S75)+(O75*$S75)</f>
        <v>0</v>
      </c>
      <c r="AE75" s="848" t="n">
        <f aca="false">(N75*$S75)+(O75*($S75*2))+(P75*($S75*3))</f>
        <v>0</v>
      </c>
    </row>
    <row r="76" customFormat="false" ht="12" hidden="false" customHeight="false" outlineLevel="0" collapsed="false">
      <c r="A76" s="856"/>
      <c r="B76" s="873" t="str">
        <f aca="false">+Insumo_LOTE_I!B75</f>
        <v>VASSOURA METÁLICA P/ JARDIM</v>
      </c>
      <c r="C76" s="874" t="str">
        <f aca="false">+Insumo_LOTE_I!C75</f>
        <v>UND</v>
      </c>
      <c r="D76" s="875" t="n">
        <f aca="false">+Insumo_LOTE_I!D75</f>
        <v>10</v>
      </c>
      <c r="E76" s="852"/>
      <c r="F76" s="851"/>
      <c r="G76" s="851"/>
      <c r="H76" s="852"/>
      <c r="I76" s="851"/>
      <c r="J76" s="851"/>
      <c r="K76" s="852"/>
      <c r="L76" s="851"/>
      <c r="M76" s="851"/>
      <c r="N76" s="852"/>
      <c r="O76" s="851"/>
      <c r="P76" s="851"/>
      <c r="Q76" s="851" t="n">
        <f aca="false">+D76*4</f>
        <v>40</v>
      </c>
      <c r="R76" s="853" t="n">
        <f aca="false">+Q76-SUM(E76:P76)</f>
        <v>40</v>
      </c>
      <c r="S76" s="876" t="n">
        <f aca="false">+Insumos_Cotação!O85</f>
        <v>0</v>
      </c>
      <c r="T76" s="854" t="n">
        <f aca="false">+(E76*$S76)</f>
        <v>0</v>
      </c>
      <c r="U76" s="854" t="n">
        <f aca="false">+(E76*$S76)+(F76*$S76)</f>
        <v>0</v>
      </c>
      <c r="V76" s="854" t="n">
        <f aca="false">(E76*$S76)+(F76*$S76)+(G76*$S76)</f>
        <v>0</v>
      </c>
      <c r="W76" s="854" t="n">
        <f aca="false">(F76*$S76)+(G76*$S76)+(H76*$S76)</f>
        <v>0</v>
      </c>
      <c r="X76" s="854" t="n">
        <f aca="false">(G76*$S76)+(H76*$S76)+(I76*$S76)</f>
        <v>0</v>
      </c>
      <c r="Y76" s="854" t="n">
        <f aca="false">(H76*$S76)+(I76*$S76)+(J76*$S76)</f>
        <v>0</v>
      </c>
      <c r="Z76" s="854" t="n">
        <f aca="false">(I76*$S76)+(J76*$S76)+(K76*$S76)</f>
        <v>0</v>
      </c>
      <c r="AA76" s="854" t="n">
        <f aca="false">(J76*$S76)+(K76*$S76)+(L76*$S76)</f>
        <v>0</v>
      </c>
      <c r="AB76" s="854" t="n">
        <f aca="false">(K76*$S76)+(L76*$S76)+(M76*$S76)</f>
        <v>0</v>
      </c>
      <c r="AC76" s="854" t="n">
        <f aca="false">(L76*$S76)+(M76*$S76)+(N76*$S76)</f>
        <v>0</v>
      </c>
      <c r="AD76" s="854" t="n">
        <f aca="false">(M76*$S76)+(N76*$S76)+(O76*$S76)</f>
        <v>0</v>
      </c>
      <c r="AE76" s="855" t="n">
        <f aca="false">(N76*$S76)+(O76*($S76*2))+(P76*($S76*3))</f>
        <v>0</v>
      </c>
    </row>
    <row r="77" customFormat="false" ht="11.25" hidden="false" customHeight="true" outlineLevel="0" collapsed="false">
      <c r="A77" s="856" t="s">
        <v>299</v>
      </c>
      <c r="B77" s="857" t="str">
        <f aca="false">+Insumo_LOTE_I!B76</f>
        <v>ESPANADOR UND</v>
      </c>
      <c r="C77" s="837" t="str">
        <f aca="false">+Insumo_LOTE_I!C76</f>
        <v>UND</v>
      </c>
      <c r="D77" s="838" t="n">
        <f aca="false">+Insumo_LOTE_I!D76</f>
        <v>15</v>
      </c>
      <c r="E77" s="839"/>
      <c r="F77" s="838"/>
      <c r="G77" s="838"/>
      <c r="H77" s="838"/>
      <c r="I77" s="838"/>
      <c r="J77" s="838"/>
      <c r="K77" s="839"/>
      <c r="L77" s="838"/>
      <c r="M77" s="838"/>
      <c r="N77" s="838"/>
      <c r="O77" s="838"/>
      <c r="P77" s="838"/>
      <c r="Q77" s="838" t="n">
        <f aca="false">+D77*2</f>
        <v>30</v>
      </c>
      <c r="R77" s="840" t="n">
        <f aca="false">+Q77-SUM(E77:P77)</f>
        <v>30</v>
      </c>
      <c r="S77" s="841" t="n">
        <f aca="false">+Insumos_Cotação!O87</f>
        <v>0</v>
      </c>
      <c r="T77" s="841" t="n">
        <f aca="false">+E77*$S77</f>
        <v>0</v>
      </c>
      <c r="U77" s="841" t="n">
        <f aca="false">+E77*$S77+F77*$S77</f>
        <v>0</v>
      </c>
      <c r="V77" s="841" t="n">
        <f aca="false">+E77*$S77+F77*$S77+G77*$S77</f>
        <v>0</v>
      </c>
      <c r="W77" s="841" t="n">
        <f aca="false">++E77*$S77+F77*$S77+G77*$S77+H77*$S77</f>
        <v>0</v>
      </c>
      <c r="X77" s="841" t="n">
        <f aca="false">+E77*$S77+F77*$S77+G77*$S77+H77*$S77+I77*$S77</f>
        <v>0</v>
      </c>
      <c r="Y77" s="841" t="n">
        <f aca="false">+E77*$S77+F77*$S77+G77*$S77+H77*$S77+I77*$S77+J77*$S77</f>
        <v>0</v>
      </c>
      <c r="Z77" s="841" t="n">
        <f aca="false">+F77*$S77+G77*$S77+H77*$S77+I77*$S77+J77*$S77+K77*$S77</f>
        <v>0</v>
      </c>
      <c r="AA77" s="841" t="n">
        <f aca="false">+G77*$S77+H77*$S77+I77*$S77+J77*$S77+K77*$S77+L77*$S77</f>
        <v>0</v>
      </c>
      <c r="AB77" s="841" t="n">
        <f aca="false">+H77*$S77+I77*$S77+J77*$S77+K77*$S77+L77*$S77+M77*$S77</f>
        <v>0</v>
      </c>
      <c r="AC77" s="841" t="n">
        <f aca="false">+I77*$S77+J77*$S77+K77*$S77+L77*$S77+M77*$S77+N77*$S77</f>
        <v>0</v>
      </c>
      <c r="AD77" s="841" t="n">
        <f aca="false">+J77*$S77+K77*$S77+L77*$S77+M77*$S77+N77*$S77+O77*$S77</f>
        <v>0</v>
      </c>
      <c r="AE77" s="842" t="n">
        <f aca="false">+K77*$S77+L77*$S77+M77*$S77+N77*$S77+O77*$S77+P77*$S77</f>
        <v>0</v>
      </c>
    </row>
    <row r="78" customFormat="false" ht="11.25" hidden="false" customHeight="false" outlineLevel="0" collapsed="false">
      <c r="A78" s="856"/>
      <c r="B78" s="858" t="str">
        <f aca="false">+Insumo_LOTE_I!B77</f>
        <v>LIXEIRA PEDAL GRANDE 100L</v>
      </c>
      <c r="C78" s="844" t="str">
        <f aca="false">+Insumo_LOTE_I!C77</f>
        <v>UND</v>
      </c>
      <c r="D78" s="291" t="n">
        <f aca="false">+Insumo_LOTE_I!D77</f>
        <v>30</v>
      </c>
      <c r="E78" s="845"/>
      <c r="F78" s="291"/>
      <c r="G78" s="291"/>
      <c r="H78" s="291"/>
      <c r="I78" s="291"/>
      <c r="J78" s="291"/>
      <c r="K78" s="845"/>
      <c r="L78" s="291"/>
      <c r="M78" s="291"/>
      <c r="N78" s="291"/>
      <c r="O78" s="291"/>
      <c r="P78" s="291"/>
      <c r="Q78" s="291" t="n">
        <f aca="false">+D78*2</f>
        <v>60</v>
      </c>
      <c r="R78" s="846" t="n">
        <f aca="false">+Q78-SUM(E78:P78)</f>
        <v>60</v>
      </c>
      <c r="S78" s="847" t="n">
        <f aca="false">+Insumos_Cotação!O88</f>
        <v>0</v>
      </c>
      <c r="T78" s="847" t="n">
        <f aca="false">+E78*$S78</f>
        <v>0</v>
      </c>
      <c r="U78" s="847" t="n">
        <f aca="false">+E78*$S78+F78*$S78</f>
        <v>0</v>
      </c>
      <c r="V78" s="847" t="n">
        <f aca="false">+E78*$S78+F78*$S78+G78*$S78</f>
        <v>0</v>
      </c>
      <c r="W78" s="847" t="n">
        <f aca="false">++E78*$S78+F78*$S78+G78*$S78+H78*$S78</f>
        <v>0</v>
      </c>
      <c r="X78" s="847" t="n">
        <f aca="false">+E78*$S78+F78*$S78+G78*$S78+H78*$S78+I78*$S78</f>
        <v>0</v>
      </c>
      <c r="Y78" s="847" t="n">
        <f aca="false">+E78*$S78+F78*$S78+G78*$S78+H78*$S78+I78*$S78+J78*$S78</f>
        <v>0</v>
      </c>
      <c r="Z78" s="847" t="n">
        <f aca="false">+F78*$S78+G78*$S78+H78*$S78+I78*$S78+J78*$S78+K78*$S78</f>
        <v>0</v>
      </c>
      <c r="AA78" s="847" t="n">
        <f aca="false">+G78*$S78+H78*$S78+I78*$S78+J78*$S78+K78*$S78+L78*$S78</f>
        <v>0</v>
      </c>
      <c r="AB78" s="847" t="n">
        <f aca="false">+H78*$S78+I78*$S78+J78*$S78+K78*$S78+L78*$S78+M78*$S78</f>
        <v>0</v>
      </c>
      <c r="AC78" s="847" t="n">
        <f aca="false">+I78*$S78+J78*$S78+K78*$S78+L78*$S78+M78*$S78+N78*$S78</f>
        <v>0</v>
      </c>
      <c r="AD78" s="847" t="n">
        <f aca="false">+J78*$S78+K78*$S78+L78*$S78+M78*$S78+N78*$S78+O78*$S78</f>
        <v>0</v>
      </c>
      <c r="AE78" s="848" t="n">
        <f aca="false">+K78*$S78+L78*$S78+M78*$S78+N78*$S78+O78*$S78+P78*$S78</f>
        <v>0</v>
      </c>
    </row>
    <row r="79" customFormat="false" ht="11.25" hidden="false" customHeight="false" outlineLevel="0" collapsed="false">
      <c r="A79" s="856"/>
      <c r="B79" s="858" t="str">
        <f aca="false">+Insumo_LOTE_I!B78</f>
        <v>LIXEIRA PEDAL MÉDIA 50L</v>
      </c>
      <c r="C79" s="844" t="str">
        <f aca="false">+Insumo_LOTE_I!C78</f>
        <v>UND</v>
      </c>
      <c r="D79" s="291" t="n">
        <f aca="false">+Insumo_LOTE_I!D78</f>
        <v>30</v>
      </c>
      <c r="E79" s="845"/>
      <c r="F79" s="291"/>
      <c r="G79" s="291"/>
      <c r="H79" s="291"/>
      <c r="I79" s="291"/>
      <c r="J79" s="291"/>
      <c r="K79" s="845"/>
      <c r="L79" s="291"/>
      <c r="M79" s="291"/>
      <c r="N79" s="291"/>
      <c r="O79" s="291"/>
      <c r="P79" s="291"/>
      <c r="Q79" s="291" t="n">
        <f aca="false">+D79*2</f>
        <v>60</v>
      </c>
      <c r="R79" s="846" t="n">
        <f aca="false">+Q79-SUM(E79:P79)</f>
        <v>60</v>
      </c>
      <c r="S79" s="847" t="n">
        <f aca="false">+Insumos_Cotação!O89</f>
        <v>0</v>
      </c>
      <c r="T79" s="847" t="n">
        <f aca="false">+E79*$S79</f>
        <v>0</v>
      </c>
      <c r="U79" s="847" t="n">
        <f aca="false">+E79*$S79+F79*$S79</f>
        <v>0</v>
      </c>
      <c r="V79" s="847" t="n">
        <f aca="false">+E79*$S79+F79*$S79+G79*$S79</f>
        <v>0</v>
      </c>
      <c r="W79" s="847" t="n">
        <f aca="false">++E79*$S79+F79*$S79+G79*$S79+H79*$S79</f>
        <v>0</v>
      </c>
      <c r="X79" s="847" t="n">
        <f aca="false">+E79*$S79+F79*$S79+G79*$S79+H79*$S79+I79*$S79</f>
        <v>0</v>
      </c>
      <c r="Y79" s="847" t="n">
        <f aca="false">+E79*$S79+F79*$S79+G79*$S79+H79*$S79+I79*$S79+J79*$S79</f>
        <v>0</v>
      </c>
      <c r="Z79" s="847" t="n">
        <f aca="false">+F79*$S79+G79*$S79+H79*$S79+I79*$S79+J79*$S79+K79*$S79</f>
        <v>0</v>
      </c>
      <c r="AA79" s="847" t="n">
        <f aca="false">+G79*$S79+H79*$S79+I79*$S79+J79*$S79+K79*$S79+L79*$S79</f>
        <v>0</v>
      </c>
      <c r="AB79" s="847" t="n">
        <f aca="false">+H79*$S79+I79*$S79+J79*$S79+K79*$S79+L79*$S79+M79*$S79</f>
        <v>0</v>
      </c>
      <c r="AC79" s="847" t="n">
        <f aca="false">+I79*$S79+J79*$S79+K79*$S79+L79*$S79+M79*$S79+N79*$S79</f>
        <v>0</v>
      </c>
      <c r="AD79" s="847" t="n">
        <f aca="false">+J79*$S79+K79*$S79+L79*$S79+M79*$S79+N79*$S79+O79*$S79</f>
        <v>0</v>
      </c>
      <c r="AE79" s="848" t="n">
        <f aca="false">+K79*$S79+L79*$S79+M79*$S79+N79*$S79+O79*$S79+P79*$S79</f>
        <v>0</v>
      </c>
    </row>
    <row r="80" customFormat="false" ht="11.25" hidden="false" customHeight="false" outlineLevel="0" collapsed="false">
      <c r="A80" s="856"/>
      <c r="B80" s="858" t="str">
        <f aca="false">+Insumo_LOTE_I!B79</f>
        <v>PÁ DE LIXO SEM TAMPA</v>
      </c>
      <c r="C80" s="844" t="str">
        <f aca="false">+Insumo_LOTE_I!C79</f>
        <v>UND</v>
      </c>
      <c r="D80" s="291" t="n">
        <f aca="false">+Insumo_LOTE_I!D79</f>
        <v>15</v>
      </c>
      <c r="E80" s="845"/>
      <c r="F80" s="291"/>
      <c r="G80" s="291"/>
      <c r="H80" s="291"/>
      <c r="I80" s="291"/>
      <c r="J80" s="291"/>
      <c r="K80" s="845"/>
      <c r="L80" s="291"/>
      <c r="M80" s="291"/>
      <c r="N80" s="291"/>
      <c r="O80" s="291"/>
      <c r="P80" s="291"/>
      <c r="Q80" s="291" t="n">
        <f aca="false">+D80*2</f>
        <v>30</v>
      </c>
      <c r="R80" s="846" t="n">
        <f aca="false">+Q80-SUM(E80:P80)</f>
        <v>30</v>
      </c>
      <c r="S80" s="847" t="n">
        <f aca="false">+Insumos_Cotação!O90</f>
        <v>0</v>
      </c>
      <c r="T80" s="847" t="n">
        <f aca="false">+E80*$S80</f>
        <v>0</v>
      </c>
      <c r="U80" s="847" t="n">
        <f aca="false">+E80*$S80+F80*$S80</f>
        <v>0</v>
      </c>
      <c r="V80" s="847" t="n">
        <f aca="false">+E80*$S80+F80*$S80+G80*$S80</f>
        <v>0</v>
      </c>
      <c r="W80" s="847" t="n">
        <f aca="false">++E80*$S80+F80*$S80+G80*$S80+H80*$S80</f>
        <v>0</v>
      </c>
      <c r="X80" s="847" t="n">
        <f aca="false">+E80*$S80+F80*$S80+G80*$S80+H80*$S80+I80*$S80</f>
        <v>0</v>
      </c>
      <c r="Y80" s="847" t="n">
        <f aca="false">+E80*$S80+F80*$S80+G80*$S80+H80*$S80+I80*$S80+J80*$S80</f>
        <v>0</v>
      </c>
      <c r="Z80" s="847" t="n">
        <f aca="false">+F80*$S80+G80*$S80+H80*$S80+I80*$S80+J80*$S80+K80*$S80</f>
        <v>0</v>
      </c>
      <c r="AA80" s="847" t="n">
        <f aca="false">+G80*$S80+H80*$S80+I80*$S80+J80*$S80+K80*$S80+L80*$S80</f>
        <v>0</v>
      </c>
      <c r="AB80" s="847" t="n">
        <f aca="false">+H80*$S80+I80*$S80+J80*$S80+K80*$S80+L80*$S80+M80*$S80</f>
        <v>0</v>
      </c>
      <c r="AC80" s="847" t="n">
        <f aca="false">+I80*$S80+J80*$S80+K80*$S80+L80*$S80+M80*$S80+N80*$S80</f>
        <v>0</v>
      </c>
      <c r="AD80" s="847" t="n">
        <f aca="false">+J80*$S80+K80*$S80+L80*$S80+M80*$S80+N80*$S80+O80*$S80</f>
        <v>0</v>
      </c>
      <c r="AE80" s="848" t="n">
        <f aca="false">+K80*$S80+L80*$S80+M80*$S80+N80*$S80+O80*$S80+P80*$S80</f>
        <v>0</v>
      </c>
    </row>
    <row r="81" customFormat="false" ht="12" hidden="false" customHeight="false" outlineLevel="0" collapsed="false">
      <c r="A81" s="856"/>
      <c r="B81" s="859" t="str">
        <f aca="false">+Insumo_LOTE_I!B80</f>
        <v>VASSOURA DE TETO CABO 170CM</v>
      </c>
      <c r="C81" s="860" t="str">
        <f aca="false">+Insumo_LOTE_I!C80</f>
        <v>UND</v>
      </c>
      <c r="D81" s="861" t="n">
        <f aca="false">+Insumo_LOTE_I!D80</f>
        <v>20</v>
      </c>
      <c r="E81" s="862"/>
      <c r="F81" s="861"/>
      <c r="G81" s="861"/>
      <c r="H81" s="861"/>
      <c r="I81" s="861"/>
      <c r="J81" s="861"/>
      <c r="K81" s="862"/>
      <c r="L81" s="861"/>
      <c r="M81" s="861"/>
      <c r="N81" s="861"/>
      <c r="O81" s="861"/>
      <c r="P81" s="861"/>
      <c r="Q81" s="861" t="n">
        <f aca="false">+D81*2</f>
        <v>40</v>
      </c>
      <c r="R81" s="863" t="n">
        <f aca="false">+Q81-SUM(E81:P81)</f>
        <v>40</v>
      </c>
      <c r="S81" s="864" t="n">
        <f aca="false">+Insumos_Cotação!O91</f>
        <v>0</v>
      </c>
      <c r="T81" s="864" t="n">
        <f aca="false">+E81*$S81</f>
        <v>0</v>
      </c>
      <c r="U81" s="864" t="n">
        <f aca="false">+E81*$S81+F81*$S81</f>
        <v>0</v>
      </c>
      <c r="V81" s="864" t="n">
        <f aca="false">+E81*$S81+F81*$S81+G81*$S81</f>
        <v>0</v>
      </c>
      <c r="W81" s="864" t="n">
        <f aca="false">++E81*$S81+F81*$S81+G81*$S81+H81*$S81</f>
        <v>0</v>
      </c>
      <c r="X81" s="864" t="n">
        <f aca="false">+E81*$S81+F81*$S81+G81*$S81+H81*$S81+I81*$S81</f>
        <v>0</v>
      </c>
      <c r="Y81" s="864" t="n">
        <f aca="false">+E81*$S81+F81*$S81+G81*$S81+H81*$S81+I81*$S81+J81*$S81</f>
        <v>0</v>
      </c>
      <c r="Z81" s="864" t="n">
        <f aca="false">+F81*$S81+G81*$S81+H81*$S81+I81*$S81+J81*$S81+K81*$S81</f>
        <v>0</v>
      </c>
      <c r="AA81" s="864" t="n">
        <f aca="false">+G81*$S81+H81*$S81+I81*$S81+J81*$S81+K81*$S81+L81*$S81</f>
        <v>0</v>
      </c>
      <c r="AB81" s="864" t="n">
        <f aca="false">+H81*$S81+I81*$S81+J81*$S81+K81*$S81+L81*$S81+M81*$S81</f>
        <v>0</v>
      </c>
      <c r="AC81" s="864" t="n">
        <f aca="false">+I81*$S81+J81*$S81+K81*$S81+L81*$S81+M81*$S81+N81*$S81</f>
        <v>0</v>
      </c>
      <c r="AD81" s="864" t="n">
        <f aca="false">+J81*$S81+K81*$S81+L81*$S81+M81*$S81+N81*$S81+O81*$S81</f>
        <v>0</v>
      </c>
      <c r="AE81" s="865" t="n">
        <f aca="false">+K81*$S81+L81*$S81+M81*$S81+N81*$S81+O81*$S81+P81*$S81</f>
        <v>0</v>
      </c>
    </row>
    <row r="82" customFormat="false" ht="11.25" hidden="false" customHeight="true" outlineLevel="0" collapsed="false">
      <c r="A82" s="856" t="s">
        <v>305</v>
      </c>
      <c r="B82" s="857" t="str">
        <f aca="false">+Insumo_LOTE_I!B81</f>
        <v>ASPIRADOR INDUSTRIAL</v>
      </c>
      <c r="C82" s="837" t="str">
        <f aca="false">+Insumo_LOTE_I!C81</f>
        <v>UND</v>
      </c>
      <c r="D82" s="838" t="n">
        <f aca="false">+Insumo_LOTE_I!D81</f>
        <v>5</v>
      </c>
      <c r="E82" s="839"/>
      <c r="F82" s="838"/>
      <c r="G82" s="838"/>
      <c r="H82" s="838"/>
      <c r="I82" s="838"/>
      <c r="J82" s="838"/>
      <c r="K82" s="838"/>
      <c r="L82" s="838"/>
      <c r="M82" s="838"/>
      <c r="N82" s="838"/>
      <c r="O82" s="838"/>
      <c r="P82" s="838"/>
      <c r="Q82" s="838" t="n">
        <f aca="false">+D82</f>
        <v>5</v>
      </c>
      <c r="R82" s="840" t="n">
        <f aca="false">+Q82-SUM(E82:P82)</f>
        <v>5</v>
      </c>
      <c r="S82" s="841" t="n">
        <f aca="false">+Insumos_Cotação!S93</f>
        <v>0</v>
      </c>
      <c r="T82" s="841" t="n">
        <f aca="false">+E82*$S82</f>
        <v>0</v>
      </c>
      <c r="U82" s="841" t="n">
        <f aca="false">+E82*$S82+F82*$S82</f>
        <v>0</v>
      </c>
      <c r="V82" s="841" t="n">
        <f aca="false">+E82*$S82+F82*$S82+G82*$S82</f>
        <v>0</v>
      </c>
      <c r="W82" s="841" t="n">
        <f aca="false">++E82*$S82+F82*$S82+G82*$S82+H82*$S82</f>
        <v>0</v>
      </c>
      <c r="X82" s="841" t="n">
        <f aca="false">+E82*$S82+F82*$S82+G82*$S82+H82*$S82+I82*$S82</f>
        <v>0</v>
      </c>
      <c r="Y82" s="841" t="n">
        <f aca="false">+E82*$S82+F82*$S82+G82*$S82+H82*$S82+I82*$S82+J82*$S82</f>
        <v>0</v>
      </c>
      <c r="Z82" s="841" t="n">
        <f aca="false">+E82*$S82+F82*$S82+G82*$S82+H82*$S82+I82*$S82+J82*$S82+K82*$S82</f>
        <v>0</v>
      </c>
      <c r="AA82" s="841" t="n">
        <f aca="false">++E82*$S82+F82*$S82+G82*$S82+H82*$S82+I82*$S82+J82*$S82+K82*$S82+L82*$S82</f>
        <v>0</v>
      </c>
      <c r="AB82" s="841" t="n">
        <f aca="false">+E82*$S82+F82*$S82+G82*$S82+H82*$S82+I82*$S82+J82*$S82+K82*$S82+L82*$S82+M82*$S82</f>
        <v>0</v>
      </c>
      <c r="AC82" s="841" t="n">
        <f aca="false">+E82*$S82+F82*$S82+G82*$S82+H82*$S82+I82*$S82+J82*$S82+K82*$S82+L82*$S82+M82*$S82+N82*$S82</f>
        <v>0</v>
      </c>
      <c r="AD82" s="841" t="n">
        <f aca="false">+E82*$S82+F82*$S82+G82*$S82+H82*$S82+I82*$S82+J82*$S82+K82*$S82+L82*$S82+M82*$S82+N82*$S82+O82*$S82</f>
        <v>0</v>
      </c>
      <c r="AE82" s="842" t="n">
        <f aca="false">+E82*$S82+F82*$S82+G82*$S82+H82*$S82+I82*$S82+J82*$S82+K82*$S82+L82*$S82+M82*$S82+N82*$S82+O82*$S82+P82*$S82</f>
        <v>0</v>
      </c>
    </row>
    <row r="83" customFormat="false" ht="11.25" hidden="false" customHeight="false" outlineLevel="0" collapsed="false">
      <c r="A83" s="856"/>
      <c r="B83" s="858" t="str">
        <f aca="false">+Insumo_LOTE_I!B82</f>
        <v>LAVADORA DE PISO A BATERIA ALFA B70 OU SIMILAR</v>
      </c>
      <c r="C83" s="844" t="str">
        <f aca="false">+Insumo_LOTE_I!C82</f>
        <v>UND</v>
      </c>
      <c r="D83" s="291" t="n">
        <f aca="false">+Insumo_LOTE_I!D82</f>
        <v>3</v>
      </c>
      <c r="E83" s="845"/>
      <c r="F83" s="291"/>
      <c r="G83" s="291"/>
      <c r="H83" s="291"/>
      <c r="I83" s="291"/>
      <c r="J83" s="291"/>
      <c r="K83" s="291"/>
      <c r="L83" s="291"/>
      <c r="M83" s="291"/>
      <c r="N83" s="291"/>
      <c r="O83" s="291"/>
      <c r="P83" s="291"/>
      <c r="Q83" s="291" t="n">
        <f aca="false">+D83</f>
        <v>3</v>
      </c>
      <c r="R83" s="846" t="n">
        <f aca="false">+Q83-SUM(E83:P83)</f>
        <v>3</v>
      </c>
      <c r="S83" s="847" t="n">
        <f aca="false">+Insumos_Cotação!S94</f>
        <v>0</v>
      </c>
      <c r="T83" s="847" t="n">
        <f aca="false">+E83*$S83</f>
        <v>0</v>
      </c>
      <c r="U83" s="847" t="n">
        <f aca="false">+E83*$S83+F83*$S83</f>
        <v>0</v>
      </c>
      <c r="V83" s="847" t="n">
        <f aca="false">+E83*$S83+F83*$S83+G83*$S83</f>
        <v>0</v>
      </c>
      <c r="W83" s="847" t="n">
        <f aca="false">++E83*$S83+F83*$S83+G83*$S83+H83*$S83</f>
        <v>0</v>
      </c>
      <c r="X83" s="847" t="n">
        <f aca="false">+E83*$S83+F83*$S83+G83*$S83+H83*$S83+I83*$S83</f>
        <v>0</v>
      </c>
      <c r="Y83" s="847" t="n">
        <f aca="false">+E83*$S83+F83*$S83+G83*$S83+H83*$S83+I83*$S83+J83*$S83</f>
        <v>0</v>
      </c>
      <c r="Z83" s="847" t="n">
        <f aca="false">+E83*$S83+F83*$S83+G83*$S83+H83*$S83+I83*$S83+J83*$S83+K83*$S83</f>
        <v>0</v>
      </c>
      <c r="AA83" s="847" t="n">
        <f aca="false">++E83*$S83+F83*$S83+G83*$S83+H83*$S83+I83*$S83+J83*$S83+K83*$S83+L83*$S83</f>
        <v>0</v>
      </c>
      <c r="AB83" s="847" t="n">
        <f aca="false">+E83*$S83+F83*$S83+G83*$S83+H83*$S83+I83*$S83+J83*$S83+K83*$S83+L83*$S83+M83*$S83</f>
        <v>0</v>
      </c>
      <c r="AC83" s="847" t="n">
        <f aca="false">+E83*$S83+F83*$S83+G83*$S83+H83*$S83+I83*$S83+J83*$S83+K83*$S83+L83*$S83+M83*$S83+N83*$S83</f>
        <v>0</v>
      </c>
      <c r="AD83" s="847" t="n">
        <f aca="false">+E83*$S83+F83*$S83+G83*$S83+H83*$S83+I83*$S83+J83*$S83+K83*$S83+L83*$S83+M83*$S83+N83*$S83+O83*$S83</f>
        <v>0</v>
      </c>
      <c r="AE83" s="848" t="n">
        <f aca="false">+E83*$S83+F83*$S83+G83*$S83+H83*$S83+I83*$S83+J83*$S83+K83*$S83+L83*$S83+M83*$S83+N83*$S83+O83*$S83+P83*$S83</f>
        <v>0</v>
      </c>
    </row>
    <row r="84" customFormat="false" ht="11.25" hidden="false" customHeight="false" outlineLevel="0" collapsed="false">
      <c r="A84" s="856"/>
      <c r="B84" s="858" t="str">
        <f aca="false">+Insumo_LOTE_I!B83</f>
        <v>CARRO CONTENTOR 240L</v>
      </c>
      <c r="C84" s="844" t="str">
        <f aca="false">+Insumo_LOTE_I!C83</f>
        <v>UND</v>
      </c>
      <c r="D84" s="291" t="n">
        <f aca="false">+Insumo_LOTE_I!D83</f>
        <v>0</v>
      </c>
      <c r="E84" s="845"/>
      <c r="F84" s="291"/>
      <c r="G84" s="291"/>
      <c r="H84" s="291"/>
      <c r="I84" s="291"/>
      <c r="J84" s="291"/>
      <c r="K84" s="291"/>
      <c r="L84" s="291"/>
      <c r="M84" s="291"/>
      <c r="N84" s="291"/>
      <c r="O84" s="291"/>
      <c r="P84" s="291"/>
      <c r="Q84" s="291" t="n">
        <f aca="false">+D84</f>
        <v>0</v>
      </c>
      <c r="R84" s="846" t="n">
        <f aca="false">+Q84-SUM(E84:P84)</f>
        <v>0</v>
      </c>
      <c r="S84" s="847" t="n">
        <f aca="false">+Insumos_Cotação!S95</f>
        <v>0</v>
      </c>
      <c r="T84" s="847" t="n">
        <f aca="false">+E84*$S84</f>
        <v>0</v>
      </c>
      <c r="U84" s="847" t="n">
        <f aca="false">+E84*$S84+F84*$S84</f>
        <v>0</v>
      </c>
      <c r="V84" s="847" t="n">
        <f aca="false">+E84*$S84+F84*$S84+G84*$S84</f>
        <v>0</v>
      </c>
      <c r="W84" s="847" t="n">
        <f aca="false">++E84*$S84+F84*$S84+G84*$S84+H84*$S84</f>
        <v>0</v>
      </c>
      <c r="X84" s="847" t="n">
        <f aca="false">+E84*$S84+F84*$S84+G84*$S84+H84*$S84+I84*$S84</f>
        <v>0</v>
      </c>
      <c r="Y84" s="847" t="n">
        <f aca="false">+E84*$S84+F84*$S84+G84*$S84+H84*$S84+I84*$S84+J84*$S84</f>
        <v>0</v>
      </c>
      <c r="Z84" s="847" t="n">
        <f aca="false">+E84*$S84+F84*$S84+G84*$S84+H84*$S84+I84*$S84+J84*$S84+K84*$S84</f>
        <v>0</v>
      </c>
      <c r="AA84" s="847" t="n">
        <f aca="false">++E84*$S84+F84*$S84+G84*$S84+H84*$S84+I84*$S84+J84*$S84+K84*$S84+L84*$S84</f>
        <v>0</v>
      </c>
      <c r="AB84" s="847" t="n">
        <f aca="false">+E84*$S84+F84*$S84+G84*$S84+H84*$S84+I84*$S84+J84*$S84+K84*$S84+L84*$S84+M84*$S84</f>
        <v>0</v>
      </c>
      <c r="AC84" s="847" t="n">
        <f aca="false">+E84*$S84+F84*$S84+G84*$S84+H84*$S84+I84*$S84+J84*$S84+K84*$S84+L84*$S84+M84*$S84+N84*$S84</f>
        <v>0</v>
      </c>
      <c r="AD84" s="847" t="n">
        <f aca="false">+E84*$S84+F84*$S84+G84*$S84+H84*$S84+I84*$S84+J84*$S84+K84*$S84+L84*$S84+M84*$S84+N84*$S84+O84*$S84</f>
        <v>0</v>
      </c>
      <c r="AE84" s="848" t="n">
        <f aca="false">+E84*$S84+F84*$S84+G84*$S84+H84*$S84+I84*$S84+J84*$S84+K84*$S84+L84*$S84+M84*$S84+N84*$S84+O84*$S84+P84*$S84</f>
        <v>0</v>
      </c>
    </row>
    <row r="85" customFormat="false" ht="11.25" hidden="false" customHeight="false" outlineLevel="0" collapsed="false">
      <c r="A85" s="856"/>
      <c r="B85" s="858" t="str">
        <f aca="false">+Insumo_LOTE_I!B84</f>
        <v>CARRO OPERACIONAL OU CARRO FUNCIONAL </v>
      </c>
      <c r="C85" s="844" t="str">
        <f aca="false">+Insumo_LOTE_I!C84</f>
        <v>UND</v>
      </c>
      <c r="D85" s="291" t="n">
        <f aca="false">+Insumo_LOTE_I!D84</f>
        <v>20</v>
      </c>
      <c r="E85" s="845"/>
      <c r="F85" s="291"/>
      <c r="G85" s="291"/>
      <c r="H85" s="291"/>
      <c r="I85" s="291"/>
      <c r="J85" s="291"/>
      <c r="K85" s="291"/>
      <c r="L85" s="291"/>
      <c r="M85" s="291"/>
      <c r="N85" s="291"/>
      <c r="O85" s="291"/>
      <c r="P85" s="291"/>
      <c r="Q85" s="291" t="n">
        <f aca="false">+D85</f>
        <v>20</v>
      </c>
      <c r="R85" s="846" t="n">
        <f aca="false">+Q85-SUM(E85:P85)</f>
        <v>20</v>
      </c>
      <c r="S85" s="847" t="n">
        <f aca="false">+Insumos_Cotação!S96</f>
        <v>0</v>
      </c>
      <c r="T85" s="847" t="n">
        <f aca="false">+E85*$S85</f>
        <v>0</v>
      </c>
      <c r="U85" s="847" t="n">
        <f aca="false">+E85*$S85+F85*$S85</f>
        <v>0</v>
      </c>
      <c r="V85" s="847" t="n">
        <f aca="false">+E85*$S85+F85*$S85+G85*$S85</f>
        <v>0</v>
      </c>
      <c r="W85" s="847" t="n">
        <f aca="false">++E85*$S85+F85*$S85+G85*$S85+H85*$S85</f>
        <v>0</v>
      </c>
      <c r="X85" s="847" t="n">
        <f aca="false">+E85*$S85+F85*$S85+G85*$S85+H85*$S85+I85*$S85</f>
        <v>0</v>
      </c>
      <c r="Y85" s="847" t="n">
        <f aca="false">+E85*$S85+F85*$S85+G85*$S85+H85*$S85+I85*$S85+J85*$S85</f>
        <v>0</v>
      </c>
      <c r="Z85" s="847" t="n">
        <f aca="false">+E85*$S85+F85*$S85+G85*$S85+H85*$S85+I85*$S85+J85*$S85+K85*$S85</f>
        <v>0</v>
      </c>
      <c r="AA85" s="847" t="n">
        <f aca="false">++E85*$S85+F85*$S85+G85*$S85+H85*$S85+I85*$S85+J85*$S85+K85*$S85+L85*$S85</f>
        <v>0</v>
      </c>
      <c r="AB85" s="847" t="n">
        <f aca="false">+E85*$S85+F85*$S85+G85*$S85+H85*$S85+I85*$S85+J85*$S85+K85*$S85+L85*$S85+M85*$S85</f>
        <v>0</v>
      </c>
      <c r="AC85" s="847" t="n">
        <f aca="false">+E85*$S85+F85*$S85+G85*$S85+H85*$S85+I85*$S85+J85*$S85+K85*$S85+L85*$S85+M85*$S85+N85*$S85</f>
        <v>0</v>
      </c>
      <c r="AD85" s="847" t="n">
        <f aca="false">+E85*$S85+F85*$S85+G85*$S85+H85*$S85+I85*$S85+J85*$S85+K85*$S85+L85*$S85+M85*$S85+N85*$S85+O85*$S85</f>
        <v>0</v>
      </c>
      <c r="AE85" s="848" t="n">
        <f aca="false">+E85*$S85+F85*$S85+G85*$S85+H85*$S85+I85*$S85+J85*$S85+K85*$S85+L85*$S85+M85*$S85+N85*$S85+O85*$S85+P85*$S85</f>
        <v>0</v>
      </c>
    </row>
    <row r="86" customFormat="false" ht="11.25" hidden="false" customHeight="false" outlineLevel="0" collapsed="false">
      <c r="A86" s="856"/>
      <c r="B86" s="858" t="str">
        <f aca="false">+Insumo_LOTE_I!B85</f>
        <v>COLETOR DE LIXO FINO 50L</v>
      </c>
      <c r="C86" s="844" t="str">
        <f aca="false">+Insumo_LOTE_I!C85</f>
        <v>UND</v>
      </c>
      <c r="D86" s="291" t="n">
        <f aca="false">+Insumo_LOTE_I!D85</f>
        <v>0</v>
      </c>
      <c r="E86" s="845"/>
      <c r="F86" s="291"/>
      <c r="G86" s="291"/>
      <c r="H86" s="291"/>
      <c r="I86" s="291"/>
      <c r="J86" s="291"/>
      <c r="K86" s="291"/>
      <c r="L86" s="291"/>
      <c r="M86" s="291"/>
      <c r="N86" s="291"/>
      <c r="O86" s="291"/>
      <c r="P86" s="291"/>
      <c r="Q86" s="291" t="n">
        <f aca="false">+D86</f>
        <v>0</v>
      </c>
      <c r="R86" s="846" t="n">
        <f aca="false">+Q86-SUM(E86:P86)</f>
        <v>0</v>
      </c>
      <c r="S86" s="847" t="n">
        <f aca="false">+Insumos_Cotação!S97</f>
        <v>0</v>
      </c>
      <c r="T86" s="847" t="n">
        <f aca="false">+E86*$S86</f>
        <v>0</v>
      </c>
      <c r="U86" s="847" t="n">
        <f aca="false">+E86*$S86+F86*$S86</f>
        <v>0</v>
      </c>
      <c r="V86" s="847" t="n">
        <f aca="false">+E86*$S86+F86*$S86+G86*$S86</f>
        <v>0</v>
      </c>
      <c r="W86" s="847" t="n">
        <f aca="false">++E86*$S86+F86*$S86+G86*$S86+H86*$S86</f>
        <v>0</v>
      </c>
      <c r="X86" s="847" t="n">
        <f aca="false">+E86*$S86+F86*$S86+G86*$S86+H86*$S86+I86*$S86</f>
        <v>0</v>
      </c>
      <c r="Y86" s="847" t="n">
        <f aca="false">+E86*$S86+F86*$S86+G86*$S86+H86*$S86+I86*$S86+J86*$S86</f>
        <v>0</v>
      </c>
      <c r="Z86" s="847" t="n">
        <f aca="false">+E86*$S86+F86*$S86+G86*$S86+H86*$S86+I86*$S86+J86*$S86+K86*$S86</f>
        <v>0</v>
      </c>
      <c r="AA86" s="847" t="n">
        <f aca="false">++E86*$S86+F86*$S86+G86*$S86+H86*$S86+I86*$S86+J86*$S86+K86*$S86+L86*$S86</f>
        <v>0</v>
      </c>
      <c r="AB86" s="847" t="n">
        <f aca="false">+E86*$S86+F86*$S86+G86*$S86+H86*$S86+I86*$S86+J86*$S86+K86*$S86+L86*$S86+M86*$S86</f>
        <v>0</v>
      </c>
      <c r="AC86" s="847" t="n">
        <f aca="false">+E86*$S86+F86*$S86+G86*$S86+H86*$S86+I86*$S86+J86*$S86+K86*$S86+L86*$S86+M86*$S86+N86*$S86</f>
        <v>0</v>
      </c>
      <c r="AD86" s="847" t="n">
        <f aca="false">+E86*$S86+F86*$S86+G86*$S86+H86*$S86+I86*$S86+J86*$S86+K86*$S86+L86*$S86+M86*$S86+N86*$S86+O86*$S86</f>
        <v>0</v>
      </c>
      <c r="AE86" s="848" t="n">
        <f aca="false">+E86*$S86+F86*$S86+G86*$S86+H86*$S86+I86*$S86+J86*$S86+K86*$S86+L86*$S86+M86*$S86+N86*$S86+O86*$S86+P86*$S86</f>
        <v>0</v>
      </c>
    </row>
    <row r="87" customFormat="false" ht="11.25" hidden="false" customHeight="false" outlineLevel="0" collapsed="false">
      <c r="A87" s="856"/>
      <c r="B87" s="858" t="str">
        <f aca="false">+Insumo_LOTE_I!B86</f>
        <v>CARRO CONTENTOR 1.000L</v>
      </c>
      <c r="C87" s="844" t="str">
        <f aca="false">+Insumo_LOTE_I!C86</f>
        <v>UND</v>
      </c>
      <c r="D87" s="291" t="n">
        <f aca="false">+Insumo_LOTE_I!D86</f>
        <v>10</v>
      </c>
      <c r="E87" s="845"/>
      <c r="F87" s="291"/>
      <c r="G87" s="291"/>
      <c r="H87" s="291"/>
      <c r="I87" s="291"/>
      <c r="J87" s="291"/>
      <c r="K87" s="291"/>
      <c r="L87" s="291"/>
      <c r="M87" s="291"/>
      <c r="N87" s="291"/>
      <c r="O87" s="291"/>
      <c r="P87" s="291"/>
      <c r="Q87" s="291" t="n">
        <f aca="false">+D87</f>
        <v>10</v>
      </c>
      <c r="R87" s="846" t="n">
        <f aca="false">+Q87-SUM(E87:P87)</f>
        <v>10</v>
      </c>
      <c r="S87" s="847" t="n">
        <f aca="false">+Insumos_Cotação!S98</f>
        <v>0</v>
      </c>
      <c r="T87" s="847" t="n">
        <f aca="false">+E87*$S87</f>
        <v>0</v>
      </c>
      <c r="U87" s="847" t="n">
        <f aca="false">+E87*$S87+F87*$S87</f>
        <v>0</v>
      </c>
      <c r="V87" s="847" t="n">
        <f aca="false">+E87*$S87+F87*$S87+G87*$S87</f>
        <v>0</v>
      </c>
      <c r="W87" s="847" t="n">
        <f aca="false">++E87*$S87+F87*$S87+G87*$S87+H87*$S87</f>
        <v>0</v>
      </c>
      <c r="X87" s="847" t="n">
        <f aca="false">+E87*$S87+F87*$S87+G87*$S87+H87*$S87+I87*$S87</f>
        <v>0</v>
      </c>
      <c r="Y87" s="847" t="n">
        <f aca="false">+E87*$S87+F87*$S87+G87*$S87+H87*$S87+I87*$S87+J87*$S87</f>
        <v>0</v>
      </c>
      <c r="Z87" s="847" t="n">
        <f aca="false">+E87*$S87+F87*$S87+G87*$S87+H87*$S87+I87*$S87+J87*$S87+K87*$S87</f>
        <v>0</v>
      </c>
      <c r="AA87" s="847" t="n">
        <f aca="false">++E87*$S87+F87*$S87+G87*$S87+H87*$S87+I87*$S87+J87*$S87+K87*$S87+L87*$S87</f>
        <v>0</v>
      </c>
      <c r="AB87" s="847" t="n">
        <f aca="false">+E87*$S87+F87*$S87+G87*$S87+H87*$S87+I87*$S87+J87*$S87+K87*$S87+L87*$S87+M87*$S87</f>
        <v>0</v>
      </c>
      <c r="AC87" s="847" t="n">
        <f aca="false">+E87*$S87+F87*$S87+G87*$S87+H87*$S87+I87*$S87+J87*$S87+K87*$S87+L87*$S87+M87*$S87+N87*$S87</f>
        <v>0</v>
      </c>
      <c r="AD87" s="847" t="n">
        <f aca="false">+E87*$S87+F87*$S87+G87*$S87+H87*$S87+I87*$S87+J87*$S87+K87*$S87+L87*$S87+M87*$S87+N87*$S87+O87*$S87</f>
        <v>0</v>
      </c>
      <c r="AE87" s="848" t="n">
        <f aca="false">+E87*$S87+F87*$S87+G87*$S87+H87*$S87+I87*$S87+J87*$S87+K87*$S87+L87*$S87+M87*$S87+N87*$S87+O87*$S87+P87*$S87</f>
        <v>0</v>
      </c>
    </row>
    <row r="88" customFormat="false" ht="11.25" hidden="false" customHeight="false" outlineLevel="0" collapsed="false">
      <c r="A88" s="856"/>
      <c r="B88" s="858" t="str">
        <f aca="false">+Insumo_LOTE_I!B87</f>
        <v>CARRO ESTRELA C/ RODA DE BORRACHA 200Kg</v>
      </c>
      <c r="C88" s="844" t="str">
        <f aca="false">+Insumo_LOTE_I!C87</f>
        <v>UND</v>
      </c>
      <c r="D88" s="291" t="n">
        <f aca="false">+Insumo_LOTE_I!D87</f>
        <v>3</v>
      </c>
      <c r="E88" s="845"/>
      <c r="F88" s="291"/>
      <c r="G88" s="291"/>
      <c r="H88" s="291"/>
      <c r="I88" s="291"/>
      <c r="J88" s="291"/>
      <c r="K88" s="291"/>
      <c r="L88" s="291"/>
      <c r="M88" s="291"/>
      <c r="N88" s="291"/>
      <c r="O88" s="291"/>
      <c r="P88" s="291"/>
      <c r="Q88" s="291" t="n">
        <f aca="false">+D88</f>
        <v>3</v>
      </c>
      <c r="R88" s="846" t="n">
        <f aca="false">+Q88-SUM(E88:P88)</f>
        <v>3</v>
      </c>
      <c r="S88" s="847" t="n">
        <f aca="false">+Insumos_Cotação!S99</f>
        <v>0</v>
      </c>
      <c r="T88" s="847" t="n">
        <f aca="false">+E88*$S88</f>
        <v>0</v>
      </c>
      <c r="U88" s="847" t="n">
        <f aca="false">+E88*$S88+F88*$S88</f>
        <v>0</v>
      </c>
      <c r="V88" s="847" t="n">
        <f aca="false">+E88*$S88+F88*$S88+G88*$S88</f>
        <v>0</v>
      </c>
      <c r="W88" s="847" t="n">
        <f aca="false">++E88*$S88+F88*$S88+G88*$S88+H88*$S88</f>
        <v>0</v>
      </c>
      <c r="X88" s="847" t="n">
        <f aca="false">+E88*$S88+F88*$S88+G88*$S88+H88*$S88+I88*$S88</f>
        <v>0</v>
      </c>
      <c r="Y88" s="847" t="n">
        <f aca="false">+E88*$S88+F88*$S88+G88*$S88+H88*$S88+I88*$S88+J88*$S88</f>
        <v>0</v>
      </c>
      <c r="Z88" s="847" t="n">
        <f aca="false">+E88*$S88+F88*$S88+G88*$S88+H88*$S88+I88*$S88+J88*$S88+K88*$S88</f>
        <v>0</v>
      </c>
      <c r="AA88" s="847" t="n">
        <f aca="false">++E88*$S88+F88*$S88+G88*$S88+H88*$S88+I88*$S88+J88*$S88+K88*$S88+L88*$S88</f>
        <v>0</v>
      </c>
      <c r="AB88" s="847" t="n">
        <f aca="false">+E88*$S88+F88*$S88+G88*$S88+H88*$S88+I88*$S88+J88*$S88+K88*$S88+L88*$S88+M88*$S88</f>
        <v>0</v>
      </c>
      <c r="AC88" s="847" t="n">
        <f aca="false">+E88*$S88+F88*$S88+G88*$S88+H88*$S88+I88*$S88+J88*$S88+K88*$S88+L88*$S88+M88*$S88+N88*$S88</f>
        <v>0</v>
      </c>
      <c r="AD88" s="847" t="n">
        <f aca="false">+E88*$S88+F88*$S88+G88*$S88+H88*$S88+I88*$S88+J88*$S88+K88*$S88+L88*$S88+M88*$S88+N88*$S88+O88*$S88</f>
        <v>0</v>
      </c>
      <c r="AE88" s="848" t="n">
        <f aca="false">+E88*$S88+F88*$S88+G88*$S88+H88*$S88+I88*$S88+J88*$S88+K88*$S88+L88*$S88+M88*$S88+N88*$S88+O88*$S88+P88*$S88</f>
        <v>0</v>
      </c>
    </row>
    <row r="89" customFormat="false" ht="11.25" hidden="false" customHeight="false" outlineLevel="0" collapsed="false">
      <c r="A89" s="856"/>
      <c r="B89" s="858" t="str">
        <f aca="false">+Insumo_LOTE_I!B88</f>
        <v>CARRO C/ BALDE ESPREMEDOR - 2 AGUAS MOP</v>
      </c>
      <c r="C89" s="844" t="str">
        <f aca="false">+Insumo_LOTE_I!C88</f>
        <v>UND</v>
      </c>
      <c r="D89" s="291" t="n">
        <f aca="false">+Insumo_LOTE_I!D88</f>
        <v>16</v>
      </c>
      <c r="E89" s="845"/>
      <c r="F89" s="291"/>
      <c r="G89" s="291"/>
      <c r="H89" s="291"/>
      <c r="I89" s="291"/>
      <c r="J89" s="291"/>
      <c r="K89" s="291"/>
      <c r="L89" s="291"/>
      <c r="M89" s="291"/>
      <c r="N89" s="291"/>
      <c r="O89" s="291"/>
      <c r="P89" s="291"/>
      <c r="Q89" s="291" t="n">
        <f aca="false">+D89</f>
        <v>16</v>
      </c>
      <c r="R89" s="846" t="n">
        <f aca="false">+Q89-SUM(E89:P89)</f>
        <v>16</v>
      </c>
      <c r="S89" s="847" t="n">
        <f aca="false">+Insumos_Cotação!S100</f>
        <v>0</v>
      </c>
      <c r="T89" s="847" t="n">
        <f aca="false">+E89*$S89</f>
        <v>0</v>
      </c>
      <c r="U89" s="847" t="n">
        <f aca="false">+E89*$S89+F89*$S89</f>
        <v>0</v>
      </c>
      <c r="V89" s="847" t="n">
        <f aca="false">+E89*$S89+F89*$S89+G89*$S89</f>
        <v>0</v>
      </c>
      <c r="W89" s="847" t="n">
        <f aca="false">++E89*$S89+F89*$S89+G89*$S89+H89*$S89</f>
        <v>0</v>
      </c>
      <c r="X89" s="847" t="n">
        <f aca="false">+E89*$S89+F89*$S89+G89*$S89+H89*$S89+I89*$S89</f>
        <v>0</v>
      </c>
      <c r="Y89" s="847" t="n">
        <f aca="false">+E89*$S89+F89*$S89+G89*$S89+H89*$S89+I89*$S89+J89*$S89</f>
        <v>0</v>
      </c>
      <c r="Z89" s="847" t="n">
        <f aca="false">+E89*$S89+F89*$S89+G89*$S89+H89*$S89+I89*$S89+J89*$S89+K89*$S89</f>
        <v>0</v>
      </c>
      <c r="AA89" s="847" t="n">
        <f aca="false">++E89*$S89+F89*$S89+G89*$S89+H89*$S89+I89*$S89+J89*$S89+K89*$S89+L89*$S89</f>
        <v>0</v>
      </c>
      <c r="AB89" s="847" t="n">
        <f aca="false">+E89*$S89+F89*$S89+G89*$S89+H89*$S89+I89*$S89+J89*$S89+K89*$S89+L89*$S89+M89*$S89</f>
        <v>0</v>
      </c>
      <c r="AC89" s="847" t="n">
        <f aca="false">+E89*$S89+F89*$S89+G89*$S89+H89*$S89+I89*$S89+J89*$S89+K89*$S89+L89*$S89+M89*$S89+N89*$S89</f>
        <v>0</v>
      </c>
      <c r="AD89" s="847" t="n">
        <f aca="false">+E89*$S89+F89*$S89+G89*$S89+H89*$S89+I89*$S89+J89*$S89+K89*$S89+L89*$S89+M89*$S89+N89*$S89+O89*$S89</f>
        <v>0</v>
      </c>
      <c r="AE89" s="848" t="n">
        <f aca="false">+E89*$S89+F89*$S89+G89*$S89+H89*$S89+I89*$S89+J89*$S89+K89*$S89+L89*$S89+M89*$S89+N89*$S89+O89*$S89+P89*$S89</f>
        <v>0</v>
      </c>
    </row>
    <row r="90" customFormat="false" ht="11.25" hidden="false" customHeight="false" outlineLevel="0" collapsed="false">
      <c r="A90" s="856"/>
      <c r="B90" s="858" t="str">
        <f aca="false">+Insumo_LOTE_I!B89</f>
        <v>CARRO TIPO PLATAFORMA EM AÇO CAP. 800Kg</v>
      </c>
      <c r="C90" s="844" t="str">
        <f aca="false">+Insumo_LOTE_I!C89</f>
        <v>UND</v>
      </c>
      <c r="D90" s="291" t="n">
        <f aca="false">+Insumo_LOTE_I!D89</f>
        <v>2</v>
      </c>
      <c r="E90" s="845"/>
      <c r="F90" s="291"/>
      <c r="G90" s="291"/>
      <c r="H90" s="291"/>
      <c r="I90" s="291"/>
      <c r="J90" s="291"/>
      <c r="K90" s="291"/>
      <c r="L90" s="291"/>
      <c r="M90" s="291"/>
      <c r="N90" s="291"/>
      <c r="O90" s="291"/>
      <c r="P90" s="291"/>
      <c r="Q90" s="291" t="n">
        <f aca="false">+D90</f>
        <v>2</v>
      </c>
      <c r="R90" s="846" t="n">
        <f aca="false">+Q90-SUM(E90:P90)</f>
        <v>2</v>
      </c>
      <c r="S90" s="847" t="n">
        <f aca="false">+Insumos_Cotação!S101</f>
        <v>0</v>
      </c>
      <c r="T90" s="847" t="n">
        <f aca="false">+E90*$S90</f>
        <v>0</v>
      </c>
      <c r="U90" s="847" t="n">
        <f aca="false">+E90*$S90+F90*$S90</f>
        <v>0</v>
      </c>
      <c r="V90" s="847" t="n">
        <f aca="false">+E90*$S90+F90*$S90+G90*$S90</f>
        <v>0</v>
      </c>
      <c r="W90" s="847" t="n">
        <f aca="false">++E90*$S90+F90*$S90+G90*$S90+H90*$S90</f>
        <v>0</v>
      </c>
      <c r="X90" s="847" t="n">
        <f aca="false">+E90*$S90+F90*$S90+G90*$S90+H90*$S90+I90*$S90</f>
        <v>0</v>
      </c>
      <c r="Y90" s="847" t="n">
        <f aca="false">+E90*$S90+F90*$S90+G90*$S90+H90*$S90+I90*$S90+J90*$S90</f>
        <v>0</v>
      </c>
      <c r="Z90" s="847" t="n">
        <f aca="false">+E90*$S90+F90*$S90+G90*$S90+H90*$S90+I90*$S90+J90*$S90+K90*$S90</f>
        <v>0</v>
      </c>
      <c r="AA90" s="847" t="n">
        <f aca="false">++E90*$S90+F90*$S90+G90*$S90+H90*$S90+I90*$S90+J90*$S90+K90*$S90+L90*$S90</f>
        <v>0</v>
      </c>
      <c r="AB90" s="847" t="n">
        <f aca="false">+E90*$S90+F90*$S90+G90*$S90+H90*$S90+I90*$S90+J90*$S90+K90*$S90+L90*$S90+M90*$S90</f>
        <v>0</v>
      </c>
      <c r="AC90" s="847" t="n">
        <f aca="false">+E90*$S90+F90*$S90+G90*$S90+H90*$S90+I90*$S90+J90*$S90+K90*$S90+L90*$S90+M90*$S90+N90*$S90</f>
        <v>0</v>
      </c>
      <c r="AD90" s="847" t="n">
        <f aca="false">+E90*$S90+F90*$S90+G90*$S90+H90*$S90+I90*$S90+J90*$S90+K90*$S90+L90*$S90+M90*$S90+N90*$S90+O90*$S90</f>
        <v>0</v>
      </c>
      <c r="AE90" s="848" t="n">
        <f aca="false">+E90*$S90+F90*$S90+G90*$S90+H90*$S90+I90*$S90+J90*$S90+K90*$S90+L90*$S90+M90*$S90+N90*$S90+O90*$S90+P90*$S90</f>
        <v>0</v>
      </c>
    </row>
    <row r="91" customFormat="false" ht="11.25" hidden="false" customHeight="false" outlineLevel="0" collapsed="false">
      <c r="A91" s="856"/>
      <c r="B91" s="858" t="str">
        <f aca="false">+Insumo_LOTE_I!B90</f>
        <v>CONE SINALIZADOR</v>
      </c>
      <c r="C91" s="844" t="str">
        <f aca="false">+Insumo_LOTE_I!C90</f>
        <v>UND</v>
      </c>
      <c r="D91" s="291" t="n">
        <f aca="false">+Insumo_LOTE_I!D90</f>
        <v>20</v>
      </c>
      <c r="E91" s="845"/>
      <c r="F91" s="291"/>
      <c r="G91" s="291"/>
      <c r="H91" s="291"/>
      <c r="I91" s="291"/>
      <c r="J91" s="291"/>
      <c r="K91" s="291"/>
      <c r="L91" s="291"/>
      <c r="M91" s="291"/>
      <c r="N91" s="291"/>
      <c r="O91" s="291"/>
      <c r="P91" s="291"/>
      <c r="Q91" s="291" t="n">
        <f aca="false">+D91</f>
        <v>20</v>
      </c>
      <c r="R91" s="846" t="n">
        <f aca="false">+Q91-SUM(E91:P91)</f>
        <v>20</v>
      </c>
      <c r="S91" s="847" t="n">
        <f aca="false">+Insumos_Cotação!S102</f>
        <v>0</v>
      </c>
      <c r="T91" s="847" t="n">
        <f aca="false">+E91*$S91</f>
        <v>0</v>
      </c>
      <c r="U91" s="847" t="n">
        <f aca="false">+E91*$S91+F91*$S91</f>
        <v>0</v>
      </c>
      <c r="V91" s="847" t="n">
        <f aca="false">+E91*$S91+F91*$S91+G91*$S91</f>
        <v>0</v>
      </c>
      <c r="W91" s="847" t="n">
        <f aca="false">++E91*$S91+F91*$S91+G91*$S91+H91*$S91</f>
        <v>0</v>
      </c>
      <c r="X91" s="847" t="n">
        <f aca="false">+E91*$S91+F91*$S91+G91*$S91+H91*$S91+I91*$S91</f>
        <v>0</v>
      </c>
      <c r="Y91" s="847" t="n">
        <f aca="false">+E91*$S91+F91*$S91+G91*$S91+H91*$S91+I91*$S91+J91*$S91</f>
        <v>0</v>
      </c>
      <c r="Z91" s="847" t="n">
        <f aca="false">+E91*$S91+F91*$S91+G91*$S91+H91*$S91+I91*$S91+J91*$S91+K91*$S91</f>
        <v>0</v>
      </c>
      <c r="AA91" s="847" t="n">
        <f aca="false">++E91*$S91+F91*$S91+G91*$S91+H91*$S91+I91*$S91+J91*$S91+K91*$S91+L91*$S91</f>
        <v>0</v>
      </c>
      <c r="AB91" s="847" t="n">
        <f aca="false">+E91*$S91+F91*$S91+G91*$S91+H91*$S91+I91*$S91+J91*$S91+K91*$S91+L91*$S91+M91*$S91</f>
        <v>0</v>
      </c>
      <c r="AC91" s="847" t="n">
        <f aca="false">+E91*$S91+F91*$S91+G91*$S91+H91*$S91+I91*$S91+J91*$S91+K91*$S91+L91*$S91+M91*$S91+N91*$S91</f>
        <v>0</v>
      </c>
      <c r="AD91" s="847" t="n">
        <f aca="false">+E91*$S91+F91*$S91+G91*$S91+H91*$S91+I91*$S91+J91*$S91+K91*$S91+L91*$S91+M91*$S91+N91*$S91+O91*$S91</f>
        <v>0</v>
      </c>
      <c r="AE91" s="848" t="n">
        <f aca="false">+E91*$S91+F91*$S91+G91*$S91+H91*$S91+I91*$S91+J91*$S91+K91*$S91+L91*$S91+M91*$S91+N91*$S91+O91*$S91+P91*$S91</f>
        <v>0</v>
      </c>
    </row>
    <row r="92" customFormat="false" ht="11.25" hidden="false" customHeight="false" outlineLevel="0" collapsed="false">
      <c r="A92" s="856"/>
      <c r="B92" s="858" t="str">
        <f aca="false">+Insumo_LOTE_I!B91</f>
        <v>ENCERADEIRA INDUSTRIAL</v>
      </c>
      <c r="C92" s="844" t="str">
        <f aca="false">+Insumo_LOTE_I!C91</f>
        <v>UND</v>
      </c>
      <c r="D92" s="291" t="n">
        <f aca="false">+Insumo_LOTE_I!D91</f>
        <v>10</v>
      </c>
      <c r="E92" s="845"/>
      <c r="F92" s="291"/>
      <c r="G92" s="291"/>
      <c r="H92" s="291"/>
      <c r="I92" s="291"/>
      <c r="J92" s="291"/>
      <c r="K92" s="291"/>
      <c r="L92" s="291"/>
      <c r="M92" s="291"/>
      <c r="N92" s="291"/>
      <c r="O92" s="291"/>
      <c r="P92" s="291"/>
      <c r="Q92" s="291" t="n">
        <f aca="false">+D92</f>
        <v>10</v>
      </c>
      <c r="R92" s="846" t="n">
        <f aca="false">+Q92-SUM(E92:P92)</f>
        <v>10</v>
      </c>
      <c r="S92" s="847" t="n">
        <f aca="false">+Insumos_Cotação!S103</f>
        <v>0</v>
      </c>
      <c r="T92" s="847" t="n">
        <f aca="false">+E92*$S92</f>
        <v>0</v>
      </c>
      <c r="U92" s="847" t="n">
        <f aca="false">+E92*$S92+F92*$S92</f>
        <v>0</v>
      </c>
      <c r="V92" s="847" t="n">
        <f aca="false">+E92*$S92+F92*$S92+G92*$S92</f>
        <v>0</v>
      </c>
      <c r="W92" s="847" t="n">
        <f aca="false">++E92*$S92+F92*$S92+G92*$S92+H92*$S92</f>
        <v>0</v>
      </c>
      <c r="X92" s="847" t="n">
        <f aca="false">+E92*$S92+F92*$S92+G92*$S92+H92*$S92+I92*$S92</f>
        <v>0</v>
      </c>
      <c r="Y92" s="847" t="n">
        <f aca="false">+E92*$S92+F92*$S92+G92*$S92+H92*$S92+I92*$S92+J92*$S92</f>
        <v>0</v>
      </c>
      <c r="Z92" s="847" t="n">
        <f aca="false">+E92*$S92+F92*$S92+G92*$S92+H92*$S92+I92*$S92+J92*$S92+K92*$S92</f>
        <v>0</v>
      </c>
      <c r="AA92" s="847" t="n">
        <f aca="false">++E92*$S92+F92*$S92+G92*$S92+H92*$S92+I92*$S92+J92*$S92+K92*$S92+L92*$S92</f>
        <v>0</v>
      </c>
      <c r="AB92" s="847" t="n">
        <f aca="false">+E92*$S92+F92*$S92+G92*$S92+H92*$S92+I92*$S92+J92*$S92+K92*$S92+L92*$S92+M92*$S92</f>
        <v>0</v>
      </c>
      <c r="AC92" s="847" t="n">
        <f aca="false">+E92*$S92+F92*$S92+G92*$S92+H92*$S92+I92*$S92+J92*$S92+K92*$S92+L92*$S92+M92*$S92+N92*$S92</f>
        <v>0</v>
      </c>
      <c r="AD92" s="847" t="n">
        <f aca="false">+E92*$S92+F92*$S92+G92*$S92+H92*$S92+I92*$S92+J92*$S92+K92*$S92+L92*$S92+M92*$S92+N92*$S92+O92*$S92</f>
        <v>0</v>
      </c>
      <c r="AE92" s="848" t="n">
        <f aca="false">+E92*$S92+F92*$S92+G92*$S92+H92*$S92+I92*$S92+J92*$S92+K92*$S92+L92*$S92+M92*$S92+N92*$S92+O92*$S92+P92*$S92</f>
        <v>0</v>
      </c>
    </row>
    <row r="93" customFormat="false" ht="11.25" hidden="false" customHeight="false" outlineLevel="0" collapsed="false">
      <c r="A93" s="856"/>
      <c r="B93" s="858" t="str">
        <f aca="false">+Insumo_LOTE_I!B92</f>
        <v>ESCADA DOBRÁVEL DE 2,40M</v>
      </c>
      <c r="C93" s="844" t="str">
        <f aca="false">+Insumo_LOTE_I!C92</f>
        <v>UND</v>
      </c>
      <c r="D93" s="291" t="n">
        <f aca="false">+Insumo_LOTE_I!D92</f>
        <v>2</v>
      </c>
      <c r="E93" s="845"/>
      <c r="F93" s="291"/>
      <c r="G93" s="291"/>
      <c r="H93" s="291"/>
      <c r="I93" s="291"/>
      <c r="J93" s="291"/>
      <c r="K93" s="291"/>
      <c r="L93" s="291"/>
      <c r="M93" s="291"/>
      <c r="N93" s="291"/>
      <c r="O93" s="291"/>
      <c r="P93" s="291"/>
      <c r="Q93" s="291" t="n">
        <f aca="false">+D93</f>
        <v>2</v>
      </c>
      <c r="R93" s="846" t="n">
        <f aca="false">+Q93-SUM(E93:P93)</f>
        <v>2</v>
      </c>
      <c r="S93" s="847" t="n">
        <f aca="false">+Insumos_Cotação!S104</f>
        <v>0</v>
      </c>
      <c r="T93" s="847" t="n">
        <f aca="false">+E93*$S93</f>
        <v>0</v>
      </c>
      <c r="U93" s="847" t="n">
        <f aca="false">+E93*$S93+F93*$S93</f>
        <v>0</v>
      </c>
      <c r="V93" s="847" t="n">
        <f aca="false">+E93*$S93+F93*$S93+G93*$S93</f>
        <v>0</v>
      </c>
      <c r="W93" s="847" t="n">
        <f aca="false">++E93*$S93+F93*$S93+G93*$S93+H93*$S93</f>
        <v>0</v>
      </c>
      <c r="X93" s="847" t="n">
        <f aca="false">+E93*$S93+F93*$S93+G93*$S93+H93*$S93+I93*$S93</f>
        <v>0</v>
      </c>
      <c r="Y93" s="847" t="n">
        <f aca="false">+E93*$S93+F93*$S93+G93*$S93+H93*$S93+I93*$S93+J93*$S93</f>
        <v>0</v>
      </c>
      <c r="Z93" s="847" t="n">
        <f aca="false">+E93*$S93+F93*$S93+G93*$S93+H93*$S93+I93*$S93+J93*$S93+K93*$S93</f>
        <v>0</v>
      </c>
      <c r="AA93" s="847" t="n">
        <f aca="false">++E93*$S93+F93*$S93+G93*$S93+H93*$S93+I93*$S93+J93*$S93+K93*$S93+L93*$S93</f>
        <v>0</v>
      </c>
      <c r="AB93" s="847" t="n">
        <f aca="false">+E93*$S93+F93*$S93+G93*$S93+H93*$S93+I93*$S93+J93*$S93+K93*$S93+L93*$S93+M93*$S93</f>
        <v>0</v>
      </c>
      <c r="AC93" s="847" t="n">
        <f aca="false">+E93*$S93+F93*$S93+G93*$S93+H93*$S93+I93*$S93+J93*$S93+K93*$S93+L93*$S93+M93*$S93+N93*$S93</f>
        <v>0</v>
      </c>
      <c r="AD93" s="847" t="n">
        <f aca="false">+E93*$S93+F93*$S93+G93*$S93+H93*$S93+I93*$S93+J93*$S93+K93*$S93+L93*$S93+M93*$S93+N93*$S93+O93*$S93</f>
        <v>0</v>
      </c>
      <c r="AE93" s="848" t="n">
        <f aca="false">+E93*$S93+F93*$S93+G93*$S93+H93*$S93+I93*$S93+J93*$S93+K93*$S93+L93*$S93+M93*$S93+N93*$S93+O93*$S93+P93*$S93</f>
        <v>0</v>
      </c>
    </row>
    <row r="94" customFormat="false" ht="11.25" hidden="false" customHeight="false" outlineLevel="0" collapsed="false">
      <c r="A94" s="856"/>
      <c r="B94" s="858" t="str">
        <f aca="false">+Insumo_LOTE_I!B93</f>
        <v>ESCADA DOBRÁVEL DE 3,82M</v>
      </c>
      <c r="C94" s="844" t="str">
        <f aca="false">+Insumo_LOTE_I!C93</f>
        <v>UND</v>
      </c>
      <c r="D94" s="291" t="n">
        <f aca="false">+Insumo_LOTE_I!D93</f>
        <v>1</v>
      </c>
      <c r="E94" s="845"/>
      <c r="F94" s="291"/>
      <c r="G94" s="291"/>
      <c r="H94" s="291"/>
      <c r="I94" s="291"/>
      <c r="J94" s="291"/>
      <c r="K94" s="291"/>
      <c r="L94" s="291"/>
      <c r="M94" s="291"/>
      <c r="N94" s="291"/>
      <c r="O94" s="291"/>
      <c r="P94" s="291"/>
      <c r="Q94" s="291" t="n">
        <f aca="false">+D94</f>
        <v>1</v>
      </c>
      <c r="R94" s="846" t="n">
        <f aca="false">+Q94-SUM(E94:P94)</f>
        <v>1</v>
      </c>
      <c r="S94" s="847" t="n">
        <f aca="false">+Insumos_Cotação!S105</f>
        <v>0</v>
      </c>
      <c r="T94" s="847" t="n">
        <f aca="false">+E94*$S94</f>
        <v>0</v>
      </c>
      <c r="U94" s="847" t="n">
        <f aca="false">+E94*$S94+F94*$S94</f>
        <v>0</v>
      </c>
      <c r="V94" s="847" t="n">
        <f aca="false">+E94*$S94+F94*$S94+G94*$S94</f>
        <v>0</v>
      </c>
      <c r="W94" s="847" t="n">
        <f aca="false">++E94*$S94+F94*$S94+G94*$S94+H94*$S94</f>
        <v>0</v>
      </c>
      <c r="X94" s="847" t="n">
        <f aca="false">+E94*$S94+F94*$S94+G94*$S94+H94*$S94+I94*$S94</f>
        <v>0</v>
      </c>
      <c r="Y94" s="847" t="n">
        <f aca="false">+E94*$S94+F94*$S94+G94*$S94+H94*$S94+I94*$S94+J94*$S94</f>
        <v>0</v>
      </c>
      <c r="Z94" s="847" t="n">
        <f aca="false">+E94*$S94+F94*$S94+G94*$S94+H94*$S94+I94*$S94+J94*$S94+K94*$S94</f>
        <v>0</v>
      </c>
      <c r="AA94" s="847" t="n">
        <f aca="false">++E94*$S94+F94*$S94+G94*$S94+H94*$S94+I94*$S94+J94*$S94+K94*$S94+L94*$S94</f>
        <v>0</v>
      </c>
      <c r="AB94" s="847" t="n">
        <f aca="false">+E94*$S94+F94*$S94+G94*$S94+H94*$S94+I94*$S94+J94*$S94+K94*$S94+L94*$S94+M94*$S94</f>
        <v>0</v>
      </c>
      <c r="AC94" s="847" t="n">
        <f aca="false">+E94*$S94+F94*$S94+G94*$S94+H94*$S94+I94*$S94+J94*$S94+K94*$S94+L94*$S94+M94*$S94+N94*$S94</f>
        <v>0</v>
      </c>
      <c r="AD94" s="847" t="n">
        <f aca="false">+E94*$S94+F94*$S94+G94*$S94+H94*$S94+I94*$S94+J94*$S94+K94*$S94+L94*$S94+M94*$S94+N94*$S94+O94*$S94</f>
        <v>0</v>
      </c>
      <c r="AE94" s="848" t="n">
        <f aca="false">+E94*$S94+F94*$S94+G94*$S94+H94*$S94+I94*$S94+J94*$S94+K94*$S94+L94*$S94+M94*$S94+N94*$S94+O94*$S94+P94*$S94</f>
        <v>0</v>
      </c>
    </row>
    <row r="95" customFormat="false" ht="11.25" hidden="false" customHeight="false" outlineLevel="0" collapsed="false">
      <c r="A95" s="856"/>
      <c r="B95" s="858" t="str">
        <f aca="false">+Insumo_LOTE_I!B94</f>
        <v>ESCADA DE ALUMÍNIO 10 DEGRAUS</v>
      </c>
      <c r="C95" s="844" t="str">
        <f aca="false">+Insumo_LOTE_I!C94</f>
        <v>UND</v>
      </c>
      <c r="D95" s="291" t="n">
        <f aca="false">+Insumo_LOTE_I!D94</f>
        <v>6</v>
      </c>
      <c r="E95" s="845"/>
      <c r="F95" s="291"/>
      <c r="G95" s="291"/>
      <c r="H95" s="291"/>
      <c r="I95" s="291"/>
      <c r="J95" s="291"/>
      <c r="K95" s="291"/>
      <c r="L95" s="291"/>
      <c r="M95" s="291"/>
      <c r="N95" s="291"/>
      <c r="O95" s="291"/>
      <c r="P95" s="291"/>
      <c r="Q95" s="291" t="n">
        <f aca="false">+D95</f>
        <v>6</v>
      </c>
      <c r="R95" s="846" t="n">
        <f aca="false">+Q95-SUM(E95:P95)</f>
        <v>6</v>
      </c>
      <c r="S95" s="847" t="n">
        <f aca="false">+Insumos_Cotação!S106</f>
        <v>0</v>
      </c>
      <c r="T95" s="847" t="n">
        <f aca="false">+E95*$S95</f>
        <v>0</v>
      </c>
      <c r="U95" s="847" t="n">
        <f aca="false">+E95*$S95+F95*$S95</f>
        <v>0</v>
      </c>
      <c r="V95" s="847" t="n">
        <f aca="false">+E95*$S95+F95*$S95+G95*$S95</f>
        <v>0</v>
      </c>
      <c r="W95" s="847" t="n">
        <f aca="false">++E95*$S95+F95*$S95+G95*$S95+H95*$S95</f>
        <v>0</v>
      </c>
      <c r="X95" s="847" t="n">
        <f aca="false">+E95*$S95+F95*$S95+G95*$S95+H95*$S95+I95*$S95</f>
        <v>0</v>
      </c>
      <c r="Y95" s="847" t="n">
        <f aca="false">+E95*$S95+F95*$S95+G95*$S95+H95*$S95+I95*$S95+J95*$S95</f>
        <v>0</v>
      </c>
      <c r="Z95" s="847" t="n">
        <f aca="false">+E95*$S95+F95*$S95+G95*$S95+H95*$S95+I95*$S95+J95*$S95+K95*$S95</f>
        <v>0</v>
      </c>
      <c r="AA95" s="847" t="n">
        <f aca="false">++E95*$S95+F95*$S95+G95*$S95+H95*$S95+I95*$S95+J95*$S95+K95*$S95+L95*$S95</f>
        <v>0</v>
      </c>
      <c r="AB95" s="847" t="n">
        <f aca="false">+E95*$S95+F95*$S95+G95*$S95+H95*$S95+I95*$S95+J95*$S95+K95*$S95+L95*$S95+M95*$S95</f>
        <v>0</v>
      </c>
      <c r="AC95" s="847" t="n">
        <f aca="false">+E95*$S95+F95*$S95+G95*$S95+H95*$S95+I95*$S95+J95*$S95+K95*$S95+L95*$S95+M95*$S95+N95*$S95</f>
        <v>0</v>
      </c>
      <c r="AD95" s="847" t="n">
        <f aca="false">+E95*$S95+F95*$S95+G95*$S95+H95*$S95+I95*$S95+J95*$S95+K95*$S95+L95*$S95+M95*$S95+N95*$S95+O95*$S95</f>
        <v>0</v>
      </c>
      <c r="AE95" s="848" t="n">
        <f aca="false">+E95*$S95+F95*$S95+G95*$S95+H95*$S95+I95*$S95+J95*$S95+K95*$S95+L95*$S95+M95*$S95+N95*$S95+O95*$S95+P95*$S95</f>
        <v>0</v>
      </c>
    </row>
    <row r="96" customFormat="false" ht="11.25" hidden="false" customHeight="false" outlineLevel="0" collapsed="false">
      <c r="A96" s="856"/>
      <c r="B96" s="858" t="str">
        <f aca="false">+Insumo_LOTE_I!B95</f>
        <v>ESCADA EXTENSÍVEL DE 23 DEGRAUS</v>
      </c>
      <c r="C96" s="844" t="str">
        <f aca="false">+Insumo_LOTE_I!C95</f>
        <v>UND</v>
      </c>
      <c r="D96" s="291" t="n">
        <f aca="false">+Insumo_LOTE_I!D95</f>
        <v>1</v>
      </c>
      <c r="E96" s="845"/>
      <c r="F96" s="291"/>
      <c r="G96" s="291"/>
      <c r="H96" s="291"/>
      <c r="I96" s="291"/>
      <c r="J96" s="291"/>
      <c r="K96" s="291"/>
      <c r="L96" s="291"/>
      <c r="M96" s="291"/>
      <c r="N96" s="291"/>
      <c r="O96" s="291"/>
      <c r="P96" s="291"/>
      <c r="Q96" s="291" t="n">
        <f aca="false">+D96</f>
        <v>1</v>
      </c>
      <c r="R96" s="846" t="n">
        <f aca="false">+Q96-SUM(E96:P96)</f>
        <v>1</v>
      </c>
      <c r="S96" s="847" t="n">
        <f aca="false">+Insumos_Cotação!S107</f>
        <v>0</v>
      </c>
      <c r="T96" s="847" t="n">
        <f aca="false">+E96*$S96</f>
        <v>0</v>
      </c>
      <c r="U96" s="847" t="n">
        <f aca="false">+E96*$S96+F96*$S96</f>
        <v>0</v>
      </c>
      <c r="V96" s="847" t="n">
        <f aca="false">+E96*$S96+F96*$S96+G96*$S96</f>
        <v>0</v>
      </c>
      <c r="W96" s="847" t="n">
        <f aca="false">++E96*$S96+F96*$S96+G96*$S96+H96*$S96</f>
        <v>0</v>
      </c>
      <c r="X96" s="847" t="n">
        <f aca="false">+E96*$S96+F96*$S96+G96*$S96+H96*$S96+I96*$S96</f>
        <v>0</v>
      </c>
      <c r="Y96" s="847" t="n">
        <f aca="false">+E96*$S96+F96*$S96+G96*$S96+H96*$S96+I96*$S96+J96*$S96</f>
        <v>0</v>
      </c>
      <c r="Z96" s="847" t="n">
        <f aca="false">+E96*$S96+F96*$S96+G96*$S96+H96*$S96+I96*$S96+J96*$S96+K96*$S96</f>
        <v>0</v>
      </c>
      <c r="AA96" s="847" t="n">
        <f aca="false">++E96*$S96+F96*$S96+G96*$S96+H96*$S96+I96*$S96+J96*$S96+K96*$S96+L96*$S96</f>
        <v>0</v>
      </c>
      <c r="AB96" s="847" t="n">
        <f aca="false">+E96*$S96+F96*$S96+G96*$S96+H96*$S96+I96*$S96+J96*$S96+K96*$S96+L96*$S96+M96*$S96</f>
        <v>0</v>
      </c>
      <c r="AC96" s="847" t="n">
        <f aca="false">+E96*$S96+F96*$S96+G96*$S96+H96*$S96+I96*$S96+J96*$S96+K96*$S96+L96*$S96+M96*$S96+N96*$S96</f>
        <v>0</v>
      </c>
      <c r="AD96" s="847" t="n">
        <f aca="false">+E96*$S96+F96*$S96+G96*$S96+H96*$S96+I96*$S96+J96*$S96+K96*$S96+L96*$S96+M96*$S96+N96*$S96+O96*$S96</f>
        <v>0</v>
      </c>
      <c r="AE96" s="848" t="n">
        <f aca="false">+E96*$S96+F96*$S96+G96*$S96+H96*$S96+I96*$S96+J96*$S96+K96*$S96+L96*$S96+M96*$S96+N96*$S96+O96*$S96+P96*$S96</f>
        <v>0</v>
      </c>
    </row>
    <row r="97" customFormat="false" ht="11.25" hidden="false" customHeight="false" outlineLevel="0" collapsed="false">
      <c r="A97" s="856"/>
      <c r="B97" s="858" t="str">
        <f aca="false">+Insumo_LOTE_I!B96</f>
        <v>ESCADA BANQUETA DE ALUMINIO 3 DEGRAUS</v>
      </c>
      <c r="C97" s="844" t="str">
        <f aca="false">+Insumo_LOTE_I!C96</f>
        <v>UND</v>
      </c>
      <c r="D97" s="291" t="n">
        <f aca="false">+Insumo_LOTE_I!D96</f>
        <v>4</v>
      </c>
      <c r="E97" s="845"/>
      <c r="F97" s="291"/>
      <c r="G97" s="291"/>
      <c r="H97" s="291"/>
      <c r="I97" s="291"/>
      <c r="J97" s="291"/>
      <c r="K97" s="291"/>
      <c r="L97" s="291"/>
      <c r="M97" s="291"/>
      <c r="N97" s="291"/>
      <c r="O97" s="291"/>
      <c r="P97" s="291"/>
      <c r="Q97" s="291" t="n">
        <f aca="false">+D97</f>
        <v>4</v>
      </c>
      <c r="R97" s="846" t="n">
        <f aca="false">+Q97-SUM(E97:P97)</f>
        <v>4</v>
      </c>
      <c r="S97" s="847" t="n">
        <f aca="false">+Insumos_Cotação!S108</f>
        <v>0</v>
      </c>
      <c r="T97" s="847" t="n">
        <f aca="false">+E97*$S97</f>
        <v>0</v>
      </c>
      <c r="U97" s="847" t="n">
        <f aca="false">+E97*$S97+F97*$S97</f>
        <v>0</v>
      </c>
      <c r="V97" s="847" t="n">
        <f aca="false">+E97*$S97+F97*$S97+G97*$S97</f>
        <v>0</v>
      </c>
      <c r="W97" s="847" t="n">
        <f aca="false">++E97*$S97+F97*$S97+G97*$S97+H97*$S97</f>
        <v>0</v>
      </c>
      <c r="X97" s="847" t="n">
        <f aca="false">+E97*$S97+F97*$S97+G97*$S97+H97*$S97+I97*$S97</f>
        <v>0</v>
      </c>
      <c r="Y97" s="847" t="n">
        <f aca="false">+E97*$S97+F97*$S97+G97*$S97+H97*$S97+I97*$S97+J97*$S97</f>
        <v>0</v>
      </c>
      <c r="Z97" s="847" t="n">
        <f aca="false">+E97*$S97+F97*$S97+G97*$S97+H97*$S97+I97*$S97+J97*$S97+K97*$S97</f>
        <v>0</v>
      </c>
      <c r="AA97" s="847" t="n">
        <f aca="false">++E97*$S97+F97*$S97+G97*$S97+H97*$S97+I97*$S97+J97*$S97+K97*$S97+L97*$S97</f>
        <v>0</v>
      </c>
      <c r="AB97" s="847" t="n">
        <f aca="false">+E97*$S97+F97*$S97+G97*$S97+H97*$S97+I97*$S97+J97*$S97+K97*$S97+L97*$S97+M97*$S97</f>
        <v>0</v>
      </c>
      <c r="AC97" s="847" t="n">
        <f aca="false">+E97*$S97+F97*$S97+G97*$S97+H97*$S97+I97*$S97+J97*$S97+K97*$S97+L97*$S97+M97*$S97+N97*$S97</f>
        <v>0</v>
      </c>
      <c r="AD97" s="847" t="n">
        <f aca="false">+E97*$S97+F97*$S97+G97*$S97+H97*$S97+I97*$S97+J97*$S97+K97*$S97+L97*$S97+M97*$S97+N97*$S97+O97*$S97</f>
        <v>0</v>
      </c>
      <c r="AE97" s="848" t="n">
        <f aca="false">+E97*$S97+F97*$S97+G97*$S97+H97*$S97+I97*$S97+J97*$S97+K97*$S97+L97*$S97+M97*$S97+N97*$S97+O97*$S97+P97*$S97</f>
        <v>0</v>
      </c>
    </row>
    <row r="98" customFormat="false" ht="11.25" hidden="false" customHeight="false" outlineLevel="0" collapsed="false">
      <c r="A98" s="856"/>
      <c r="B98" s="858" t="str">
        <f aca="false">+Insumo_LOTE_I!B97</f>
        <v>LAVADORA ALTA PRESSÃO (1.450LB)</v>
      </c>
      <c r="C98" s="844" t="str">
        <f aca="false">+Insumo_LOTE_I!C97</f>
        <v>UND</v>
      </c>
      <c r="D98" s="291" t="n">
        <f aca="false">+Insumo_LOTE_I!D97</f>
        <v>4</v>
      </c>
      <c r="E98" s="845"/>
      <c r="F98" s="291"/>
      <c r="G98" s="291"/>
      <c r="H98" s="291"/>
      <c r="I98" s="291"/>
      <c r="J98" s="291"/>
      <c r="K98" s="291"/>
      <c r="L98" s="291"/>
      <c r="M98" s="291"/>
      <c r="N98" s="291"/>
      <c r="O98" s="291"/>
      <c r="P98" s="291"/>
      <c r="Q98" s="291" t="n">
        <f aca="false">+D98</f>
        <v>4</v>
      </c>
      <c r="R98" s="846" t="n">
        <f aca="false">+Q98-SUM(E98:P98)</f>
        <v>4</v>
      </c>
      <c r="S98" s="847" t="n">
        <f aca="false">+Insumos_Cotação!S109</f>
        <v>0</v>
      </c>
      <c r="T98" s="847" t="n">
        <f aca="false">+E98*$S98</f>
        <v>0</v>
      </c>
      <c r="U98" s="847" t="n">
        <f aca="false">+E98*$S98+F98*$S98</f>
        <v>0</v>
      </c>
      <c r="V98" s="847" t="n">
        <f aca="false">+E98*$S98+F98*$S98+G98*$S98</f>
        <v>0</v>
      </c>
      <c r="W98" s="847" t="n">
        <f aca="false">++E98*$S98+F98*$S98+G98*$S98+H98*$S98</f>
        <v>0</v>
      </c>
      <c r="X98" s="847" t="n">
        <f aca="false">+E98*$S98+F98*$S98+G98*$S98+H98*$S98+I98*$S98</f>
        <v>0</v>
      </c>
      <c r="Y98" s="847" t="n">
        <f aca="false">+E98*$S98+F98*$S98+G98*$S98+H98*$S98+I98*$S98+J98*$S98</f>
        <v>0</v>
      </c>
      <c r="Z98" s="847" t="n">
        <f aca="false">+E98*$S98+F98*$S98+G98*$S98+H98*$S98+I98*$S98+J98*$S98+K98*$S98</f>
        <v>0</v>
      </c>
      <c r="AA98" s="847" t="n">
        <f aca="false">++E98*$S98+F98*$S98+G98*$S98+H98*$S98+I98*$S98+J98*$S98+K98*$S98+L98*$S98</f>
        <v>0</v>
      </c>
      <c r="AB98" s="847" t="n">
        <f aca="false">+E98*$S98+F98*$S98+G98*$S98+H98*$S98+I98*$S98+J98*$S98+K98*$S98+L98*$S98+M98*$S98</f>
        <v>0</v>
      </c>
      <c r="AC98" s="847" t="n">
        <f aca="false">+E98*$S98+F98*$S98+G98*$S98+H98*$S98+I98*$S98+J98*$S98+K98*$S98+L98*$S98+M98*$S98+N98*$S98</f>
        <v>0</v>
      </c>
      <c r="AD98" s="847" t="n">
        <f aca="false">+E98*$S98+F98*$S98+G98*$S98+H98*$S98+I98*$S98+J98*$S98+K98*$S98+L98*$S98+M98*$S98+N98*$S98+O98*$S98</f>
        <v>0</v>
      </c>
      <c r="AE98" s="848" t="n">
        <f aca="false">+E98*$S98+F98*$S98+G98*$S98+H98*$S98+I98*$S98+J98*$S98+K98*$S98+L98*$S98+M98*$S98+N98*$S98+O98*$S98+P98*$S98</f>
        <v>0</v>
      </c>
    </row>
    <row r="99" customFormat="false" ht="11.25" hidden="false" customHeight="false" outlineLevel="0" collapsed="false">
      <c r="A99" s="856"/>
      <c r="B99" s="858" t="str">
        <f aca="false">+Insumo_LOTE_I!B98</f>
        <v>KIT MOP MOLHADO</v>
      </c>
      <c r="C99" s="844" t="str">
        <f aca="false">+Insumo_LOTE_I!C98</f>
        <v>UND</v>
      </c>
      <c r="D99" s="291" t="n">
        <f aca="false">+Insumo_LOTE_I!D98</f>
        <v>16</v>
      </c>
      <c r="E99" s="845"/>
      <c r="F99" s="291"/>
      <c r="G99" s="291"/>
      <c r="H99" s="291"/>
      <c r="I99" s="291"/>
      <c r="J99" s="291"/>
      <c r="K99" s="291"/>
      <c r="L99" s="291"/>
      <c r="M99" s="291"/>
      <c r="N99" s="291"/>
      <c r="O99" s="291"/>
      <c r="P99" s="291"/>
      <c r="Q99" s="291" t="n">
        <f aca="false">+D99</f>
        <v>16</v>
      </c>
      <c r="R99" s="846" t="n">
        <f aca="false">+Q99-SUM(E99:P99)</f>
        <v>16</v>
      </c>
      <c r="S99" s="847" t="n">
        <f aca="false">+Insumos_Cotação!S110</f>
        <v>0</v>
      </c>
      <c r="T99" s="847" t="n">
        <f aca="false">+E99*$S99</f>
        <v>0</v>
      </c>
      <c r="U99" s="847" t="n">
        <f aca="false">+E99*$S99+F99*$S99</f>
        <v>0</v>
      </c>
      <c r="V99" s="847" t="n">
        <f aca="false">+E99*$S99+F99*$S99+G99*$S99</f>
        <v>0</v>
      </c>
      <c r="W99" s="847" t="n">
        <f aca="false">++E99*$S99+F99*$S99+G99*$S99+H99*$S99</f>
        <v>0</v>
      </c>
      <c r="X99" s="847" t="n">
        <f aca="false">+E99*$S99+F99*$S99+G99*$S99+H99*$S99+I99*$S99</f>
        <v>0</v>
      </c>
      <c r="Y99" s="847" t="n">
        <f aca="false">+E99*$S99+F99*$S99+G99*$S99+H99*$S99+I99*$S99+J99*$S99</f>
        <v>0</v>
      </c>
      <c r="Z99" s="847" t="n">
        <f aca="false">+E99*$S99+F99*$S99+G99*$S99+H99*$S99+I99*$S99+J99*$S99+K99*$S99</f>
        <v>0</v>
      </c>
      <c r="AA99" s="847" t="n">
        <f aca="false">++E99*$S99+F99*$S99+G99*$S99+H99*$S99+I99*$S99+J99*$S99+K99*$S99+L99*$S99</f>
        <v>0</v>
      </c>
      <c r="AB99" s="847" t="n">
        <f aca="false">+E99*$S99+F99*$S99+G99*$S99+H99*$S99+I99*$S99+J99*$S99+K99*$S99+L99*$S99+M99*$S99</f>
        <v>0</v>
      </c>
      <c r="AC99" s="847" t="n">
        <f aca="false">+E99*$S99+F99*$S99+G99*$S99+H99*$S99+I99*$S99+J99*$S99+K99*$S99+L99*$S99+M99*$S99+N99*$S99</f>
        <v>0</v>
      </c>
      <c r="AD99" s="847" t="n">
        <f aca="false">+E99*$S99+F99*$S99+G99*$S99+H99*$S99+I99*$S99+J99*$S99+K99*$S99+L99*$S99+M99*$S99+N99*$S99+O99*$S99</f>
        <v>0</v>
      </c>
      <c r="AE99" s="848" t="n">
        <f aca="false">+E99*$S99+F99*$S99+G99*$S99+H99*$S99+I99*$S99+J99*$S99+K99*$S99+L99*$S99+M99*$S99+N99*$S99+O99*$S99+P99*$S99</f>
        <v>0</v>
      </c>
    </row>
    <row r="100" customFormat="false" ht="11.25" hidden="false" customHeight="false" outlineLevel="0" collapsed="false">
      <c r="A100" s="856"/>
      <c r="B100" s="858" t="str">
        <f aca="false">+Insumo_LOTE_I!B99</f>
        <v>KIT MOP SECO 60CM</v>
      </c>
      <c r="C100" s="844" t="str">
        <f aca="false">+Insumo_LOTE_I!C99</f>
        <v>UND</v>
      </c>
      <c r="D100" s="291" t="n">
        <f aca="false">+Insumo_LOTE_I!D99</f>
        <v>16</v>
      </c>
      <c r="E100" s="845"/>
      <c r="F100" s="291"/>
      <c r="G100" s="291"/>
      <c r="H100" s="291"/>
      <c r="I100" s="291"/>
      <c r="J100" s="291"/>
      <c r="K100" s="291"/>
      <c r="L100" s="291"/>
      <c r="M100" s="291"/>
      <c r="N100" s="291"/>
      <c r="O100" s="291"/>
      <c r="P100" s="291"/>
      <c r="Q100" s="291" t="n">
        <f aca="false">+D100</f>
        <v>16</v>
      </c>
      <c r="R100" s="846" t="n">
        <f aca="false">+Q100-SUM(E100:P100)</f>
        <v>16</v>
      </c>
      <c r="S100" s="847" t="n">
        <f aca="false">+Insumos_Cotação!S111</f>
        <v>0</v>
      </c>
      <c r="T100" s="847" t="n">
        <f aca="false">+E100*$S100</f>
        <v>0</v>
      </c>
      <c r="U100" s="847" t="n">
        <f aca="false">+E100*$S100+F100*$S100</f>
        <v>0</v>
      </c>
      <c r="V100" s="847" t="n">
        <f aca="false">+E100*$S100+F100*$S100+G100*$S100</f>
        <v>0</v>
      </c>
      <c r="W100" s="847" t="n">
        <f aca="false">++E100*$S100+F100*$S100+G100*$S100+H100*$S100</f>
        <v>0</v>
      </c>
      <c r="X100" s="847" t="n">
        <f aca="false">+E100*$S100+F100*$S100+G100*$S100+H100*$S100+I100*$S100</f>
        <v>0</v>
      </c>
      <c r="Y100" s="847" t="n">
        <f aca="false">+E100*$S100+F100*$S100+G100*$S100+H100*$S100+I100*$S100+J100*$S100</f>
        <v>0</v>
      </c>
      <c r="Z100" s="847" t="n">
        <f aca="false">+E100*$S100+F100*$S100+G100*$S100+H100*$S100+I100*$S100+J100*$S100+K100*$S100</f>
        <v>0</v>
      </c>
      <c r="AA100" s="847" t="n">
        <f aca="false">++E100*$S100+F100*$S100+G100*$S100+H100*$S100+I100*$S100+J100*$S100+K100*$S100+L100*$S100</f>
        <v>0</v>
      </c>
      <c r="AB100" s="847" t="n">
        <f aca="false">+E100*$S100+F100*$S100+G100*$S100+H100*$S100+I100*$S100+J100*$S100+K100*$S100+L100*$S100+M100*$S100</f>
        <v>0</v>
      </c>
      <c r="AC100" s="847" t="n">
        <f aca="false">+E100*$S100+F100*$S100+G100*$S100+H100*$S100+I100*$S100+J100*$S100+K100*$S100+L100*$S100+M100*$S100+N100*$S100</f>
        <v>0</v>
      </c>
      <c r="AD100" s="847" t="n">
        <f aca="false">+E100*$S100+F100*$S100+G100*$S100+H100*$S100+I100*$S100+J100*$S100+K100*$S100+L100*$S100+M100*$S100+N100*$S100+O100*$S100</f>
        <v>0</v>
      </c>
      <c r="AE100" s="848" t="n">
        <f aca="false">+E100*$S100+F100*$S100+G100*$S100+H100*$S100+I100*$S100+J100*$S100+K100*$S100+L100*$S100+M100*$S100+N100*$S100+O100*$S100+P100*$S100</f>
        <v>0</v>
      </c>
    </row>
    <row r="101" customFormat="false" ht="11.25" hidden="false" customHeight="false" outlineLevel="0" collapsed="false">
      <c r="A101" s="856"/>
      <c r="B101" s="858" t="str">
        <f aca="false">+Insumo_LOTE_I!B100</f>
        <v>EXTENSÃO ELÉTRICA - 50M</v>
      </c>
      <c r="C101" s="844" t="str">
        <f aca="false">+Insumo_LOTE_I!C100</f>
        <v>UND</v>
      </c>
      <c r="D101" s="291" t="n">
        <f aca="false">+Insumo_LOTE_I!D100</f>
        <v>10</v>
      </c>
      <c r="E101" s="845"/>
      <c r="F101" s="291"/>
      <c r="G101" s="291"/>
      <c r="H101" s="291"/>
      <c r="I101" s="291"/>
      <c r="J101" s="291"/>
      <c r="K101" s="291"/>
      <c r="L101" s="291"/>
      <c r="M101" s="291"/>
      <c r="N101" s="291"/>
      <c r="O101" s="291"/>
      <c r="P101" s="291"/>
      <c r="Q101" s="291" t="n">
        <f aca="false">+D101</f>
        <v>10</v>
      </c>
      <c r="R101" s="846" t="n">
        <f aca="false">+Q101-SUM(E101:P101)</f>
        <v>10</v>
      </c>
      <c r="S101" s="847" t="n">
        <f aca="false">+Insumos_Cotação!S112</f>
        <v>0</v>
      </c>
      <c r="T101" s="847" t="n">
        <f aca="false">+E101*$S101</f>
        <v>0</v>
      </c>
      <c r="U101" s="847" t="n">
        <f aca="false">+E101*$S101+F101*$S101</f>
        <v>0</v>
      </c>
      <c r="V101" s="847" t="n">
        <f aca="false">+E101*$S101+F101*$S101+G101*$S101</f>
        <v>0</v>
      </c>
      <c r="W101" s="847" t="n">
        <f aca="false">++E101*$S101+F101*$S101+G101*$S101+H101*$S101</f>
        <v>0</v>
      </c>
      <c r="X101" s="847" t="n">
        <f aca="false">+E101*$S101+F101*$S101+G101*$S101+H101*$S101+I101*$S101</f>
        <v>0</v>
      </c>
      <c r="Y101" s="847" t="n">
        <f aca="false">+E101*$S101+F101*$S101+G101*$S101+H101*$S101+I101*$S101+J101*$S101</f>
        <v>0</v>
      </c>
      <c r="Z101" s="847" t="n">
        <f aca="false">+E101*$S101+F101*$S101+G101*$S101+H101*$S101+I101*$S101+J101*$S101+K101*$S101</f>
        <v>0</v>
      </c>
      <c r="AA101" s="847" t="n">
        <f aca="false">++E101*$S101+F101*$S101+G101*$S101+H101*$S101+I101*$S101+J101*$S101+K101*$S101+L101*$S101</f>
        <v>0</v>
      </c>
      <c r="AB101" s="847" t="n">
        <f aca="false">+E101*$S101+F101*$S101+G101*$S101+H101*$S101+I101*$S101+J101*$S101+K101*$S101+L101*$S101+M101*$S101</f>
        <v>0</v>
      </c>
      <c r="AC101" s="847" t="n">
        <f aca="false">+E101*$S101+F101*$S101+G101*$S101+H101*$S101+I101*$S101+J101*$S101+K101*$S101+L101*$S101+M101*$S101+N101*$S101</f>
        <v>0</v>
      </c>
      <c r="AD101" s="847" t="n">
        <f aca="false">+E101*$S101+F101*$S101+G101*$S101+H101*$S101+I101*$S101+J101*$S101+K101*$S101+L101*$S101+M101*$S101+N101*$S101+O101*$S101</f>
        <v>0</v>
      </c>
      <c r="AE101" s="848" t="n">
        <f aca="false">+E101*$S101+F101*$S101+G101*$S101+H101*$S101+I101*$S101+J101*$S101+K101*$S101+L101*$S101+M101*$S101+N101*$S101+O101*$S101+P101*$S101</f>
        <v>0</v>
      </c>
    </row>
    <row r="102" customFormat="false" ht="11.25" hidden="false" customHeight="false" outlineLevel="0" collapsed="false">
      <c r="A102" s="856"/>
      <c r="B102" s="858" t="str">
        <f aca="false">+Insumo_LOTE_I!B101</f>
        <v>MANGUEIRA DE JARDIM REFORÇADA - 50M  1/2"</v>
      </c>
      <c r="C102" s="844" t="str">
        <f aca="false">+Insumo_LOTE_I!C101</f>
        <v>UND</v>
      </c>
      <c r="D102" s="291" t="n">
        <f aca="false">+Insumo_LOTE_I!D101</f>
        <v>10</v>
      </c>
      <c r="E102" s="845"/>
      <c r="F102" s="291"/>
      <c r="G102" s="291"/>
      <c r="H102" s="291"/>
      <c r="I102" s="291"/>
      <c r="J102" s="291"/>
      <c r="K102" s="291"/>
      <c r="L102" s="291"/>
      <c r="M102" s="291"/>
      <c r="N102" s="291"/>
      <c r="O102" s="291"/>
      <c r="P102" s="291"/>
      <c r="Q102" s="291" t="n">
        <f aca="false">+D102</f>
        <v>10</v>
      </c>
      <c r="R102" s="846" t="n">
        <f aca="false">+Q102-SUM(E102:P102)</f>
        <v>10</v>
      </c>
      <c r="S102" s="847" t="n">
        <f aca="false">+Insumos_Cotação!S113</f>
        <v>0</v>
      </c>
      <c r="T102" s="847" t="n">
        <f aca="false">+E102*$S102</f>
        <v>0</v>
      </c>
      <c r="U102" s="847" t="n">
        <f aca="false">+E102*$S102+F102*$S102</f>
        <v>0</v>
      </c>
      <c r="V102" s="847" t="n">
        <f aca="false">+E102*$S102+F102*$S102+G102*$S102</f>
        <v>0</v>
      </c>
      <c r="W102" s="847" t="n">
        <f aca="false">++E102*$S102+F102*$S102+G102*$S102+H102*$S102</f>
        <v>0</v>
      </c>
      <c r="X102" s="847" t="n">
        <f aca="false">+E102*$S102+F102*$S102+G102*$S102+H102*$S102+I102*$S102</f>
        <v>0</v>
      </c>
      <c r="Y102" s="847" t="n">
        <f aca="false">+E102*$S102+F102*$S102+G102*$S102+H102*$S102+I102*$S102+J102*$S102</f>
        <v>0</v>
      </c>
      <c r="Z102" s="847" t="n">
        <f aca="false">+E102*$S102+F102*$S102+G102*$S102+H102*$S102+I102*$S102+J102*$S102+K102*$S102</f>
        <v>0</v>
      </c>
      <c r="AA102" s="847" t="n">
        <f aca="false">++E102*$S102+F102*$S102+G102*$S102+H102*$S102+I102*$S102+J102*$S102+K102*$S102+L102*$S102</f>
        <v>0</v>
      </c>
      <c r="AB102" s="847" t="n">
        <f aca="false">+E102*$S102+F102*$S102+G102*$S102+H102*$S102+I102*$S102+J102*$S102+K102*$S102+L102*$S102+M102*$S102</f>
        <v>0</v>
      </c>
      <c r="AC102" s="847" t="n">
        <f aca="false">+E102*$S102+F102*$S102+G102*$S102+H102*$S102+I102*$S102+J102*$S102+K102*$S102+L102*$S102+M102*$S102+N102*$S102</f>
        <v>0</v>
      </c>
      <c r="AD102" s="847" t="n">
        <f aca="false">+E102*$S102+F102*$S102+G102*$S102+H102*$S102+I102*$S102+J102*$S102+K102*$S102+L102*$S102+M102*$S102+N102*$S102+O102*$S102</f>
        <v>0</v>
      </c>
      <c r="AE102" s="848" t="n">
        <f aca="false">+E102*$S102+F102*$S102+G102*$S102+H102*$S102+I102*$S102+J102*$S102+K102*$S102+L102*$S102+M102*$S102+N102*$S102+O102*$S102+P102*$S102</f>
        <v>0</v>
      </c>
    </row>
    <row r="103" customFormat="false" ht="12" hidden="false" customHeight="false" outlineLevel="0" collapsed="false">
      <c r="A103" s="856"/>
      <c r="B103" s="859" t="str">
        <f aca="false">+Insumo_LOTE_I!B102</f>
        <v>SINALIZADOR (PISO MOLHADO)</v>
      </c>
      <c r="C103" s="860" t="str">
        <f aca="false">+Insumo_LOTE_I!C102</f>
        <v>UND</v>
      </c>
      <c r="D103" s="861" t="n">
        <f aca="false">+Insumo_LOTE_I!D102</f>
        <v>40</v>
      </c>
      <c r="E103" s="862"/>
      <c r="F103" s="861"/>
      <c r="G103" s="861"/>
      <c r="H103" s="861"/>
      <c r="I103" s="861"/>
      <c r="J103" s="861"/>
      <c r="K103" s="861"/>
      <c r="L103" s="861"/>
      <c r="M103" s="861"/>
      <c r="N103" s="861"/>
      <c r="O103" s="861"/>
      <c r="P103" s="861"/>
      <c r="Q103" s="861" t="n">
        <f aca="false">+D103</f>
        <v>40</v>
      </c>
      <c r="R103" s="863" t="n">
        <f aca="false">+Q103-SUM(E103:P103)</f>
        <v>40</v>
      </c>
      <c r="S103" s="864" t="n">
        <f aca="false">+Insumos_Cotação!S114</f>
        <v>0</v>
      </c>
      <c r="T103" s="864" t="n">
        <f aca="false">+E103*$S103</f>
        <v>0</v>
      </c>
      <c r="U103" s="864" t="n">
        <f aca="false">+E103*$S103+F103*$S103</f>
        <v>0</v>
      </c>
      <c r="V103" s="864" t="n">
        <f aca="false">+E103*$S103+F103*$S103+G103*$S103</f>
        <v>0</v>
      </c>
      <c r="W103" s="864" t="n">
        <f aca="false">++E103*$S103+F103*$S103+G103*$S103+H103*$S103</f>
        <v>0</v>
      </c>
      <c r="X103" s="864" t="n">
        <f aca="false">+E103*$S103+F103*$S103+G103*$S103+H103*$S103+I103*$S103</f>
        <v>0</v>
      </c>
      <c r="Y103" s="864" t="n">
        <f aca="false">+E103*$S103+F103*$S103+G103*$S103+H103*$S103+I103*$S103+J103*$S103</f>
        <v>0</v>
      </c>
      <c r="Z103" s="864" t="n">
        <f aca="false">+E103*$S103+F103*$S103+G103*$S103+H103*$S103+I103*$S103+J103*$S103+K103*$S103</f>
        <v>0</v>
      </c>
      <c r="AA103" s="864" t="n">
        <f aca="false">++E103*$S103+F103*$S103+G103*$S103+H103*$S103+I103*$S103+J103*$S103+K103*$S103+L103*$S103</f>
        <v>0</v>
      </c>
      <c r="AB103" s="864" t="n">
        <f aca="false">+E103*$S103+F103*$S103+G103*$S103+H103*$S103+I103*$S103+J103*$S103+K103*$S103+L103*$S103+M103*$S103</f>
        <v>0</v>
      </c>
      <c r="AC103" s="864" t="n">
        <f aca="false">+E103*$S103+F103*$S103+G103*$S103+H103*$S103+I103*$S103+J103*$S103+K103*$S103+L103*$S103+M103*$S103+N103*$S103</f>
        <v>0</v>
      </c>
      <c r="AD103" s="864" t="n">
        <f aca="false">+E103*$S103+F103*$S103+G103*$S103+H103*$S103+I103*$S103+J103*$S103+K103*$S103+L103*$S103+M103*$S103+N103*$S103+O103*$S103</f>
        <v>0</v>
      </c>
      <c r="AE103" s="865" t="n">
        <f aca="false">+E103*$S103+F103*$S103+G103*$S103+H103*$S103+I103*$S103+J103*$S103+K103*$S103+L103*$S103+M103*$S103+N103*$S103+O103*$S103+P103*$S103</f>
        <v>0</v>
      </c>
    </row>
    <row r="104" customFormat="false" ht="12" hidden="false" customHeight="false" outlineLevel="0" collapsed="false">
      <c r="A104" s="83"/>
      <c r="B104" s="83"/>
      <c r="C104" s="83"/>
      <c r="D104" s="83"/>
      <c r="E104" s="83"/>
      <c r="F104" s="83"/>
      <c r="G104" s="83"/>
      <c r="H104" s="83"/>
      <c r="I104" s="83"/>
      <c r="J104" s="83"/>
      <c r="K104" s="83"/>
      <c r="L104" s="83"/>
      <c r="M104" s="83"/>
      <c r="N104" s="83"/>
      <c r="O104" s="83"/>
      <c r="P104" s="83"/>
      <c r="Q104" s="877" t="s">
        <v>735</v>
      </c>
      <c r="R104" s="877"/>
      <c r="S104" s="877"/>
      <c r="T104" s="878" t="n">
        <f aca="false">SUM(T4:T103)</f>
        <v>0</v>
      </c>
      <c r="U104" s="879" t="n">
        <f aca="false">SUM(U4:U103)</f>
        <v>0</v>
      </c>
      <c r="V104" s="879" t="n">
        <f aca="false">SUM(V4:V103)</f>
        <v>0</v>
      </c>
      <c r="W104" s="879" t="n">
        <f aca="false">SUM(W4:W103)</f>
        <v>0</v>
      </c>
      <c r="X104" s="879" t="n">
        <f aca="false">SUM(X4:X103)</f>
        <v>0</v>
      </c>
      <c r="Y104" s="879" t="n">
        <f aca="false">SUM(Y4:Y103)</f>
        <v>0</v>
      </c>
      <c r="Z104" s="879" t="n">
        <f aca="false">SUM(Z4:Z103)</f>
        <v>0</v>
      </c>
      <c r="AA104" s="879" t="n">
        <f aca="false">SUM(AA4:AA103)</f>
        <v>0</v>
      </c>
      <c r="AB104" s="879" t="n">
        <f aca="false">SUM(AB4:AB103)</f>
        <v>0</v>
      </c>
      <c r="AC104" s="879" t="n">
        <f aca="false">SUM(AC4:AC103)</f>
        <v>0</v>
      </c>
      <c r="AD104" s="879" t="n">
        <f aca="false">SUM(AD4:AD103)</f>
        <v>0</v>
      </c>
      <c r="AE104" s="880" t="n">
        <f aca="false">SUM(AE4:AE103)</f>
        <v>0</v>
      </c>
    </row>
    <row r="105" customFormat="false" ht="23.25" hidden="false" customHeight="false" outlineLevel="0" collapsed="false">
      <c r="A105" s="83" t="s">
        <v>736</v>
      </c>
      <c r="B105" s="83"/>
      <c r="C105" s="83"/>
      <c r="D105" s="83"/>
      <c r="E105" s="83"/>
      <c r="F105" s="83"/>
      <c r="G105" s="83"/>
      <c r="H105" s="83"/>
      <c r="I105" s="83"/>
      <c r="J105" s="83"/>
      <c r="K105" s="83"/>
      <c r="M105" s="83"/>
      <c r="N105" s="83"/>
      <c r="O105" s="83" t="s">
        <v>737</v>
      </c>
      <c r="P105" s="83"/>
      <c r="Q105" s="881"/>
      <c r="R105" s="881"/>
      <c r="S105" s="881"/>
      <c r="T105" s="882" t="s">
        <v>738</v>
      </c>
      <c r="U105" s="883" t="s">
        <v>739</v>
      </c>
      <c r="V105" s="883" t="s">
        <v>740</v>
      </c>
      <c r="W105" s="883" t="s">
        <v>741</v>
      </c>
      <c r="X105" s="883" t="s">
        <v>742</v>
      </c>
      <c r="Y105" s="883" t="s">
        <v>743</v>
      </c>
      <c r="Z105" s="883" t="s">
        <v>744</v>
      </c>
      <c r="AA105" s="883" t="s">
        <v>745</v>
      </c>
      <c r="AB105" s="883" t="s">
        <v>746</v>
      </c>
      <c r="AC105" s="883" t="s">
        <v>747</v>
      </c>
      <c r="AD105" s="883" t="s">
        <v>748</v>
      </c>
      <c r="AE105" s="884" t="s">
        <v>749</v>
      </c>
    </row>
    <row r="106" customFormat="false" ht="12.75" hidden="false" customHeight="false" outlineLevel="0" collapsed="false">
      <c r="T106" s="885" t="str">
        <f aca="false">IF(T104&gt;$AD$1,"Verifique","OK")</f>
        <v>OK</v>
      </c>
      <c r="U106" s="885" t="str">
        <f aca="false">IF(U104&gt;$AD$1,"Verifique","OK")</f>
        <v>OK</v>
      </c>
      <c r="V106" s="885" t="str">
        <f aca="false">IF(V104&gt;$AD$1,"Verifique","OK")</f>
        <v>OK</v>
      </c>
      <c r="W106" s="885" t="str">
        <f aca="false">IF(W104&gt;$AD$1,"Verifique","OK")</f>
        <v>OK</v>
      </c>
      <c r="X106" s="885" t="str">
        <f aca="false">IF(X104&gt;$AD$1,"Verifique","OK")</f>
        <v>OK</v>
      </c>
      <c r="Y106" s="885" t="str">
        <f aca="false">IF(Y104&gt;$AD$1,"Verifique","OK")</f>
        <v>OK</v>
      </c>
      <c r="Z106" s="885" t="str">
        <f aca="false">IF(Z104&gt;$AD$1,"Verifique","OK")</f>
        <v>OK</v>
      </c>
      <c r="AA106" s="885" t="str">
        <f aca="false">IF(AA104&gt;$AD$1,"Verifique","OK")</f>
        <v>OK</v>
      </c>
      <c r="AB106" s="885" t="str">
        <f aca="false">IF(AB104&gt;$AD$1,"Verifique","OK")</f>
        <v>OK</v>
      </c>
      <c r="AC106" s="885" t="str">
        <f aca="false">IF(AC104&gt;$AD$1,"Verifique","OK")</f>
        <v>OK</v>
      </c>
      <c r="AD106" s="885" t="str">
        <f aca="false">IF(AD104&gt;$AD$1,"Verifique","OK")</f>
        <v>OK</v>
      </c>
      <c r="AE106" s="886" t="str">
        <f aca="false">IF(AE104&gt;$AD$1,"Verifique","OK")</f>
        <v>OK</v>
      </c>
    </row>
  </sheetData>
  <mergeCells count="18">
    <mergeCell ref="A1:S1"/>
    <mergeCell ref="AB1:AC1"/>
    <mergeCell ref="AD1:AE1"/>
    <mergeCell ref="A2:A3"/>
    <mergeCell ref="B2:B3"/>
    <mergeCell ref="C2:C3"/>
    <mergeCell ref="D2:D3"/>
    <mergeCell ref="E2:P2"/>
    <mergeCell ref="Q2:Q3"/>
    <mergeCell ref="R2:R3"/>
    <mergeCell ref="S2:S3"/>
    <mergeCell ref="T2:AE2"/>
    <mergeCell ref="A4:A59"/>
    <mergeCell ref="A60:A69"/>
    <mergeCell ref="A70:A76"/>
    <mergeCell ref="A77:A81"/>
    <mergeCell ref="A82:A103"/>
    <mergeCell ref="Q104:S104"/>
  </mergeCells>
  <conditionalFormatting sqref="T106:AE106">
    <cfRule type="expression" priority="2" aboveAverage="0" equalAverage="0" bottom="0" percent="0" rank="0" text="" dxfId="0">
      <formula>NOT(ISERROR(SEARCH("Mais de uma Nota Atribuida na linha. Verifique",T106)))</formula>
    </cfRule>
    <cfRule type="expression" priority="3" aboveAverage="0" equalAverage="0" bottom="0" percent="0" rank="0" text="" dxfId="1">
      <formula>NOT(ISERROR(SEARCH("Verifique",T106)))</formula>
    </cfRule>
    <cfRule type="expression" priority="4" aboveAverage="0" equalAverage="0" bottom="0" percent="0" rank="0" text="" dxfId="2">
      <formula>NOT(ISERROR(SEARCH("OK",T106)))</formula>
    </cfRule>
  </conditionalFormatting>
  <printOptions headings="false" gridLines="false" gridLinesSet="true" horizontalCentered="false" verticalCentered="false"/>
  <pageMargins left="0.118055555555556" right="0.118055555555556" top="0.256944444444444" bottom="0.118055555555556" header="0.118055555555556" footer="0.118055555555556"/>
  <pageSetup paperSize="77" scale="47" firstPageNumber="0" fitToWidth="1" fitToHeight="1" pageOrder="downThenOver" orientation="landscape" blackAndWhite="false" draft="false" cellComments="none" useFirstPageNumber="false" horizontalDpi="300" verticalDpi="300" copies="1"/>
  <headerFooter differentFirst="false" differentOddEven="false">
    <oddHeader>&amp;L&amp;"Arial,Normal"&amp;10CONTROLE DE MATERIAIS DO NÚCLEO DE COMPUTAÇÃO ELETRÔNICA&amp;R&amp;"Arial,Normal"&amp;10&amp;P de &amp;N</oddHeader>
    <oddFooter/>
  </headerFooter>
  <colBreaks count="1" manualBreakCount="1">
    <brk id="18" man="true" max="65535" min="0"/>
  </colBreaks>
</worksheet>
</file>

<file path=xl/worksheets/sheet27.xml><?xml version="1.0" encoding="utf-8"?>
<worksheet xmlns="http://schemas.openxmlformats.org/spreadsheetml/2006/main" xmlns:r="http://schemas.openxmlformats.org/officeDocument/2006/relationships">
  <sheetPr filterMode="false">
    <pageSetUpPr fitToPage="false"/>
  </sheetPr>
  <dimension ref="A1:AE106"/>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1.25" zeroHeight="false" outlineLevelRow="0" outlineLevelCol="0"/>
  <cols>
    <col collapsed="false" customWidth="true" hidden="false" outlineLevel="0" max="1" min="1" style="59" width="8.64"/>
    <col collapsed="false" customWidth="true" hidden="false" outlineLevel="0" max="2" min="2" style="59" width="44.55"/>
    <col collapsed="false" customWidth="true" hidden="false" outlineLevel="0" max="3" min="3" style="59" width="4.18"/>
    <col collapsed="false" customWidth="true" hidden="false" outlineLevel="0" max="4" min="4" style="59" width="6.48"/>
    <col collapsed="false" customWidth="true" hidden="false" outlineLevel="0" max="16" min="5" style="59" width="5.4"/>
    <col collapsed="false" customWidth="true" hidden="false" outlineLevel="0" max="18" min="17" style="59" width="8.64"/>
    <col collapsed="false" customWidth="true" hidden="false" outlineLevel="0" max="19" min="19" style="205" width="9.72"/>
    <col collapsed="false" customWidth="true" hidden="false" outlineLevel="0" max="20" min="20" style="205" width="12.02"/>
    <col collapsed="false" customWidth="true" hidden="false" outlineLevel="0" max="31" min="21" style="59" width="12.02"/>
    <col collapsed="false" customWidth="true" hidden="false" outlineLevel="0" max="1025" min="32" style="59" width="8.64"/>
  </cols>
  <sheetData>
    <row r="1" customFormat="false" ht="26.25" hidden="false" customHeight="false" outlineLevel="0" collapsed="false">
      <c r="A1" s="822" t="s">
        <v>714</v>
      </c>
      <c r="B1" s="822"/>
      <c r="C1" s="822"/>
      <c r="D1" s="822"/>
      <c r="E1" s="822"/>
      <c r="F1" s="822"/>
      <c r="G1" s="822"/>
      <c r="H1" s="822"/>
      <c r="I1" s="822"/>
      <c r="J1" s="822"/>
      <c r="K1" s="822"/>
      <c r="L1" s="822"/>
      <c r="M1" s="822"/>
      <c r="N1" s="822"/>
      <c r="O1" s="822"/>
      <c r="P1" s="822"/>
      <c r="Q1" s="822"/>
      <c r="R1" s="822"/>
      <c r="S1" s="822"/>
      <c r="T1" s="823"/>
      <c r="U1" s="823"/>
      <c r="V1" s="823"/>
      <c r="W1" s="823"/>
      <c r="X1" s="823"/>
      <c r="Y1" s="823"/>
      <c r="Z1" s="823"/>
      <c r="AA1" s="823"/>
      <c r="AB1" s="824" t="s">
        <v>715</v>
      </c>
      <c r="AC1" s="824"/>
      <c r="AD1" s="825" t="n">
        <f aca="false">+Insumo_LOTE_I!J103</f>
        <v>0</v>
      </c>
      <c r="AE1" s="825"/>
    </row>
    <row r="2" customFormat="false" ht="11.25" hidden="false" customHeight="true" outlineLevel="0" collapsed="false">
      <c r="A2" s="826"/>
      <c r="B2" s="827" t="s">
        <v>716</v>
      </c>
      <c r="C2" s="828" t="s">
        <v>217</v>
      </c>
      <c r="D2" s="829" t="s">
        <v>717</v>
      </c>
      <c r="E2" s="830" t="s">
        <v>718</v>
      </c>
      <c r="F2" s="830"/>
      <c r="G2" s="830"/>
      <c r="H2" s="830"/>
      <c r="I2" s="830"/>
      <c r="J2" s="830"/>
      <c r="K2" s="830"/>
      <c r="L2" s="830"/>
      <c r="M2" s="830"/>
      <c r="N2" s="830"/>
      <c r="O2" s="830"/>
      <c r="P2" s="830"/>
      <c r="Q2" s="829" t="s">
        <v>719</v>
      </c>
      <c r="R2" s="829" t="s">
        <v>720</v>
      </c>
      <c r="S2" s="831" t="s">
        <v>721</v>
      </c>
      <c r="T2" s="832" t="s">
        <v>722</v>
      </c>
      <c r="U2" s="832"/>
      <c r="V2" s="832"/>
      <c r="W2" s="832"/>
      <c r="X2" s="832"/>
      <c r="Y2" s="832"/>
      <c r="Z2" s="832"/>
      <c r="AA2" s="832"/>
      <c r="AB2" s="832"/>
      <c r="AC2" s="832"/>
      <c r="AD2" s="832"/>
      <c r="AE2" s="832"/>
    </row>
    <row r="3" customFormat="false" ht="12" hidden="false" customHeight="false" outlineLevel="0" collapsed="false">
      <c r="A3" s="826"/>
      <c r="B3" s="826"/>
      <c r="C3" s="826"/>
      <c r="D3" s="826"/>
      <c r="E3" s="833" t="s">
        <v>723</v>
      </c>
      <c r="F3" s="833" t="s">
        <v>724</v>
      </c>
      <c r="G3" s="833" t="s">
        <v>725</v>
      </c>
      <c r="H3" s="833" t="s">
        <v>726</v>
      </c>
      <c r="I3" s="833" t="s">
        <v>727</v>
      </c>
      <c r="J3" s="833" t="s">
        <v>728</v>
      </c>
      <c r="K3" s="833" t="s">
        <v>729</v>
      </c>
      <c r="L3" s="833" t="s">
        <v>730</v>
      </c>
      <c r="M3" s="833" t="s">
        <v>731</v>
      </c>
      <c r="N3" s="833" t="s">
        <v>732</v>
      </c>
      <c r="O3" s="833" t="s">
        <v>733</v>
      </c>
      <c r="P3" s="833" t="s">
        <v>734</v>
      </c>
      <c r="Q3" s="829"/>
      <c r="R3" s="829"/>
      <c r="S3" s="831"/>
      <c r="T3" s="833" t="s">
        <v>723</v>
      </c>
      <c r="U3" s="833" t="s">
        <v>724</v>
      </c>
      <c r="V3" s="833" t="s">
        <v>725</v>
      </c>
      <c r="W3" s="833" t="s">
        <v>726</v>
      </c>
      <c r="X3" s="833" t="s">
        <v>727</v>
      </c>
      <c r="Y3" s="833" t="s">
        <v>728</v>
      </c>
      <c r="Z3" s="833" t="s">
        <v>729</v>
      </c>
      <c r="AA3" s="833" t="s">
        <v>730</v>
      </c>
      <c r="AB3" s="833" t="s">
        <v>731</v>
      </c>
      <c r="AC3" s="833" t="s">
        <v>732</v>
      </c>
      <c r="AD3" s="833" t="s">
        <v>733</v>
      </c>
      <c r="AE3" s="834" t="s">
        <v>734</v>
      </c>
    </row>
    <row r="4" customFormat="false" ht="11.25" hidden="false" customHeight="false" outlineLevel="0" collapsed="false">
      <c r="A4" s="835" t="s">
        <v>219</v>
      </c>
      <c r="B4" s="836" t="e">
        <f aca="false">+#REF!</f>
        <v>#REF!</v>
      </c>
      <c r="C4" s="837" t="e">
        <f aca="false">+#REF!</f>
        <v>#REF!</v>
      </c>
      <c r="D4" s="838" t="e">
        <f aca="false">+#REF!</f>
        <v>#REF!</v>
      </c>
      <c r="E4" s="839"/>
      <c r="F4" s="839"/>
      <c r="G4" s="839"/>
      <c r="H4" s="839"/>
      <c r="I4" s="839"/>
      <c r="J4" s="839"/>
      <c r="K4" s="839"/>
      <c r="L4" s="839"/>
      <c r="M4" s="839"/>
      <c r="N4" s="839"/>
      <c r="O4" s="839"/>
      <c r="P4" s="839"/>
      <c r="Q4" s="838" t="e">
        <f aca="false">+D4*12</f>
        <v>#REF!</v>
      </c>
      <c r="R4" s="840" t="e">
        <f aca="false">+Q4-SUM(E4:P4)</f>
        <v>#REF!</v>
      </c>
      <c r="S4" s="841" t="n">
        <f aca="false">+Insumos_Cotação!O11</f>
        <v>0</v>
      </c>
      <c r="T4" s="841" t="n">
        <f aca="false">+E4*$S4</f>
        <v>0</v>
      </c>
      <c r="U4" s="841" t="n">
        <f aca="false">+F4*$S4</f>
        <v>0</v>
      </c>
      <c r="V4" s="841" t="n">
        <f aca="false">+G4*$S4</f>
        <v>0</v>
      </c>
      <c r="W4" s="841" t="n">
        <f aca="false">+H4*$S4</f>
        <v>0</v>
      </c>
      <c r="X4" s="841" t="n">
        <f aca="false">+I4*$S4</f>
        <v>0</v>
      </c>
      <c r="Y4" s="841" t="n">
        <f aca="false">+J4*$S4</f>
        <v>0</v>
      </c>
      <c r="Z4" s="841" t="n">
        <f aca="false">+K4*$S4</f>
        <v>0</v>
      </c>
      <c r="AA4" s="841" t="n">
        <f aca="false">+L4*$S4</f>
        <v>0</v>
      </c>
      <c r="AB4" s="841" t="n">
        <f aca="false">+M4*$S4</f>
        <v>0</v>
      </c>
      <c r="AC4" s="841" t="n">
        <f aca="false">+N4*$S4</f>
        <v>0</v>
      </c>
      <c r="AD4" s="841" t="n">
        <f aca="false">+O4*$S4</f>
        <v>0</v>
      </c>
      <c r="AE4" s="842" t="n">
        <f aca="false">+P4*$S4</f>
        <v>0</v>
      </c>
    </row>
    <row r="5" customFormat="false" ht="11.25" hidden="false" customHeight="false" outlineLevel="0" collapsed="false">
      <c r="A5" s="835"/>
      <c r="B5" s="843" t="e">
        <f aca="false">+#REF!</f>
        <v>#REF!</v>
      </c>
      <c r="C5" s="844" t="e">
        <f aca="false">+#REF!</f>
        <v>#REF!</v>
      </c>
      <c r="D5" s="291" t="e">
        <f aca="false">+#REF!</f>
        <v>#REF!</v>
      </c>
      <c r="E5" s="845"/>
      <c r="F5" s="845"/>
      <c r="G5" s="845"/>
      <c r="H5" s="845"/>
      <c r="I5" s="845"/>
      <c r="J5" s="845"/>
      <c r="K5" s="845"/>
      <c r="L5" s="845"/>
      <c r="M5" s="845"/>
      <c r="N5" s="845"/>
      <c r="O5" s="845"/>
      <c r="P5" s="845"/>
      <c r="Q5" s="291" t="e">
        <f aca="false">+D5*12</f>
        <v>#REF!</v>
      </c>
      <c r="R5" s="846" t="e">
        <f aca="false">+Q5-SUM(E5:P5)</f>
        <v>#REF!</v>
      </c>
      <c r="S5" s="847" t="n">
        <f aca="false">+Insumos_Cotação!O12</f>
        <v>0</v>
      </c>
      <c r="T5" s="847" t="n">
        <f aca="false">+E5*$S5</f>
        <v>0</v>
      </c>
      <c r="U5" s="847" t="n">
        <f aca="false">+F5*$S5</f>
        <v>0</v>
      </c>
      <c r="V5" s="847" t="n">
        <f aca="false">+G5*$S5</f>
        <v>0</v>
      </c>
      <c r="W5" s="847" t="n">
        <f aca="false">+H5*$S5</f>
        <v>0</v>
      </c>
      <c r="X5" s="847" t="n">
        <f aca="false">+I5*$S5</f>
        <v>0</v>
      </c>
      <c r="Y5" s="847" t="n">
        <f aca="false">+J5*$S5</f>
        <v>0</v>
      </c>
      <c r="Z5" s="847" t="n">
        <f aca="false">+K5*$S5</f>
        <v>0</v>
      </c>
      <c r="AA5" s="847" t="n">
        <f aca="false">+L5*$S5</f>
        <v>0</v>
      </c>
      <c r="AB5" s="847" t="n">
        <f aca="false">+M5*$S5</f>
        <v>0</v>
      </c>
      <c r="AC5" s="847" t="n">
        <f aca="false">+N5*$S5</f>
        <v>0</v>
      </c>
      <c r="AD5" s="847" t="n">
        <f aca="false">+O5*$S5</f>
        <v>0</v>
      </c>
      <c r="AE5" s="848" t="n">
        <f aca="false">+P5*$S5</f>
        <v>0</v>
      </c>
    </row>
    <row r="6" customFormat="false" ht="11.25" hidden="false" customHeight="false" outlineLevel="0" collapsed="false">
      <c r="A6" s="835"/>
      <c r="B6" s="843" t="e">
        <f aca="false">+#REF!</f>
        <v>#REF!</v>
      </c>
      <c r="C6" s="844" t="e">
        <f aca="false">+#REF!</f>
        <v>#REF!</v>
      </c>
      <c r="D6" s="291" t="e">
        <f aca="false">+#REF!</f>
        <v>#REF!</v>
      </c>
      <c r="E6" s="845"/>
      <c r="F6" s="845"/>
      <c r="G6" s="845"/>
      <c r="H6" s="845"/>
      <c r="I6" s="845"/>
      <c r="J6" s="845"/>
      <c r="K6" s="845"/>
      <c r="L6" s="845"/>
      <c r="M6" s="845"/>
      <c r="N6" s="845"/>
      <c r="O6" s="845"/>
      <c r="P6" s="845"/>
      <c r="Q6" s="291" t="e">
        <f aca="false">+D6*12</f>
        <v>#REF!</v>
      </c>
      <c r="R6" s="846" t="e">
        <f aca="false">+Q6-SUM(E6:P6)</f>
        <v>#REF!</v>
      </c>
      <c r="S6" s="847" t="n">
        <f aca="false">+Insumos_Cotação!O13</f>
        <v>0</v>
      </c>
      <c r="T6" s="847" t="n">
        <f aca="false">+E6*$S6</f>
        <v>0</v>
      </c>
      <c r="U6" s="847" t="n">
        <f aca="false">+F6*$S6</f>
        <v>0</v>
      </c>
      <c r="V6" s="847" t="n">
        <f aca="false">+G6*$S6</f>
        <v>0</v>
      </c>
      <c r="W6" s="847" t="n">
        <f aca="false">+H6*$S6</f>
        <v>0</v>
      </c>
      <c r="X6" s="847" t="n">
        <f aca="false">+I6*$S6</f>
        <v>0</v>
      </c>
      <c r="Y6" s="847" t="n">
        <f aca="false">+J6*$S6</f>
        <v>0</v>
      </c>
      <c r="Z6" s="847" t="n">
        <f aca="false">+K6*$S6</f>
        <v>0</v>
      </c>
      <c r="AA6" s="847" t="n">
        <f aca="false">+L6*$S6</f>
        <v>0</v>
      </c>
      <c r="AB6" s="847" t="n">
        <f aca="false">+M6*$S6</f>
        <v>0</v>
      </c>
      <c r="AC6" s="847" t="n">
        <f aca="false">+N6*$S6</f>
        <v>0</v>
      </c>
      <c r="AD6" s="847" t="n">
        <f aca="false">+O6*$S6</f>
        <v>0</v>
      </c>
      <c r="AE6" s="848" t="n">
        <f aca="false">+P6*$S6</f>
        <v>0</v>
      </c>
    </row>
    <row r="7" customFormat="false" ht="11.25" hidden="false" customHeight="false" outlineLevel="0" collapsed="false">
      <c r="A7" s="835"/>
      <c r="B7" s="843" t="e">
        <f aca="false">+#REF!</f>
        <v>#REF!</v>
      </c>
      <c r="C7" s="844" t="e">
        <f aca="false">+#REF!</f>
        <v>#REF!</v>
      </c>
      <c r="D7" s="291" t="e">
        <f aca="false">+#REF!</f>
        <v>#REF!</v>
      </c>
      <c r="E7" s="845"/>
      <c r="F7" s="845"/>
      <c r="G7" s="845"/>
      <c r="H7" s="845"/>
      <c r="I7" s="845"/>
      <c r="J7" s="845"/>
      <c r="K7" s="845"/>
      <c r="L7" s="845"/>
      <c r="M7" s="845"/>
      <c r="N7" s="845"/>
      <c r="O7" s="845"/>
      <c r="P7" s="845"/>
      <c r="Q7" s="291" t="e">
        <f aca="false">+D7*12</f>
        <v>#REF!</v>
      </c>
      <c r="R7" s="846" t="e">
        <f aca="false">+Q7-SUM(E7:P7)</f>
        <v>#REF!</v>
      </c>
      <c r="S7" s="847" t="n">
        <f aca="false">+Insumos_Cotação!O14</f>
        <v>0</v>
      </c>
      <c r="T7" s="847" t="n">
        <f aca="false">+E7*$S7</f>
        <v>0</v>
      </c>
      <c r="U7" s="847" t="n">
        <f aca="false">+F7*$S7</f>
        <v>0</v>
      </c>
      <c r="V7" s="847" t="n">
        <f aca="false">+G7*$S7</f>
        <v>0</v>
      </c>
      <c r="W7" s="847" t="n">
        <f aca="false">+H7*$S7</f>
        <v>0</v>
      </c>
      <c r="X7" s="847" t="n">
        <f aca="false">+I7*$S7</f>
        <v>0</v>
      </c>
      <c r="Y7" s="847" t="n">
        <f aca="false">+J7*$S7</f>
        <v>0</v>
      </c>
      <c r="Z7" s="847" t="n">
        <f aca="false">+K7*$S7</f>
        <v>0</v>
      </c>
      <c r="AA7" s="847" t="n">
        <f aca="false">+L7*$S7</f>
        <v>0</v>
      </c>
      <c r="AB7" s="847" t="n">
        <f aca="false">+M7*$S7</f>
        <v>0</v>
      </c>
      <c r="AC7" s="847" t="n">
        <f aca="false">+N7*$S7</f>
        <v>0</v>
      </c>
      <c r="AD7" s="847" t="n">
        <f aca="false">+O7*$S7</f>
        <v>0</v>
      </c>
      <c r="AE7" s="848" t="n">
        <f aca="false">+P7*$S7</f>
        <v>0</v>
      </c>
    </row>
    <row r="8" customFormat="false" ht="11.25" hidden="false" customHeight="false" outlineLevel="0" collapsed="false">
      <c r="A8" s="835"/>
      <c r="B8" s="843" t="e">
        <f aca="false">+#REF!</f>
        <v>#REF!</v>
      </c>
      <c r="C8" s="844" t="e">
        <f aca="false">+#REF!</f>
        <v>#REF!</v>
      </c>
      <c r="D8" s="291" t="e">
        <f aca="false">+#REF!</f>
        <v>#REF!</v>
      </c>
      <c r="E8" s="845"/>
      <c r="F8" s="845"/>
      <c r="G8" s="845"/>
      <c r="H8" s="845"/>
      <c r="I8" s="845"/>
      <c r="J8" s="845"/>
      <c r="K8" s="845"/>
      <c r="L8" s="845"/>
      <c r="M8" s="845"/>
      <c r="N8" s="845"/>
      <c r="O8" s="845"/>
      <c r="P8" s="845"/>
      <c r="Q8" s="291" t="e">
        <f aca="false">+D8*12</f>
        <v>#REF!</v>
      </c>
      <c r="R8" s="846" t="e">
        <f aca="false">+Q8-SUM(E8:P8)</f>
        <v>#REF!</v>
      </c>
      <c r="S8" s="847" t="n">
        <f aca="false">+Insumos_Cotação!O15</f>
        <v>0</v>
      </c>
      <c r="T8" s="847" t="n">
        <f aca="false">+E8*$S8</f>
        <v>0</v>
      </c>
      <c r="U8" s="847" t="n">
        <f aca="false">+F8*$S8</f>
        <v>0</v>
      </c>
      <c r="V8" s="847" t="n">
        <f aca="false">+G8*$S8</f>
        <v>0</v>
      </c>
      <c r="W8" s="847" t="n">
        <f aca="false">+H8*$S8</f>
        <v>0</v>
      </c>
      <c r="X8" s="847" t="n">
        <f aca="false">+I8*$S8</f>
        <v>0</v>
      </c>
      <c r="Y8" s="847" t="n">
        <f aca="false">+J8*$S8</f>
        <v>0</v>
      </c>
      <c r="Z8" s="847" t="n">
        <f aca="false">+K8*$S8</f>
        <v>0</v>
      </c>
      <c r="AA8" s="847" t="n">
        <f aca="false">+L8*$S8</f>
        <v>0</v>
      </c>
      <c r="AB8" s="847" t="n">
        <f aca="false">+M8*$S8</f>
        <v>0</v>
      </c>
      <c r="AC8" s="847" t="n">
        <f aca="false">+N8*$S8</f>
        <v>0</v>
      </c>
      <c r="AD8" s="847" t="n">
        <f aca="false">+O8*$S8</f>
        <v>0</v>
      </c>
      <c r="AE8" s="848" t="n">
        <f aca="false">+P8*$S8</f>
        <v>0</v>
      </c>
    </row>
    <row r="9" customFormat="false" ht="11.25" hidden="false" customHeight="false" outlineLevel="0" collapsed="false">
      <c r="A9" s="835"/>
      <c r="B9" s="843" t="e">
        <f aca="false">+#REF!</f>
        <v>#REF!</v>
      </c>
      <c r="C9" s="844" t="e">
        <f aca="false">+#REF!</f>
        <v>#REF!</v>
      </c>
      <c r="D9" s="291" t="e">
        <f aca="false">+#REF!</f>
        <v>#REF!</v>
      </c>
      <c r="E9" s="845"/>
      <c r="F9" s="845"/>
      <c r="G9" s="845"/>
      <c r="H9" s="845"/>
      <c r="I9" s="845"/>
      <c r="J9" s="845"/>
      <c r="K9" s="845"/>
      <c r="L9" s="845"/>
      <c r="M9" s="845"/>
      <c r="N9" s="845"/>
      <c r="O9" s="845"/>
      <c r="P9" s="845"/>
      <c r="Q9" s="291" t="e">
        <f aca="false">+D9*12</f>
        <v>#REF!</v>
      </c>
      <c r="R9" s="846" t="e">
        <f aca="false">+Q9-SUM(E9:P9)</f>
        <v>#REF!</v>
      </c>
      <c r="S9" s="847" t="n">
        <f aca="false">+Insumos_Cotação!O16</f>
        <v>0</v>
      </c>
      <c r="T9" s="847" t="n">
        <f aca="false">+E9*$S9</f>
        <v>0</v>
      </c>
      <c r="U9" s="847" t="n">
        <f aca="false">+F9*$S9</f>
        <v>0</v>
      </c>
      <c r="V9" s="847" t="n">
        <f aca="false">+G9*$S9</f>
        <v>0</v>
      </c>
      <c r="W9" s="847" t="n">
        <f aca="false">+H9*$S9</f>
        <v>0</v>
      </c>
      <c r="X9" s="847" t="n">
        <f aca="false">+I9*$S9</f>
        <v>0</v>
      </c>
      <c r="Y9" s="847" t="n">
        <f aca="false">+J9*$S9</f>
        <v>0</v>
      </c>
      <c r="Z9" s="847" t="n">
        <f aca="false">+K9*$S9</f>
        <v>0</v>
      </c>
      <c r="AA9" s="847" t="n">
        <f aca="false">+L9*$S9</f>
        <v>0</v>
      </c>
      <c r="AB9" s="847" t="n">
        <f aca="false">+M9*$S9</f>
        <v>0</v>
      </c>
      <c r="AC9" s="847" t="n">
        <f aca="false">+N9*$S9</f>
        <v>0</v>
      </c>
      <c r="AD9" s="847" t="n">
        <f aca="false">+O9*$S9</f>
        <v>0</v>
      </c>
      <c r="AE9" s="848" t="n">
        <f aca="false">+P9*$S9</f>
        <v>0</v>
      </c>
    </row>
    <row r="10" customFormat="false" ht="11.25" hidden="false" customHeight="false" outlineLevel="0" collapsed="false">
      <c r="A10" s="835"/>
      <c r="B10" s="843" t="e">
        <f aca="false">+#REF!</f>
        <v>#REF!</v>
      </c>
      <c r="C10" s="844" t="e">
        <f aca="false">+#REF!</f>
        <v>#REF!</v>
      </c>
      <c r="D10" s="291" t="e">
        <f aca="false">+#REF!</f>
        <v>#REF!</v>
      </c>
      <c r="E10" s="845"/>
      <c r="F10" s="845"/>
      <c r="G10" s="845"/>
      <c r="H10" s="845"/>
      <c r="I10" s="845"/>
      <c r="J10" s="845"/>
      <c r="K10" s="845"/>
      <c r="L10" s="845"/>
      <c r="M10" s="845"/>
      <c r="N10" s="845"/>
      <c r="O10" s="845"/>
      <c r="P10" s="845"/>
      <c r="Q10" s="291" t="e">
        <f aca="false">+D10*12</f>
        <v>#REF!</v>
      </c>
      <c r="R10" s="846" t="e">
        <f aca="false">+Q10-SUM(E10:P10)</f>
        <v>#REF!</v>
      </c>
      <c r="S10" s="847" t="n">
        <f aca="false">+Insumos_Cotação!O17</f>
        <v>0</v>
      </c>
      <c r="T10" s="847" t="n">
        <f aca="false">+E10*$S10</f>
        <v>0</v>
      </c>
      <c r="U10" s="847" t="n">
        <f aca="false">+F10*$S10</f>
        <v>0</v>
      </c>
      <c r="V10" s="847" t="n">
        <f aca="false">+G10*$S10</f>
        <v>0</v>
      </c>
      <c r="W10" s="847" t="n">
        <f aca="false">+H10*$S10</f>
        <v>0</v>
      </c>
      <c r="X10" s="847" t="n">
        <f aca="false">+I10*$S10</f>
        <v>0</v>
      </c>
      <c r="Y10" s="847" t="n">
        <f aca="false">+J10*$S10</f>
        <v>0</v>
      </c>
      <c r="Z10" s="847" t="n">
        <f aca="false">+K10*$S10</f>
        <v>0</v>
      </c>
      <c r="AA10" s="847" t="n">
        <f aca="false">+L10*$S10</f>
        <v>0</v>
      </c>
      <c r="AB10" s="847" t="n">
        <f aca="false">+M10*$S10</f>
        <v>0</v>
      </c>
      <c r="AC10" s="847" t="n">
        <f aca="false">+N10*$S10</f>
        <v>0</v>
      </c>
      <c r="AD10" s="847" t="n">
        <f aca="false">+O10*$S10</f>
        <v>0</v>
      </c>
      <c r="AE10" s="848" t="n">
        <f aca="false">+P10*$S10</f>
        <v>0</v>
      </c>
    </row>
    <row r="11" customFormat="false" ht="11.25" hidden="false" customHeight="false" outlineLevel="0" collapsed="false">
      <c r="A11" s="835"/>
      <c r="B11" s="843" t="e">
        <f aca="false">+#REF!</f>
        <v>#REF!</v>
      </c>
      <c r="C11" s="844" t="e">
        <f aca="false">+#REF!</f>
        <v>#REF!</v>
      </c>
      <c r="D11" s="291" t="e">
        <f aca="false">+#REF!</f>
        <v>#REF!</v>
      </c>
      <c r="E11" s="845"/>
      <c r="F11" s="845"/>
      <c r="G11" s="845"/>
      <c r="H11" s="845"/>
      <c r="I11" s="845"/>
      <c r="J11" s="845"/>
      <c r="K11" s="845"/>
      <c r="L11" s="845"/>
      <c r="M11" s="845"/>
      <c r="N11" s="845"/>
      <c r="O11" s="845"/>
      <c r="P11" s="845"/>
      <c r="Q11" s="291" t="e">
        <f aca="false">+D11*12</f>
        <v>#REF!</v>
      </c>
      <c r="R11" s="846" t="e">
        <f aca="false">+Q11-SUM(E11:P11)</f>
        <v>#REF!</v>
      </c>
      <c r="S11" s="847" t="n">
        <f aca="false">+Insumos_Cotação!O18</f>
        <v>0</v>
      </c>
      <c r="T11" s="847" t="n">
        <f aca="false">+E11*$S11</f>
        <v>0</v>
      </c>
      <c r="U11" s="847" t="n">
        <f aca="false">+F11*$S11</f>
        <v>0</v>
      </c>
      <c r="V11" s="847" t="n">
        <f aca="false">+G11*$S11</f>
        <v>0</v>
      </c>
      <c r="W11" s="847" t="n">
        <f aca="false">+H11*$S11</f>
        <v>0</v>
      </c>
      <c r="X11" s="847" t="n">
        <f aca="false">+I11*$S11</f>
        <v>0</v>
      </c>
      <c r="Y11" s="847" t="n">
        <f aca="false">+J11*$S11</f>
        <v>0</v>
      </c>
      <c r="Z11" s="847" t="n">
        <f aca="false">+K11*$S11</f>
        <v>0</v>
      </c>
      <c r="AA11" s="847" t="n">
        <f aca="false">+L11*$S11</f>
        <v>0</v>
      </c>
      <c r="AB11" s="847" t="n">
        <f aca="false">+M11*$S11</f>
        <v>0</v>
      </c>
      <c r="AC11" s="847" t="n">
        <f aca="false">+N11*$S11</f>
        <v>0</v>
      </c>
      <c r="AD11" s="847" t="n">
        <f aca="false">+O11*$S11</f>
        <v>0</v>
      </c>
      <c r="AE11" s="848" t="n">
        <f aca="false">+P11*$S11</f>
        <v>0</v>
      </c>
    </row>
    <row r="12" customFormat="false" ht="11.25" hidden="false" customHeight="false" outlineLevel="0" collapsed="false">
      <c r="A12" s="835"/>
      <c r="B12" s="843" t="e">
        <f aca="false">+#REF!</f>
        <v>#REF!</v>
      </c>
      <c r="C12" s="844" t="e">
        <f aca="false">+#REF!</f>
        <v>#REF!</v>
      </c>
      <c r="D12" s="291" t="e">
        <f aca="false">+#REF!</f>
        <v>#REF!</v>
      </c>
      <c r="E12" s="845"/>
      <c r="F12" s="845"/>
      <c r="G12" s="845"/>
      <c r="H12" s="845"/>
      <c r="I12" s="845"/>
      <c r="J12" s="845"/>
      <c r="K12" s="845"/>
      <c r="L12" s="845"/>
      <c r="M12" s="845"/>
      <c r="N12" s="845"/>
      <c r="O12" s="845"/>
      <c r="P12" s="845"/>
      <c r="Q12" s="291" t="e">
        <f aca="false">+D12*12</f>
        <v>#REF!</v>
      </c>
      <c r="R12" s="846" t="e">
        <f aca="false">+Q12-SUM(E12:P12)</f>
        <v>#REF!</v>
      </c>
      <c r="S12" s="847" t="n">
        <f aca="false">+Insumos_Cotação!O19</f>
        <v>0</v>
      </c>
      <c r="T12" s="847" t="n">
        <f aca="false">+E12*$S12</f>
        <v>0</v>
      </c>
      <c r="U12" s="847" t="n">
        <f aca="false">+F12*$S12</f>
        <v>0</v>
      </c>
      <c r="V12" s="847" t="n">
        <f aca="false">+G12*$S12</f>
        <v>0</v>
      </c>
      <c r="W12" s="847" t="n">
        <f aca="false">+H12*$S12</f>
        <v>0</v>
      </c>
      <c r="X12" s="847" t="n">
        <f aca="false">+I12*$S12</f>
        <v>0</v>
      </c>
      <c r="Y12" s="847" t="n">
        <f aca="false">+J12*$S12</f>
        <v>0</v>
      </c>
      <c r="Z12" s="847" t="n">
        <f aca="false">+K12*$S12</f>
        <v>0</v>
      </c>
      <c r="AA12" s="847" t="n">
        <f aca="false">+L12*$S12</f>
        <v>0</v>
      </c>
      <c r="AB12" s="847" t="n">
        <f aca="false">+M12*$S12</f>
        <v>0</v>
      </c>
      <c r="AC12" s="847" t="n">
        <f aca="false">+N12*$S12</f>
        <v>0</v>
      </c>
      <c r="AD12" s="847" t="n">
        <f aca="false">+O12*$S12</f>
        <v>0</v>
      </c>
      <c r="AE12" s="848" t="n">
        <f aca="false">+P12*$S12</f>
        <v>0</v>
      </c>
    </row>
    <row r="13" customFormat="false" ht="11.25" hidden="false" customHeight="false" outlineLevel="0" collapsed="false">
      <c r="A13" s="835"/>
      <c r="B13" s="843" t="e">
        <f aca="false">+#REF!</f>
        <v>#REF!</v>
      </c>
      <c r="C13" s="844" t="e">
        <f aca="false">+#REF!</f>
        <v>#REF!</v>
      </c>
      <c r="D13" s="291" t="e">
        <f aca="false">+#REF!</f>
        <v>#REF!</v>
      </c>
      <c r="E13" s="845"/>
      <c r="F13" s="845"/>
      <c r="G13" s="845"/>
      <c r="H13" s="845"/>
      <c r="I13" s="845"/>
      <c r="J13" s="845"/>
      <c r="K13" s="845"/>
      <c r="L13" s="845"/>
      <c r="M13" s="845"/>
      <c r="N13" s="845"/>
      <c r="O13" s="845"/>
      <c r="P13" s="845"/>
      <c r="Q13" s="291" t="e">
        <f aca="false">+D13*12</f>
        <v>#REF!</v>
      </c>
      <c r="R13" s="846" t="e">
        <f aca="false">+Q13-SUM(E13:P13)</f>
        <v>#REF!</v>
      </c>
      <c r="S13" s="847" t="n">
        <f aca="false">+Insumos_Cotação!O20</f>
        <v>0</v>
      </c>
      <c r="T13" s="847" t="n">
        <f aca="false">+E13*$S13</f>
        <v>0</v>
      </c>
      <c r="U13" s="847" t="n">
        <f aca="false">+F13*$S13</f>
        <v>0</v>
      </c>
      <c r="V13" s="847" t="n">
        <f aca="false">+G13*$S13</f>
        <v>0</v>
      </c>
      <c r="W13" s="847" t="n">
        <f aca="false">+H13*$S13</f>
        <v>0</v>
      </c>
      <c r="X13" s="847" t="n">
        <f aca="false">+I13*$S13</f>
        <v>0</v>
      </c>
      <c r="Y13" s="847" t="n">
        <f aca="false">+J13*$S13</f>
        <v>0</v>
      </c>
      <c r="Z13" s="847" t="n">
        <f aca="false">+K13*$S13</f>
        <v>0</v>
      </c>
      <c r="AA13" s="847" t="n">
        <f aca="false">+L13*$S13</f>
        <v>0</v>
      </c>
      <c r="AB13" s="847" t="n">
        <f aca="false">+M13*$S13</f>
        <v>0</v>
      </c>
      <c r="AC13" s="847" t="n">
        <f aca="false">+N13*$S13</f>
        <v>0</v>
      </c>
      <c r="AD13" s="847" t="n">
        <f aca="false">+O13*$S13</f>
        <v>0</v>
      </c>
      <c r="AE13" s="848" t="n">
        <f aca="false">+P13*$S13</f>
        <v>0</v>
      </c>
    </row>
    <row r="14" customFormat="false" ht="11.25" hidden="false" customHeight="false" outlineLevel="0" collapsed="false">
      <c r="A14" s="835"/>
      <c r="B14" s="843" t="e">
        <f aca="false">+#REF!</f>
        <v>#REF!</v>
      </c>
      <c r="C14" s="844" t="e">
        <f aca="false">+#REF!</f>
        <v>#REF!</v>
      </c>
      <c r="D14" s="291" t="e">
        <f aca="false">+#REF!</f>
        <v>#REF!</v>
      </c>
      <c r="E14" s="845"/>
      <c r="F14" s="845"/>
      <c r="G14" s="845"/>
      <c r="H14" s="845"/>
      <c r="I14" s="845"/>
      <c r="J14" s="845"/>
      <c r="K14" s="845"/>
      <c r="L14" s="845"/>
      <c r="M14" s="845"/>
      <c r="N14" s="845"/>
      <c r="O14" s="845"/>
      <c r="P14" s="845"/>
      <c r="Q14" s="291" t="e">
        <f aca="false">+D14*12</f>
        <v>#REF!</v>
      </c>
      <c r="R14" s="846" t="e">
        <f aca="false">+Q14-SUM(E14:P14)</f>
        <v>#REF!</v>
      </c>
      <c r="S14" s="847" t="n">
        <f aca="false">+Insumos_Cotação!O21</f>
        <v>0</v>
      </c>
      <c r="T14" s="847" t="n">
        <f aca="false">+E14*$S14</f>
        <v>0</v>
      </c>
      <c r="U14" s="847" t="n">
        <f aca="false">+F14*$S14</f>
        <v>0</v>
      </c>
      <c r="V14" s="847" t="n">
        <f aca="false">+G14*$S14</f>
        <v>0</v>
      </c>
      <c r="W14" s="847" t="n">
        <f aca="false">+H14*$S14</f>
        <v>0</v>
      </c>
      <c r="X14" s="847" t="n">
        <f aca="false">+I14*$S14</f>
        <v>0</v>
      </c>
      <c r="Y14" s="847" t="n">
        <f aca="false">+J14*$S14</f>
        <v>0</v>
      </c>
      <c r="Z14" s="847" t="n">
        <f aca="false">+K14*$S14</f>
        <v>0</v>
      </c>
      <c r="AA14" s="847" t="n">
        <f aca="false">+L14*$S14</f>
        <v>0</v>
      </c>
      <c r="AB14" s="847" t="n">
        <f aca="false">+M14*$S14</f>
        <v>0</v>
      </c>
      <c r="AC14" s="847" t="n">
        <f aca="false">+N14*$S14</f>
        <v>0</v>
      </c>
      <c r="AD14" s="847" t="n">
        <f aca="false">+O14*$S14</f>
        <v>0</v>
      </c>
      <c r="AE14" s="848" t="n">
        <f aca="false">+P14*$S14</f>
        <v>0</v>
      </c>
    </row>
    <row r="15" customFormat="false" ht="11.25" hidden="false" customHeight="false" outlineLevel="0" collapsed="false">
      <c r="A15" s="835"/>
      <c r="B15" s="843" t="e">
        <f aca="false">+#REF!</f>
        <v>#REF!</v>
      </c>
      <c r="C15" s="844" t="e">
        <f aca="false">+#REF!</f>
        <v>#REF!</v>
      </c>
      <c r="D15" s="291" t="e">
        <f aca="false">+#REF!</f>
        <v>#REF!</v>
      </c>
      <c r="E15" s="845"/>
      <c r="F15" s="845"/>
      <c r="G15" s="845"/>
      <c r="H15" s="845"/>
      <c r="I15" s="845"/>
      <c r="J15" s="845"/>
      <c r="K15" s="845"/>
      <c r="L15" s="845"/>
      <c r="M15" s="845"/>
      <c r="N15" s="845"/>
      <c r="O15" s="845"/>
      <c r="P15" s="845"/>
      <c r="Q15" s="291" t="e">
        <f aca="false">+D15*12</f>
        <v>#REF!</v>
      </c>
      <c r="R15" s="846" t="e">
        <f aca="false">+Q15-SUM(E15:P15)</f>
        <v>#REF!</v>
      </c>
      <c r="S15" s="847" t="n">
        <f aca="false">+Insumos_Cotação!O22</f>
        <v>0</v>
      </c>
      <c r="T15" s="847" t="n">
        <f aca="false">+E15*$S15</f>
        <v>0</v>
      </c>
      <c r="U15" s="847" t="n">
        <f aca="false">+F15*$S15</f>
        <v>0</v>
      </c>
      <c r="V15" s="847" t="n">
        <f aca="false">+G15*$S15</f>
        <v>0</v>
      </c>
      <c r="W15" s="847" t="n">
        <f aca="false">+H15*$S15</f>
        <v>0</v>
      </c>
      <c r="X15" s="847" t="n">
        <f aca="false">+I15*$S15</f>
        <v>0</v>
      </c>
      <c r="Y15" s="847" t="n">
        <f aca="false">+J15*$S15</f>
        <v>0</v>
      </c>
      <c r="Z15" s="847" t="n">
        <f aca="false">+K15*$S15</f>
        <v>0</v>
      </c>
      <c r="AA15" s="847" t="n">
        <f aca="false">+L15*$S15</f>
        <v>0</v>
      </c>
      <c r="AB15" s="847" t="n">
        <f aca="false">+M15*$S15</f>
        <v>0</v>
      </c>
      <c r="AC15" s="847" t="n">
        <f aca="false">+N15*$S15</f>
        <v>0</v>
      </c>
      <c r="AD15" s="847" t="n">
        <f aca="false">+O15*$S15</f>
        <v>0</v>
      </c>
      <c r="AE15" s="848" t="n">
        <f aca="false">+P15*$S15</f>
        <v>0</v>
      </c>
    </row>
    <row r="16" customFormat="false" ht="11.25" hidden="false" customHeight="false" outlineLevel="0" collapsed="false">
      <c r="A16" s="835"/>
      <c r="B16" s="843" t="e">
        <f aca="false">+#REF!</f>
        <v>#REF!</v>
      </c>
      <c r="C16" s="844" t="e">
        <f aca="false">+#REF!</f>
        <v>#REF!</v>
      </c>
      <c r="D16" s="291" t="e">
        <f aca="false">+#REF!</f>
        <v>#REF!</v>
      </c>
      <c r="E16" s="845"/>
      <c r="F16" s="845"/>
      <c r="G16" s="845"/>
      <c r="H16" s="845"/>
      <c r="I16" s="845"/>
      <c r="J16" s="845"/>
      <c r="K16" s="845"/>
      <c r="L16" s="845"/>
      <c r="M16" s="845"/>
      <c r="N16" s="845"/>
      <c r="O16" s="845"/>
      <c r="P16" s="845"/>
      <c r="Q16" s="291" t="e">
        <f aca="false">+D16*12</f>
        <v>#REF!</v>
      </c>
      <c r="R16" s="846" t="e">
        <f aca="false">+Q16-SUM(E16:P16)</f>
        <v>#REF!</v>
      </c>
      <c r="S16" s="847" t="n">
        <f aca="false">+Insumos_Cotação!O23</f>
        <v>0</v>
      </c>
      <c r="T16" s="847" t="n">
        <f aca="false">+E16*$S16</f>
        <v>0</v>
      </c>
      <c r="U16" s="847" t="n">
        <f aca="false">+F16*$S16</f>
        <v>0</v>
      </c>
      <c r="V16" s="847" t="n">
        <f aca="false">+G16*$S16</f>
        <v>0</v>
      </c>
      <c r="W16" s="847" t="n">
        <f aca="false">+H16*$S16</f>
        <v>0</v>
      </c>
      <c r="X16" s="847" t="n">
        <f aca="false">+I16*$S16</f>
        <v>0</v>
      </c>
      <c r="Y16" s="847" t="n">
        <f aca="false">+J16*$S16</f>
        <v>0</v>
      </c>
      <c r="Z16" s="847" t="n">
        <f aca="false">+K16*$S16</f>
        <v>0</v>
      </c>
      <c r="AA16" s="847" t="n">
        <f aca="false">+L16*$S16</f>
        <v>0</v>
      </c>
      <c r="AB16" s="847" t="n">
        <f aca="false">+M16*$S16</f>
        <v>0</v>
      </c>
      <c r="AC16" s="847" t="n">
        <f aca="false">+N16*$S16</f>
        <v>0</v>
      </c>
      <c r="AD16" s="847" t="n">
        <f aca="false">+O16*$S16</f>
        <v>0</v>
      </c>
      <c r="AE16" s="848" t="n">
        <f aca="false">+P16*$S16</f>
        <v>0</v>
      </c>
    </row>
    <row r="17" customFormat="false" ht="11.25" hidden="false" customHeight="false" outlineLevel="0" collapsed="false">
      <c r="A17" s="835"/>
      <c r="B17" s="843" t="e">
        <f aca="false">+#REF!</f>
        <v>#REF!</v>
      </c>
      <c r="C17" s="844" t="e">
        <f aca="false">+#REF!</f>
        <v>#REF!</v>
      </c>
      <c r="D17" s="291" t="e">
        <f aca="false">+#REF!</f>
        <v>#REF!</v>
      </c>
      <c r="E17" s="845"/>
      <c r="F17" s="845"/>
      <c r="G17" s="845"/>
      <c r="H17" s="845"/>
      <c r="I17" s="845"/>
      <c r="J17" s="845"/>
      <c r="K17" s="845"/>
      <c r="L17" s="845"/>
      <c r="M17" s="845"/>
      <c r="N17" s="845"/>
      <c r="O17" s="845"/>
      <c r="P17" s="845"/>
      <c r="Q17" s="291" t="e">
        <f aca="false">+D17*12</f>
        <v>#REF!</v>
      </c>
      <c r="R17" s="846" t="e">
        <f aca="false">+Q17-SUM(E17:P17)</f>
        <v>#REF!</v>
      </c>
      <c r="S17" s="847" t="n">
        <f aca="false">+Insumos_Cotação!O24</f>
        <v>0</v>
      </c>
      <c r="T17" s="847" t="n">
        <f aca="false">+E17*$S17</f>
        <v>0</v>
      </c>
      <c r="U17" s="847" t="n">
        <f aca="false">+F17*$S17</f>
        <v>0</v>
      </c>
      <c r="V17" s="847" t="n">
        <f aca="false">+G17*$S17</f>
        <v>0</v>
      </c>
      <c r="W17" s="847" t="n">
        <f aca="false">+H17*$S17</f>
        <v>0</v>
      </c>
      <c r="X17" s="847" t="n">
        <f aca="false">+I17*$S17</f>
        <v>0</v>
      </c>
      <c r="Y17" s="847" t="n">
        <f aca="false">+J17*$S17</f>
        <v>0</v>
      </c>
      <c r="Z17" s="847" t="n">
        <f aca="false">+K17*$S17</f>
        <v>0</v>
      </c>
      <c r="AA17" s="847" t="n">
        <f aca="false">+L17*$S17</f>
        <v>0</v>
      </c>
      <c r="AB17" s="847" t="n">
        <f aca="false">+M17*$S17</f>
        <v>0</v>
      </c>
      <c r="AC17" s="847" t="n">
        <f aca="false">+N17*$S17</f>
        <v>0</v>
      </c>
      <c r="AD17" s="847" t="n">
        <f aca="false">+O17*$S17</f>
        <v>0</v>
      </c>
      <c r="AE17" s="848" t="n">
        <f aca="false">+P17*$S17</f>
        <v>0</v>
      </c>
    </row>
    <row r="18" customFormat="false" ht="11.25" hidden="false" customHeight="false" outlineLevel="0" collapsed="false">
      <c r="A18" s="835"/>
      <c r="B18" s="843" t="e">
        <f aca="false">+#REF!</f>
        <v>#REF!</v>
      </c>
      <c r="C18" s="844" t="e">
        <f aca="false">+#REF!</f>
        <v>#REF!</v>
      </c>
      <c r="D18" s="291" t="e">
        <f aca="false">+#REF!</f>
        <v>#REF!</v>
      </c>
      <c r="E18" s="845"/>
      <c r="F18" s="845"/>
      <c r="G18" s="845"/>
      <c r="H18" s="845"/>
      <c r="I18" s="845"/>
      <c r="J18" s="845"/>
      <c r="K18" s="845"/>
      <c r="L18" s="845"/>
      <c r="M18" s="845"/>
      <c r="N18" s="845"/>
      <c r="O18" s="845"/>
      <c r="P18" s="845"/>
      <c r="Q18" s="291" t="e">
        <f aca="false">+D18*12</f>
        <v>#REF!</v>
      </c>
      <c r="R18" s="846" t="e">
        <f aca="false">+Q18-SUM(E18:P18)</f>
        <v>#REF!</v>
      </c>
      <c r="S18" s="847" t="n">
        <f aca="false">+Insumos_Cotação!O25</f>
        <v>0</v>
      </c>
      <c r="T18" s="847" t="n">
        <f aca="false">+E18*$S18</f>
        <v>0</v>
      </c>
      <c r="U18" s="847" t="n">
        <f aca="false">+F18*$S18</f>
        <v>0</v>
      </c>
      <c r="V18" s="847" t="n">
        <f aca="false">+G18*$S18</f>
        <v>0</v>
      </c>
      <c r="W18" s="847" t="n">
        <f aca="false">+H18*$S18</f>
        <v>0</v>
      </c>
      <c r="X18" s="847" t="n">
        <f aca="false">+I18*$S18</f>
        <v>0</v>
      </c>
      <c r="Y18" s="847" t="n">
        <f aca="false">+J18*$S18</f>
        <v>0</v>
      </c>
      <c r="Z18" s="847" t="n">
        <f aca="false">+K18*$S18</f>
        <v>0</v>
      </c>
      <c r="AA18" s="847" t="n">
        <f aca="false">+L18*$S18</f>
        <v>0</v>
      </c>
      <c r="AB18" s="847" t="n">
        <f aca="false">+M18*$S18</f>
        <v>0</v>
      </c>
      <c r="AC18" s="847" t="n">
        <f aca="false">+N18*$S18</f>
        <v>0</v>
      </c>
      <c r="AD18" s="847" t="n">
        <f aca="false">+O18*$S18</f>
        <v>0</v>
      </c>
      <c r="AE18" s="848" t="n">
        <f aca="false">+P18*$S18</f>
        <v>0</v>
      </c>
    </row>
    <row r="19" customFormat="false" ht="11.25" hidden="false" customHeight="false" outlineLevel="0" collapsed="false">
      <c r="A19" s="835"/>
      <c r="B19" s="843" t="e">
        <f aca="false">+#REF!</f>
        <v>#REF!</v>
      </c>
      <c r="C19" s="844" t="e">
        <f aca="false">+#REF!</f>
        <v>#REF!</v>
      </c>
      <c r="D19" s="291" t="e">
        <f aca="false">+#REF!</f>
        <v>#REF!</v>
      </c>
      <c r="E19" s="845"/>
      <c r="F19" s="845"/>
      <c r="G19" s="845"/>
      <c r="H19" s="845"/>
      <c r="I19" s="845"/>
      <c r="J19" s="845"/>
      <c r="K19" s="845"/>
      <c r="L19" s="845"/>
      <c r="M19" s="845"/>
      <c r="N19" s="845"/>
      <c r="O19" s="845"/>
      <c r="P19" s="845"/>
      <c r="Q19" s="291" t="e">
        <f aca="false">+D19*12</f>
        <v>#REF!</v>
      </c>
      <c r="R19" s="846" t="e">
        <f aca="false">+Q19-SUM(E19:P19)</f>
        <v>#REF!</v>
      </c>
      <c r="S19" s="847" t="n">
        <f aca="false">+Insumos_Cotação!O26</f>
        <v>0</v>
      </c>
      <c r="T19" s="847" t="n">
        <f aca="false">+E19*$S19</f>
        <v>0</v>
      </c>
      <c r="U19" s="847" t="n">
        <f aca="false">+F19*$S19</f>
        <v>0</v>
      </c>
      <c r="V19" s="847" t="n">
        <f aca="false">+G19*$S19</f>
        <v>0</v>
      </c>
      <c r="W19" s="847" t="n">
        <f aca="false">+H19*$S19</f>
        <v>0</v>
      </c>
      <c r="X19" s="847" t="n">
        <f aca="false">+I19*$S19</f>
        <v>0</v>
      </c>
      <c r="Y19" s="847" t="n">
        <f aca="false">+J19*$S19</f>
        <v>0</v>
      </c>
      <c r="Z19" s="847" t="n">
        <f aca="false">+K19*$S19</f>
        <v>0</v>
      </c>
      <c r="AA19" s="847" t="n">
        <f aca="false">+L19*$S19</f>
        <v>0</v>
      </c>
      <c r="AB19" s="847" t="n">
        <f aca="false">+M19*$S19</f>
        <v>0</v>
      </c>
      <c r="AC19" s="847" t="n">
        <f aca="false">+N19*$S19</f>
        <v>0</v>
      </c>
      <c r="AD19" s="847" t="n">
        <f aca="false">+O19*$S19</f>
        <v>0</v>
      </c>
      <c r="AE19" s="848" t="n">
        <f aca="false">+P19*$S19</f>
        <v>0</v>
      </c>
    </row>
    <row r="20" customFormat="false" ht="11.25" hidden="false" customHeight="false" outlineLevel="0" collapsed="false">
      <c r="A20" s="835"/>
      <c r="B20" s="843" t="e">
        <f aca="false">+#REF!</f>
        <v>#REF!</v>
      </c>
      <c r="C20" s="844" t="e">
        <f aca="false">+#REF!</f>
        <v>#REF!</v>
      </c>
      <c r="D20" s="291" t="e">
        <f aca="false">+#REF!</f>
        <v>#REF!</v>
      </c>
      <c r="E20" s="845"/>
      <c r="F20" s="845"/>
      <c r="G20" s="845"/>
      <c r="H20" s="845"/>
      <c r="I20" s="845"/>
      <c r="J20" s="845"/>
      <c r="K20" s="845"/>
      <c r="L20" s="845"/>
      <c r="M20" s="845"/>
      <c r="N20" s="845"/>
      <c r="O20" s="845"/>
      <c r="P20" s="845"/>
      <c r="Q20" s="291" t="e">
        <f aca="false">+D20*12</f>
        <v>#REF!</v>
      </c>
      <c r="R20" s="846" t="e">
        <f aca="false">+Q20-SUM(E20:P20)</f>
        <v>#REF!</v>
      </c>
      <c r="S20" s="847" t="n">
        <f aca="false">+Insumos_Cotação!O27</f>
        <v>0</v>
      </c>
      <c r="T20" s="847" t="n">
        <f aca="false">+E20*$S20</f>
        <v>0</v>
      </c>
      <c r="U20" s="847" t="n">
        <f aca="false">+F20*$S20</f>
        <v>0</v>
      </c>
      <c r="V20" s="847" t="n">
        <f aca="false">+G20*$S20</f>
        <v>0</v>
      </c>
      <c r="W20" s="847" t="n">
        <f aca="false">+H20*$S20</f>
        <v>0</v>
      </c>
      <c r="X20" s="847" t="n">
        <f aca="false">+I20*$S20</f>
        <v>0</v>
      </c>
      <c r="Y20" s="847" t="n">
        <f aca="false">+J20*$S20</f>
        <v>0</v>
      </c>
      <c r="Z20" s="847" t="n">
        <f aca="false">+K20*$S20</f>
        <v>0</v>
      </c>
      <c r="AA20" s="847" t="n">
        <f aca="false">+L20*$S20</f>
        <v>0</v>
      </c>
      <c r="AB20" s="847" t="n">
        <f aca="false">+M20*$S20</f>
        <v>0</v>
      </c>
      <c r="AC20" s="847" t="n">
        <f aca="false">+N20*$S20</f>
        <v>0</v>
      </c>
      <c r="AD20" s="847" t="n">
        <f aca="false">+O20*$S20</f>
        <v>0</v>
      </c>
      <c r="AE20" s="848" t="n">
        <f aca="false">+P20*$S20</f>
        <v>0</v>
      </c>
    </row>
    <row r="21" customFormat="false" ht="11.25" hidden="false" customHeight="false" outlineLevel="0" collapsed="false">
      <c r="A21" s="835"/>
      <c r="B21" s="843" t="e">
        <f aca="false">+#REF!</f>
        <v>#REF!</v>
      </c>
      <c r="C21" s="844" t="e">
        <f aca="false">+#REF!</f>
        <v>#REF!</v>
      </c>
      <c r="D21" s="291" t="e">
        <f aca="false">+#REF!</f>
        <v>#REF!</v>
      </c>
      <c r="E21" s="845"/>
      <c r="F21" s="845"/>
      <c r="G21" s="845"/>
      <c r="H21" s="845"/>
      <c r="I21" s="845"/>
      <c r="J21" s="845"/>
      <c r="K21" s="845"/>
      <c r="L21" s="845"/>
      <c r="M21" s="845"/>
      <c r="N21" s="845"/>
      <c r="O21" s="845"/>
      <c r="P21" s="845"/>
      <c r="Q21" s="291" t="e">
        <f aca="false">+D21*12</f>
        <v>#REF!</v>
      </c>
      <c r="R21" s="846" t="e">
        <f aca="false">+Q21-SUM(E21:P21)</f>
        <v>#REF!</v>
      </c>
      <c r="S21" s="847" t="n">
        <f aca="false">+Insumos_Cotação!O28</f>
        <v>0</v>
      </c>
      <c r="T21" s="847" t="n">
        <f aca="false">+E21*$S21</f>
        <v>0</v>
      </c>
      <c r="U21" s="847" t="n">
        <f aca="false">+F21*$S21</f>
        <v>0</v>
      </c>
      <c r="V21" s="847" t="n">
        <f aca="false">+G21*$S21</f>
        <v>0</v>
      </c>
      <c r="W21" s="847" t="n">
        <f aca="false">+H21*$S21</f>
        <v>0</v>
      </c>
      <c r="X21" s="847" t="n">
        <f aca="false">+I21*$S21</f>
        <v>0</v>
      </c>
      <c r="Y21" s="847" t="n">
        <f aca="false">+J21*$S21</f>
        <v>0</v>
      </c>
      <c r="Z21" s="847" t="n">
        <f aca="false">+K21*$S21</f>
        <v>0</v>
      </c>
      <c r="AA21" s="847" t="n">
        <f aca="false">+L21*$S21</f>
        <v>0</v>
      </c>
      <c r="AB21" s="847" t="n">
        <f aca="false">+M21*$S21</f>
        <v>0</v>
      </c>
      <c r="AC21" s="847" t="n">
        <f aca="false">+N21*$S21</f>
        <v>0</v>
      </c>
      <c r="AD21" s="847" t="n">
        <f aca="false">+O21*$S21</f>
        <v>0</v>
      </c>
      <c r="AE21" s="848" t="n">
        <f aca="false">+P21*$S21</f>
        <v>0</v>
      </c>
    </row>
    <row r="22" customFormat="false" ht="11.25" hidden="false" customHeight="false" outlineLevel="0" collapsed="false">
      <c r="A22" s="835"/>
      <c r="B22" s="843" t="e">
        <f aca="false">+#REF!</f>
        <v>#REF!</v>
      </c>
      <c r="C22" s="844" t="e">
        <f aca="false">+#REF!</f>
        <v>#REF!</v>
      </c>
      <c r="D22" s="291" t="e">
        <f aca="false">+#REF!</f>
        <v>#REF!</v>
      </c>
      <c r="E22" s="845"/>
      <c r="F22" s="845"/>
      <c r="G22" s="845"/>
      <c r="H22" s="845"/>
      <c r="I22" s="845"/>
      <c r="J22" s="845"/>
      <c r="K22" s="845"/>
      <c r="L22" s="845"/>
      <c r="M22" s="845"/>
      <c r="N22" s="845"/>
      <c r="O22" s="845"/>
      <c r="P22" s="845"/>
      <c r="Q22" s="291" t="e">
        <f aca="false">+D22*12</f>
        <v>#REF!</v>
      </c>
      <c r="R22" s="846" t="e">
        <f aca="false">+Q22-SUM(E22:P22)</f>
        <v>#REF!</v>
      </c>
      <c r="S22" s="847" t="n">
        <f aca="false">+Insumos_Cotação!O29</f>
        <v>0</v>
      </c>
      <c r="T22" s="847" t="n">
        <f aca="false">+E22*$S22</f>
        <v>0</v>
      </c>
      <c r="U22" s="847" t="n">
        <f aca="false">+F22*$S22</f>
        <v>0</v>
      </c>
      <c r="V22" s="847" t="n">
        <f aca="false">+G22*$S22</f>
        <v>0</v>
      </c>
      <c r="W22" s="847" t="n">
        <f aca="false">+H22*$S22</f>
        <v>0</v>
      </c>
      <c r="X22" s="847" t="n">
        <f aca="false">+I22*$S22</f>
        <v>0</v>
      </c>
      <c r="Y22" s="847" t="n">
        <f aca="false">+J22*$S22</f>
        <v>0</v>
      </c>
      <c r="Z22" s="847" t="n">
        <f aca="false">+K22*$S22</f>
        <v>0</v>
      </c>
      <c r="AA22" s="847" t="n">
        <f aca="false">+L22*$S22</f>
        <v>0</v>
      </c>
      <c r="AB22" s="847" t="n">
        <f aca="false">+M22*$S22</f>
        <v>0</v>
      </c>
      <c r="AC22" s="847" t="n">
        <f aca="false">+N22*$S22</f>
        <v>0</v>
      </c>
      <c r="AD22" s="847" t="n">
        <f aca="false">+O22*$S22</f>
        <v>0</v>
      </c>
      <c r="AE22" s="848" t="n">
        <f aca="false">+P22*$S22</f>
        <v>0</v>
      </c>
    </row>
    <row r="23" customFormat="false" ht="11.25" hidden="false" customHeight="false" outlineLevel="0" collapsed="false">
      <c r="A23" s="835"/>
      <c r="B23" s="843" t="e">
        <f aca="false">+#REF!</f>
        <v>#REF!</v>
      </c>
      <c r="C23" s="844" t="e">
        <f aca="false">+#REF!</f>
        <v>#REF!</v>
      </c>
      <c r="D23" s="291" t="e">
        <f aca="false">+#REF!</f>
        <v>#REF!</v>
      </c>
      <c r="E23" s="845"/>
      <c r="F23" s="845"/>
      <c r="G23" s="845"/>
      <c r="H23" s="845"/>
      <c r="I23" s="845"/>
      <c r="J23" s="845"/>
      <c r="K23" s="845"/>
      <c r="L23" s="845"/>
      <c r="M23" s="845"/>
      <c r="N23" s="845"/>
      <c r="O23" s="845"/>
      <c r="P23" s="845"/>
      <c r="Q23" s="291" t="e">
        <f aca="false">+D23*12</f>
        <v>#REF!</v>
      </c>
      <c r="R23" s="846" t="e">
        <f aca="false">+Q23-SUM(E23:P23)</f>
        <v>#REF!</v>
      </c>
      <c r="S23" s="847" t="n">
        <f aca="false">+Insumos_Cotação!O30</f>
        <v>0</v>
      </c>
      <c r="T23" s="847" t="n">
        <f aca="false">+E23*$S23</f>
        <v>0</v>
      </c>
      <c r="U23" s="847" t="n">
        <f aca="false">+F23*$S23</f>
        <v>0</v>
      </c>
      <c r="V23" s="847" t="n">
        <f aca="false">+G23*$S23</f>
        <v>0</v>
      </c>
      <c r="W23" s="847" t="n">
        <f aca="false">+H23*$S23</f>
        <v>0</v>
      </c>
      <c r="X23" s="847" t="n">
        <f aca="false">+I23*$S23</f>
        <v>0</v>
      </c>
      <c r="Y23" s="847" t="n">
        <f aca="false">+J23*$S23</f>
        <v>0</v>
      </c>
      <c r="Z23" s="847" t="n">
        <f aca="false">+K23*$S23</f>
        <v>0</v>
      </c>
      <c r="AA23" s="847" t="n">
        <f aca="false">+L23*$S23</f>
        <v>0</v>
      </c>
      <c r="AB23" s="847" t="n">
        <f aca="false">+M23*$S23</f>
        <v>0</v>
      </c>
      <c r="AC23" s="847" t="n">
        <f aca="false">+N23*$S23</f>
        <v>0</v>
      </c>
      <c r="AD23" s="847" t="n">
        <f aca="false">+O23*$S23</f>
        <v>0</v>
      </c>
      <c r="AE23" s="848" t="n">
        <f aca="false">+P23*$S23</f>
        <v>0</v>
      </c>
    </row>
    <row r="24" customFormat="false" ht="11.25" hidden="false" customHeight="false" outlineLevel="0" collapsed="false">
      <c r="A24" s="835"/>
      <c r="B24" s="843" t="e">
        <f aca="false">+#REF!</f>
        <v>#REF!</v>
      </c>
      <c r="C24" s="844" t="e">
        <f aca="false">+#REF!</f>
        <v>#REF!</v>
      </c>
      <c r="D24" s="291" t="e">
        <f aca="false">+#REF!</f>
        <v>#REF!</v>
      </c>
      <c r="E24" s="845"/>
      <c r="F24" s="845"/>
      <c r="G24" s="845"/>
      <c r="H24" s="845"/>
      <c r="I24" s="845"/>
      <c r="J24" s="845"/>
      <c r="K24" s="845"/>
      <c r="L24" s="845"/>
      <c r="M24" s="845"/>
      <c r="N24" s="845"/>
      <c r="O24" s="845"/>
      <c r="P24" s="845"/>
      <c r="Q24" s="291" t="e">
        <f aca="false">+D24*12</f>
        <v>#REF!</v>
      </c>
      <c r="R24" s="846" t="e">
        <f aca="false">+Q24-SUM(E24:P24)</f>
        <v>#REF!</v>
      </c>
      <c r="S24" s="847" t="n">
        <f aca="false">+Insumos_Cotação!O31</f>
        <v>0</v>
      </c>
      <c r="T24" s="847" t="n">
        <f aca="false">+E24*$S24</f>
        <v>0</v>
      </c>
      <c r="U24" s="847" t="n">
        <f aca="false">+F24*$S24</f>
        <v>0</v>
      </c>
      <c r="V24" s="847" t="n">
        <f aca="false">+G24*$S24</f>
        <v>0</v>
      </c>
      <c r="W24" s="847" t="n">
        <f aca="false">+H24*$S24</f>
        <v>0</v>
      </c>
      <c r="X24" s="847" t="n">
        <f aca="false">+I24*$S24</f>
        <v>0</v>
      </c>
      <c r="Y24" s="847" t="n">
        <f aca="false">+J24*$S24</f>
        <v>0</v>
      </c>
      <c r="Z24" s="847" t="n">
        <f aca="false">+K24*$S24</f>
        <v>0</v>
      </c>
      <c r="AA24" s="847" t="n">
        <f aca="false">+L24*$S24</f>
        <v>0</v>
      </c>
      <c r="AB24" s="847" t="n">
        <f aca="false">+M24*$S24</f>
        <v>0</v>
      </c>
      <c r="AC24" s="847" t="n">
        <f aca="false">+N24*$S24</f>
        <v>0</v>
      </c>
      <c r="AD24" s="847" t="n">
        <f aca="false">+O24*$S24</f>
        <v>0</v>
      </c>
      <c r="AE24" s="848" t="n">
        <f aca="false">+P24*$S24</f>
        <v>0</v>
      </c>
    </row>
    <row r="25" customFormat="false" ht="11.25" hidden="false" customHeight="false" outlineLevel="0" collapsed="false">
      <c r="A25" s="835"/>
      <c r="B25" s="843" t="e">
        <f aca="false">+#REF!</f>
        <v>#REF!</v>
      </c>
      <c r="C25" s="844" t="e">
        <f aca="false">+#REF!</f>
        <v>#REF!</v>
      </c>
      <c r="D25" s="291" t="e">
        <f aca="false">+#REF!</f>
        <v>#REF!</v>
      </c>
      <c r="E25" s="845"/>
      <c r="F25" s="845"/>
      <c r="G25" s="845"/>
      <c r="H25" s="845"/>
      <c r="I25" s="845"/>
      <c r="J25" s="845"/>
      <c r="K25" s="845"/>
      <c r="L25" s="845"/>
      <c r="M25" s="845"/>
      <c r="N25" s="845"/>
      <c r="O25" s="845"/>
      <c r="P25" s="845"/>
      <c r="Q25" s="291" t="e">
        <f aca="false">+D25*12</f>
        <v>#REF!</v>
      </c>
      <c r="R25" s="846" t="e">
        <f aca="false">+Q25-SUM(E25:P25)</f>
        <v>#REF!</v>
      </c>
      <c r="S25" s="847" t="n">
        <f aca="false">+Insumos_Cotação!O32</f>
        <v>0</v>
      </c>
      <c r="T25" s="847" t="n">
        <f aca="false">+E25*$S25</f>
        <v>0</v>
      </c>
      <c r="U25" s="847" t="n">
        <f aca="false">+F25*$S25</f>
        <v>0</v>
      </c>
      <c r="V25" s="847" t="n">
        <f aca="false">+G25*$S25</f>
        <v>0</v>
      </c>
      <c r="W25" s="847" t="n">
        <f aca="false">+H25*$S25</f>
        <v>0</v>
      </c>
      <c r="X25" s="847" t="n">
        <f aca="false">+I25*$S25</f>
        <v>0</v>
      </c>
      <c r="Y25" s="847" t="n">
        <f aca="false">+J25*$S25</f>
        <v>0</v>
      </c>
      <c r="Z25" s="847" t="n">
        <f aca="false">+K25*$S25</f>
        <v>0</v>
      </c>
      <c r="AA25" s="847" t="n">
        <f aca="false">+L25*$S25</f>
        <v>0</v>
      </c>
      <c r="AB25" s="847" t="n">
        <f aca="false">+M25*$S25</f>
        <v>0</v>
      </c>
      <c r="AC25" s="847" t="n">
        <f aca="false">+N25*$S25</f>
        <v>0</v>
      </c>
      <c r="AD25" s="847" t="n">
        <f aca="false">+O25*$S25</f>
        <v>0</v>
      </c>
      <c r="AE25" s="848" t="n">
        <f aca="false">+P25*$S25</f>
        <v>0</v>
      </c>
    </row>
    <row r="26" customFormat="false" ht="11.25" hidden="false" customHeight="false" outlineLevel="0" collapsed="false">
      <c r="A26" s="835"/>
      <c r="B26" s="843" t="e">
        <f aca="false">+#REF!</f>
        <v>#REF!</v>
      </c>
      <c r="C26" s="844" t="e">
        <f aca="false">+#REF!</f>
        <v>#REF!</v>
      </c>
      <c r="D26" s="291" t="e">
        <f aca="false">+#REF!</f>
        <v>#REF!</v>
      </c>
      <c r="E26" s="845"/>
      <c r="F26" s="845"/>
      <c r="G26" s="845"/>
      <c r="H26" s="845"/>
      <c r="I26" s="845"/>
      <c r="J26" s="845"/>
      <c r="K26" s="845"/>
      <c r="L26" s="845"/>
      <c r="M26" s="845"/>
      <c r="N26" s="845"/>
      <c r="O26" s="845"/>
      <c r="P26" s="845"/>
      <c r="Q26" s="291" t="e">
        <f aca="false">+D26*12</f>
        <v>#REF!</v>
      </c>
      <c r="R26" s="846" t="e">
        <f aca="false">+Q26-SUM(E26:P26)</f>
        <v>#REF!</v>
      </c>
      <c r="S26" s="847" t="n">
        <f aca="false">+Insumos_Cotação!O33</f>
        <v>0</v>
      </c>
      <c r="T26" s="847" t="n">
        <f aca="false">+E26*$S26</f>
        <v>0</v>
      </c>
      <c r="U26" s="847" t="n">
        <f aca="false">+F26*$S26</f>
        <v>0</v>
      </c>
      <c r="V26" s="847" t="n">
        <f aca="false">+G26*$S26</f>
        <v>0</v>
      </c>
      <c r="W26" s="847" t="n">
        <f aca="false">+H26*$S26</f>
        <v>0</v>
      </c>
      <c r="X26" s="847" t="n">
        <f aca="false">+I26*$S26</f>
        <v>0</v>
      </c>
      <c r="Y26" s="847" t="n">
        <f aca="false">+J26*$S26</f>
        <v>0</v>
      </c>
      <c r="Z26" s="847" t="n">
        <f aca="false">+K26*$S26</f>
        <v>0</v>
      </c>
      <c r="AA26" s="847" t="n">
        <f aca="false">+L26*$S26</f>
        <v>0</v>
      </c>
      <c r="AB26" s="847" t="n">
        <f aca="false">+M26*$S26</f>
        <v>0</v>
      </c>
      <c r="AC26" s="847" t="n">
        <f aca="false">+N26*$S26</f>
        <v>0</v>
      </c>
      <c r="AD26" s="847" t="n">
        <f aca="false">+O26*$S26</f>
        <v>0</v>
      </c>
      <c r="AE26" s="848" t="n">
        <f aca="false">+P26*$S26</f>
        <v>0</v>
      </c>
    </row>
    <row r="27" customFormat="false" ht="11.25" hidden="false" customHeight="false" outlineLevel="0" collapsed="false">
      <c r="A27" s="835"/>
      <c r="B27" s="843" t="e">
        <f aca="false">+#REF!</f>
        <v>#REF!</v>
      </c>
      <c r="C27" s="844" t="e">
        <f aca="false">+#REF!</f>
        <v>#REF!</v>
      </c>
      <c r="D27" s="291" t="e">
        <f aca="false">+#REF!</f>
        <v>#REF!</v>
      </c>
      <c r="E27" s="845"/>
      <c r="F27" s="845"/>
      <c r="G27" s="845"/>
      <c r="H27" s="845"/>
      <c r="I27" s="845"/>
      <c r="J27" s="845"/>
      <c r="K27" s="845"/>
      <c r="L27" s="845"/>
      <c r="M27" s="845"/>
      <c r="N27" s="845"/>
      <c r="O27" s="845"/>
      <c r="P27" s="845"/>
      <c r="Q27" s="291" t="e">
        <f aca="false">+D27*12</f>
        <v>#REF!</v>
      </c>
      <c r="R27" s="846" t="e">
        <f aca="false">+Q27-SUM(E27:P27)</f>
        <v>#REF!</v>
      </c>
      <c r="S27" s="847" t="n">
        <f aca="false">+Insumos_Cotação!O34</f>
        <v>0</v>
      </c>
      <c r="T27" s="847" t="n">
        <f aca="false">+E27*$S27</f>
        <v>0</v>
      </c>
      <c r="U27" s="847" t="n">
        <f aca="false">+F27*$S27</f>
        <v>0</v>
      </c>
      <c r="V27" s="847" t="n">
        <f aca="false">+G27*$S27</f>
        <v>0</v>
      </c>
      <c r="W27" s="847" t="n">
        <f aca="false">+H27*$S27</f>
        <v>0</v>
      </c>
      <c r="X27" s="847" t="n">
        <f aca="false">+I27*$S27</f>
        <v>0</v>
      </c>
      <c r="Y27" s="847" t="n">
        <f aca="false">+J27*$S27</f>
        <v>0</v>
      </c>
      <c r="Z27" s="847" t="n">
        <f aca="false">+K27*$S27</f>
        <v>0</v>
      </c>
      <c r="AA27" s="847" t="n">
        <f aca="false">+L27*$S27</f>
        <v>0</v>
      </c>
      <c r="AB27" s="847" t="n">
        <f aca="false">+M27*$S27</f>
        <v>0</v>
      </c>
      <c r="AC27" s="847" t="n">
        <f aca="false">+N27*$S27</f>
        <v>0</v>
      </c>
      <c r="AD27" s="847" t="n">
        <f aca="false">+O27*$S27</f>
        <v>0</v>
      </c>
      <c r="AE27" s="848" t="n">
        <f aca="false">+P27*$S27</f>
        <v>0</v>
      </c>
    </row>
    <row r="28" customFormat="false" ht="11.25" hidden="false" customHeight="false" outlineLevel="0" collapsed="false">
      <c r="A28" s="835"/>
      <c r="B28" s="843" t="e">
        <f aca="false">+#REF!</f>
        <v>#REF!</v>
      </c>
      <c r="C28" s="844" t="e">
        <f aca="false">+#REF!</f>
        <v>#REF!</v>
      </c>
      <c r="D28" s="291" t="e">
        <f aca="false">+#REF!</f>
        <v>#REF!</v>
      </c>
      <c r="E28" s="845"/>
      <c r="F28" s="845"/>
      <c r="G28" s="845"/>
      <c r="H28" s="845"/>
      <c r="I28" s="845"/>
      <c r="J28" s="845"/>
      <c r="K28" s="845"/>
      <c r="L28" s="845"/>
      <c r="M28" s="845"/>
      <c r="N28" s="845"/>
      <c r="O28" s="845"/>
      <c r="P28" s="845"/>
      <c r="Q28" s="291" t="e">
        <f aca="false">+D28*12</f>
        <v>#REF!</v>
      </c>
      <c r="R28" s="846" t="e">
        <f aca="false">+Q28-SUM(E28:P28)</f>
        <v>#REF!</v>
      </c>
      <c r="S28" s="847" t="n">
        <f aca="false">+Insumos_Cotação!O35</f>
        <v>0</v>
      </c>
      <c r="T28" s="847" t="n">
        <f aca="false">+E28*$S28</f>
        <v>0</v>
      </c>
      <c r="U28" s="847" t="n">
        <f aca="false">+F28*$S28</f>
        <v>0</v>
      </c>
      <c r="V28" s="847" t="n">
        <f aca="false">+G28*$S28</f>
        <v>0</v>
      </c>
      <c r="W28" s="847" t="n">
        <f aca="false">+H28*$S28</f>
        <v>0</v>
      </c>
      <c r="X28" s="847" t="n">
        <f aca="false">+I28*$S28</f>
        <v>0</v>
      </c>
      <c r="Y28" s="847" t="n">
        <f aca="false">+J28*$S28</f>
        <v>0</v>
      </c>
      <c r="Z28" s="847" t="n">
        <f aca="false">+K28*$S28</f>
        <v>0</v>
      </c>
      <c r="AA28" s="847" t="n">
        <f aca="false">+L28*$S28</f>
        <v>0</v>
      </c>
      <c r="AB28" s="847" t="n">
        <f aca="false">+M28*$S28</f>
        <v>0</v>
      </c>
      <c r="AC28" s="847" t="n">
        <f aca="false">+N28*$S28</f>
        <v>0</v>
      </c>
      <c r="AD28" s="847" t="n">
        <f aca="false">+O28*$S28</f>
        <v>0</v>
      </c>
      <c r="AE28" s="848" t="n">
        <f aca="false">+P28*$S28</f>
        <v>0</v>
      </c>
    </row>
    <row r="29" customFormat="false" ht="11.25" hidden="false" customHeight="false" outlineLevel="0" collapsed="false">
      <c r="A29" s="835"/>
      <c r="B29" s="843" t="e">
        <f aca="false">+#REF!</f>
        <v>#REF!</v>
      </c>
      <c r="C29" s="844" t="e">
        <f aca="false">+#REF!</f>
        <v>#REF!</v>
      </c>
      <c r="D29" s="291" t="e">
        <f aca="false">+#REF!</f>
        <v>#REF!</v>
      </c>
      <c r="E29" s="845"/>
      <c r="F29" s="845"/>
      <c r="G29" s="845"/>
      <c r="H29" s="845"/>
      <c r="I29" s="845"/>
      <c r="J29" s="845"/>
      <c r="K29" s="845"/>
      <c r="L29" s="845"/>
      <c r="M29" s="845"/>
      <c r="N29" s="845"/>
      <c r="O29" s="845"/>
      <c r="P29" s="845"/>
      <c r="Q29" s="291" t="e">
        <f aca="false">+D29*12</f>
        <v>#REF!</v>
      </c>
      <c r="R29" s="846" t="e">
        <f aca="false">+Q29-SUM(E29:P29)</f>
        <v>#REF!</v>
      </c>
      <c r="S29" s="847" t="n">
        <f aca="false">+Insumos_Cotação!O36</f>
        <v>0</v>
      </c>
      <c r="T29" s="847" t="n">
        <f aca="false">+E29*$S29</f>
        <v>0</v>
      </c>
      <c r="U29" s="847" t="n">
        <f aca="false">+F29*$S29</f>
        <v>0</v>
      </c>
      <c r="V29" s="847" t="n">
        <f aca="false">+G29*$S29</f>
        <v>0</v>
      </c>
      <c r="W29" s="847" t="n">
        <f aca="false">+H29*$S29</f>
        <v>0</v>
      </c>
      <c r="X29" s="847" t="n">
        <f aca="false">+I29*$S29</f>
        <v>0</v>
      </c>
      <c r="Y29" s="847" t="n">
        <f aca="false">+J29*$S29</f>
        <v>0</v>
      </c>
      <c r="Z29" s="847" t="n">
        <f aca="false">+K29*$S29</f>
        <v>0</v>
      </c>
      <c r="AA29" s="847" t="n">
        <f aca="false">+L29*$S29</f>
        <v>0</v>
      </c>
      <c r="AB29" s="847" t="n">
        <f aca="false">+M29*$S29</f>
        <v>0</v>
      </c>
      <c r="AC29" s="847" t="n">
        <f aca="false">+N29*$S29</f>
        <v>0</v>
      </c>
      <c r="AD29" s="847" t="n">
        <f aca="false">+O29*$S29</f>
        <v>0</v>
      </c>
      <c r="AE29" s="848" t="n">
        <f aca="false">+P29*$S29</f>
        <v>0</v>
      </c>
    </row>
    <row r="30" customFormat="false" ht="11.25" hidden="false" customHeight="false" outlineLevel="0" collapsed="false">
      <c r="A30" s="835"/>
      <c r="B30" s="843" t="e">
        <f aca="false">+#REF!</f>
        <v>#REF!</v>
      </c>
      <c r="C30" s="844" t="e">
        <f aca="false">+#REF!</f>
        <v>#REF!</v>
      </c>
      <c r="D30" s="291" t="e">
        <f aca="false">+#REF!</f>
        <v>#REF!</v>
      </c>
      <c r="E30" s="845"/>
      <c r="F30" s="845"/>
      <c r="G30" s="845"/>
      <c r="H30" s="845"/>
      <c r="I30" s="845"/>
      <c r="J30" s="845"/>
      <c r="K30" s="845"/>
      <c r="L30" s="845"/>
      <c r="M30" s="845"/>
      <c r="N30" s="845"/>
      <c r="O30" s="845"/>
      <c r="P30" s="845"/>
      <c r="Q30" s="291" t="e">
        <f aca="false">+D30*12</f>
        <v>#REF!</v>
      </c>
      <c r="R30" s="846" t="e">
        <f aca="false">+Q30-SUM(E30:P30)</f>
        <v>#REF!</v>
      </c>
      <c r="S30" s="847" t="n">
        <f aca="false">+Insumos_Cotação!O37</f>
        <v>0</v>
      </c>
      <c r="T30" s="847" t="n">
        <f aca="false">+E30*$S30</f>
        <v>0</v>
      </c>
      <c r="U30" s="847" t="n">
        <f aca="false">+F30*$S30</f>
        <v>0</v>
      </c>
      <c r="V30" s="847" t="n">
        <f aca="false">+G30*$S30</f>
        <v>0</v>
      </c>
      <c r="W30" s="847" t="n">
        <f aca="false">+H30*$S30</f>
        <v>0</v>
      </c>
      <c r="X30" s="847" t="n">
        <f aca="false">+I30*$S30</f>
        <v>0</v>
      </c>
      <c r="Y30" s="847" t="n">
        <f aca="false">+J30*$S30</f>
        <v>0</v>
      </c>
      <c r="Z30" s="847" t="n">
        <f aca="false">+K30*$S30</f>
        <v>0</v>
      </c>
      <c r="AA30" s="847" t="n">
        <f aca="false">+L30*$S30</f>
        <v>0</v>
      </c>
      <c r="AB30" s="847" t="n">
        <f aca="false">+M30*$S30</f>
        <v>0</v>
      </c>
      <c r="AC30" s="847" t="n">
        <f aca="false">+N30*$S30</f>
        <v>0</v>
      </c>
      <c r="AD30" s="847" t="n">
        <f aca="false">+O30*$S30</f>
        <v>0</v>
      </c>
      <c r="AE30" s="848" t="n">
        <f aca="false">+P30*$S30</f>
        <v>0</v>
      </c>
    </row>
    <row r="31" customFormat="false" ht="11.25" hidden="false" customHeight="false" outlineLevel="0" collapsed="false">
      <c r="A31" s="835"/>
      <c r="B31" s="843" t="e">
        <f aca="false">+#REF!</f>
        <v>#REF!</v>
      </c>
      <c r="C31" s="844" t="e">
        <f aca="false">+#REF!</f>
        <v>#REF!</v>
      </c>
      <c r="D31" s="291" t="e">
        <f aca="false">+#REF!</f>
        <v>#REF!</v>
      </c>
      <c r="E31" s="845"/>
      <c r="F31" s="845"/>
      <c r="G31" s="845"/>
      <c r="H31" s="845"/>
      <c r="I31" s="845"/>
      <c r="J31" s="845"/>
      <c r="K31" s="845"/>
      <c r="L31" s="845"/>
      <c r="M31" s="845"/>
      <c r="N31" s="845"/>
      <c r="O31" s="845"/>
      <c r="P31" s="845"/>
      <c r="Q31" s="291" t="e">
        <f aca="false">+D31*12</f>
        <v>#REF!</v>
      </c>
      <c r="R31" s="846" t="e">
        <f aca="false">+Q31-SUM(E31:P31)</f>
        <v>#REF!</v>
      </c>
      <c r="S31" s="847" t="n">
        <f aca="false">+Insumos_Cotação!O38</f>
        <v>0</v>
      </c>
      <c r="T31" s="847" t="n">
        <f aca="false">+E31*$S31</f>
        <v>0</v>
      </c>
      <c r="U31" s="847" t="n">
        <f aca="false">+F31*$S31</f>
        <v>0</v>
      </c>
      <c r="V31" s="847" t="n">
        <f aca="false">+G31*$S31</f>
        <v>0</v>
      </c>
      <c r="W31" s="847" t="n">
        <f aca="false">+H31*$S31</f>
        <v>0</v>
      </c>
      <c r="X31" s="847" t="n">
        <f aca="false">+I31*$S31</f>
        <v>0</v>
      </c>
      <c r="Y31" s="847" t="n">
        <f aca="false">+J31*$S31</f>
        <v>0</v>
      </c>
      <c r="Z31" s="847" t="n">
        <f aca="false">+K31*$S31</f>
        <v>0</v>
      </c>
      <c r="AA31" s="847" t="n">
        <f aca="false">+L31*$S31</f>
        <v>0</v>
      </c>
      <c r="AB31" s="847" t="n">
        <f aca="false">+M31*$S31</f>
        <v>0</v>
      </c>
      <c r="AC31" s="847" t="n">
        <f aca="false">+N31*$S31</f>
        <v>0</v>
      </c>
      <c r="AD31" s="847" t="n">
        <f aca="false">+O31*$S31</f>
        <v>0</v>
      </c>
      <c r="AE31" s="848" t="n">
        <f aca="false">+P31*$S31</f>
        <v>0</v>
      </c>
    </row>
    <row r="32" customFormat="false" ht="11.25" hidden="false" customHeight="false" outlineLevel="0" collapsed="false">
      <c r="A32" s="835"/>
      <c r="B32" s="843" t="e">
        <f aca="false">+#REF!</f>
        <v>#REF!</v>
      </c>
      <c r="C32" s="844" t="e">
        <f aca="false">+#REF!</f>
        <v>#REF!</v>
      </c>
      <c r="D32" s="291" t="e">
        <f aca="false">+#REF!</f>
        <v>#REF!</v>
      </c>
      <c r="E32" s="845"/>
      <c r="F32" s="845"/>
      <c r="G32" s="845"/>
      <c r="H32" s="845"/>
      <c r="I32" s="845"/>
      <c r="J32" s="845"/>
      <c r="K32" s="845"/>
      <c r="L32" s="845"/>
      <c r="M32" s="845"/>
      <c r="N32" s="845"/>
      <c r="O32" s="845"/>
      <c r="P32" s="845"/>
      <c r="Q32" s="291" t="e">
        <f aca="false">+D32*12</f>
        <v>#REF!</v>
      </c>
      <c r="R32" s="846" t="e">
        <f aca="false">+Q32-SUM(E32:P32)</f>
        <v>#REF!</v>
      </c>
      <c r="S32" s="847" t="n">
        <f aca="false">+Insumos_Cotação!O39</f>
        <v>0</v>
      </c>
      <c r="T32" s="847" t="n">
        <f aca="false">+E32*$S32</f>
        <v>0</v>
      </c>
      <c r="U32" s="847" t="n">
        <f aca="false">+F32*$S32</f>
        <v>0</v>
      </c>
      <c r="V32" s="847" t="n">
        <f aca="false">+G32*$S32</f>
        <v>0</v>
      </c>
      <c r="W32" s="847" t="n">
        <f aca="false">+H32*$S32</f>
        <v>0</v>
      </c>
      <c r="X32" s="847" t="n">
        <f aca="false">+I32*$S32</f>
        <v>0</v>
      </c>
      <c r="Y32" s="847" t="n">
        <f aca="false">+J32*$S32</f>
        <v>0</v>
      </c>
      <c r="Z32" s="847" t="n">
        <f aca="false">+K32*$S32</f>
        <v>0</v>
      </c>
      <c r="AA32" s="847" t="n">
        <f aca="false">+L32*$S32</f>
        <v>0</v>
      </c>
      <c r="AB32" s="847" t="n">
        <f aca="false">+M32*$S32</f>
        <v>0</v>
      </c>
      <c r="AC32" s="847" t="n">
        <f aca="false">+N32*$S32</f>
        <v>0</v>
      </c>
      <c r="AD32" s="847" t="n">
        <f aca="false">+O32*$S32</f>
        <v>0</v>
      </c>
      <c r="AE32" s="848" t="n">
        <f aca="false">+P32*$S32</f>
        <v>0</v>
      </c>
    </row>
    <row r="33" customFormat="false" ht="11.25" hidden="false" customHeight="false" outlineLevel="0" collapsed="false">
      <c r="A33" s="835"/>
      <c r="B33" s="843" t="e">
        <f aca="false">+#REF!</f>
        <v>#REF!</v>
      </c>
      <c r="C33" s="844" t="e">
        <f aca="false">+#REF!</f>
        <v>#REF!</v>
      </c>
      <c r="D33" s="291" t="e">
        <f aca="false">+#REF!</f>
        <v>#REF!</v>
      </c>
      <c r="E33" s="845"/>
      <c r="F33" s="845"/>
      <c r="G33" s="845"/>
      <c r="H33" s="845"/>
      <c r="I33" s="845"/>
      <c r="J33" s="845"/>
      <c r="K33" s="845"/>
      <c r="L33" s="845"/>
      <c r="M33" s="845"/>
      <c r="N33" s="845"/>
      <c r="O33" s="845"/>
      <c r="P33" s="845"/>
      <c r="Q33" s="291" t="e">
        <f aca="false">+D33*12</f>
        <v>#REF!</v>
      </c>
      <c r="R33" s="846" t="e">
        <f aca="false">+Q33-SUM(E33:P33)</f>
        <v>#REF!</v>
      </c>
      <c r="S33" s="847" t="n">
        <f aca="false">+Insumos_Cotação!O40</f>
        <v>0</v>
      </c>
      <c r="T33" s="847" t="n">
        <f aca="false">+E33*$S33</f>
        <v>0</v>
      </c>
      <c r="U33" s="847" t="n">
        <f aca="false">+F33*$S33</f>
        <v>0</v>
      </c>
      <c r="V33" s="847" t="n">
        <f aca="false">+G33*$S33</f>
        <v>0</v>
      </c>
      <c r="W33" s="847" t="n">
        <f aca="false">+H33*$S33</f>
        <v>0</v>
      </c>
      <c r="X33" s="847" t="n">
        <f aca="false">+I33*$S33</f>
        <v>0</v>
      </c>
      <c r="Y33" s="847" t="n">
        <f aca="false">+J33*$S33</f>
        <v>0</v>
      </c>
      <c r="Z33" s="847" t="n">
        <f aca="false">+K33*$S33</f>
        <v>0</v>
      </c>
      <c r="AA33" s="847" t="n">
        <f aca="false">+L33*$S33</f>
        <v>0</v>
      </c>
      <c r="AB33" s="847" t="n">
        <f aca="false">+M33*$S33</f>
        <v>0</v>
      </c>
      <c r="AC33" s="847" t="n">
        <f aca="false">+N33*$S33</f>
        <v>0</v>
      </c>
      <c r="AD33" s="847" t="n">
        <f aca="false">+O33*$S33</f>
        <v>0</v>
      </c>
      <c r="AE33" s="848" t="n">
        <f aca="false">+P33*$S33</f>
        <v>0</v>
      </c>
    </row>
    <row r="34" customFormat="false" ht="11.25" hidden="false" customHeight="false" outlineLevel="0" collapsed="false">
      <c r="A34" s="835"/>
      <c r="B34" s="843" t="e">
        <f aca="false">+#REF!</f>
        <v>#REF!</v>
      </c>
      <c r="C34" s="844" t="e">
        <f aca="false">+#REF!</f>
        <v>#REF!</v>
      </c>
      <c r="D34" s="291" t="e">
        <f aca="false">+#REF!</f>
        <v>#REF!</v>
      </c>
      <c r="E34" s="845"/>
      <c r="F34" s="845"/>
      <c r="G34" s="845"/>
      <c r="H34" s="845"/>
      <c r="I34" s="845"/>
      <c r="J34" s="845"/>
      <c r="K34" s="845"/>
      <c r="L34" s="845"/>
      <c r="M34" s="845"/>
      <c r="N34" s="845"/>
      <c r="O34" s="845"/>
      <c r="P34" s="845"/>
      <c r="Q34" s="291" t="e">
        <f aca="false">+D34*12</f>
        <v>#REF!</v>
      </c>
      <c r="R34" s="846" t="e">
        <f aca="false">+Q34-SUM(E34:P34)</f>
        <v>#REF!</v>
      </c>
      <c r="S34" s="847" t="n">
        <f aca="false">+Insumos_Cotação!O41</f>
        <v>0</v>
      </c>
      <c r="T34" s="847" t="n">
        <f aca="false">+E34*$S34</f>
        <v>0</v>
      </c>
      <c r="U34" s="847" t="n">
        <f aca="false">+F34*$S34</f>
        <v>0</v>
      </c>
      <c r="V34" s="847" t="n">
        <f aca="false">+G34*$S34</f>
        <v>0</v>
      </c>
      <c r="W34" s="847" t="n">
        <f aca="false">+H34*$S34</f>
        <v>0</v>
      </c>
      <c r="X34" s="847" t="n">
        <f aca="false">+I34*$S34</f>
        <v>0</v>
      </c>
      <c r="Y34" s="847" t="n">
        <f aca="false">+J34*$S34</f>
        <v>0</v>
      </c>
      <c r="Z34" s="847" t="n">
        <f aca="false">+K34*$S34</f>
        <v>0</v>
      </c>
      <c r="AA34" s="847" t="n">
        <f aca="false">+L34*$S34</f>
        <v>0</v>
      </c>
      <c r="AB34" s="847" t="n">
        <f aca="false">+M34*$S34</f>
        <v>0</v>
      </c>
      <c r="AC34" s="847" t="n">
        <f aca="false">+N34*$S34</f>
        <v>0</v>
      </c>
      <c r="AD34" s="847" t="n">
        <f aca="false">+O34*$S34</f>
        <v>0</v>
      </c>
      <c r="AE34" s="848" t="n">
        <f aca="false">+P34*$S34</f>
        <v>0</v>
      </c>
    </row>
    <row r="35" customFormat="false" ht="11.25" hidden="false" customHeight="false" outlineLevel="0" collapsed="false">
      <c r="A35" s="835"/>
      <c r="B35" s="843" t="e">
        <f aca="false">+#REF!</f>
        <v>#REF!</v>
      </c>
      <c r="C35" s="844" t="e">
        <f aca="false">+#REF!</f>
        <v>#REF!</v>
      </c>
      <c r="D35" s="291" t="e">
        <f aca="false">+#REF!</f>
        <v>#REF!</v>
      </c>
      <c r="E35" s="845"/>
      <c r="F35" s="845"/>
      <c r="G35" s="845"/>
      <c r="H35" s="845"/>
      <c r="I35" s="845"/>
      <c r="J35" s="845"/>
      <c r="K35" s="845"/>
      <c r="L35" s="845"/>
      <c r="M35" s="845"/>
      <c r="N35" s="845"/>
      <c r="O35" s="845"/>
      <c r="P35" s="845"/>
      <c r="Q35" s="291" t="e">
        <f aca="false">+D35*12</f>
        <v>#REF!</v>
      </c>
      <c r="R35" s="846" t="e">
        <f aca="false">+Q35-SUM(E35:P35)</f>
        <v>#REF!</v>
      </c>
      <c r="S35" s="847" t="n">
        <f aca="false">+Insumos_Cotação!O42</f>
        <v>0</v>
      </c>
      <c r="T35" s="847" t="n">
        <f aca="false">+E35*$S35</f>
        <v>0</v>
      </c>
      <c r="U35" s="847" t="n">
        <f aca="false">+F35*$S35</f>
        <v>0</v>
      </c>
      <c r="V35" s="847" t="n">
        <f aca="false">+G35*$S35</f>
        <v>0</v>
      </c>
      <c r="W35" s="847" t="n">
        <f aca="false">+H35*$S35</f>
        <v>0</v>
      </c>
      <c r="X35" s="847" t="n">
        <f aca="false">+I35*$S35</f>
        <v>0</v>
      </c>
      <c r="Y35" s="847" t="n">
        <f aca="false">+J35*$S35</f>
        <v>0</v>
      </c>
      <c r="Z35" s="847" t="n">
        <f aca="false">+K35*$S35</f>
        <v>0</v>
      </c>
      <c r="AA35" s="847" t="n">
        <f aca="false">+L35*$S35</f>
        <v>0</v>
      </c>
      <c r="AB35" s="847" t="n">
        <f aca="false">+M35*$S35</f>
        <v>0</v>
      </c>
      <c r="AC35" s="847" t="n">
        <f aca="false">+N35*$S35</f>
        <v>0</v>
      </c>
      <c r="AD35" s="847" t="n">
        <f aca="false">+O35*$S35</f>
        <v>0</v>
      </c>
      <c r="AE35" s="848" t="n">
        <f aca="false">+P35*$S35</f>
        <v>0</v>
      </c>
    </row>
    <row r="36" customFormat="false" ht="11.25" hidden="false" customHeight="false" outlineLevel="0" collapsed="false">
      <c r="A36" s="835"/>
      <c r="B36" s="843" t="e">
        <f aca="false">+#REF!</f>
        <v>#REF!</v>
      </c>
      <c r="C36" s="844" t="e">
        <f aca="false">+#REF!</f>
        <v>#REF!</v>
      </c>
      <c r="D36" s="291" t="e">
        <f aca="false">+#REF!</f>
        <v>#REF!</v>
      </c>
      <c r="E36" s="845"/>
      <c r="F36" s="845"/>
      <c r="G36" s="845"/>
      <c r="H36" s="845"/>
      <c r="I36" s="845"/>
      <c r="J36" s="845"/>
      <c r="K36" s="845"/>
      <c r="L36" s="845"/>
      <c r="M36" s="845"/>
      <c r="N36" s="845"/>
      <c r="O36" s="845"/>
      <c r="P36" s="845"/>
      <c r="Q36" s="291" t="e">
        <f aca="false">+D36*12</f>
        <v>#REF!</v>
      </c>
      <c r="R36" s="846" t="e">
        <f aca="false">+Q36-SUM(E36:P36)</f>
        <v>#REF!</v>
      </c>
      <c r="S36" s="847" t="n">
        <f aca="false">+Insumos_Cotação!O43</f>
        <v>0</v>
      </c>
      <c r="T36" s="847" t="n">
        <f aca="false">+E36*$S36</f>
        <v>0</v>
      </c>
      <c r="U36" s="847" t="n">
        <f aca="false">+F36*$S36</f>
        <v>0</v>
      </c>
      <c r="V36" s="847" t="n">
        <f aca="false">+G36*$S36</f>
        <v>0</v>
      </c>
      <c r="W36" s="847" t="n">
        <f aca="false">+H36*$S36</f>
        <v>0</v>
      </c>
      <c r="X36" s="847" t="n">
        <f aca="false">+I36*$S36</f>
        <v>0</v>
      </c>
      <c r="Y36" s="847" t="n">
        <f aca="false">+J36*$S36</f>
        <v>0</v>
      </c>
      <c r="Z36" s="847" t="n">
        <f aca="false">+K36*$S36</f>
        <v>0</v>
      </c>
      <c r="AA36" s="847" t="n">
        <f aca="false">+L36*$S36</f>
        <v>0</v>
      </c>
      <c r="AB36" s="847" t="n">
        <f aca="false">+M36*$S36</f>
        <v>0</v>
      </c>
      <c r="AC36" s="847" t="n">
        <f aca="false">+N36*$S36</f>
        <v>0</v>
      </c>
      <c r="AD36" s="847" t="n">
        <f aca="false">+O36*$S36</f>
        <v>0</v>
      </c>
      <c r="AE36" s="848" t="n">
        <f aca="false">+P36*$S36</f>
        <v>0</v>
      </c>
    </row>
    <row r="37" customFormat="false" ht="11.25" hidden="false" customHeight="false" outlineLevel="0" collapsed="false">
      <c r="A37" s="835"/>
      <c r="B37" s="843" t="e">
        <f aca="false">+#REF!</f>
        <v>#REF!</v>
      </c>
      <c r="C37" s="844" t="e">
        <f aca="false">+#REF!</f>
        <v>#REF!</v>
      </c>
      <c r="D37" s="291" t="e">
        <f aca="false">+#REF!</f>
        <v>#REF!</v>
      </c>
      <c r="E37" s="845"/>
      <c r="F37" s="845"/>
      <c r="G37" s="845"/>
      <c r="H37" s="845"/>
      <c r="I37" s="845"/>
      <c r="J37" s="845"/>
      <c r="K37" s="845"/>
      <c r="L37" s="845"/>
      <c r="M37" s="845"/>
      <c r="N37" s="845"/>
      <c r="O37" s="845"/>
      <c r="P37" s="845"/>
      <c r="Q37" s="291" t="e">
        <f aca="false">+D37*12</f>
        <v>#REF!</v>
      </c>
      <c r="R37" s="846" t="e">
        <f aca="false">+Q37-SUM(E37:P37)</f>
        <v>#REF!</v>
      </c>
      <c r="S37" s="847" t="n">
        <f aca="false">+Insumos_Cotação!O44</f>
        <v>0</v>
      </c>
      <c r="T37" s="847" t="n">
        <f aca="false">+E37*$S37</f>
        <v>0</v>
      </c>
      <c r="U37" s="847" t="n">
        <f aca="false">+F37*$S37</f>
        <v>0</v>
      </c>
      <c r="V37" s="847" t="n">
        <f aca="false">+G37*$S37</f>
        <v>0</v>
      </c>
      <c r="W37" s="847" t="n">
        <f aca="false">+H37*$S37</f>
        <v>0</v>
      </c>
      <c r="X37" s="847" t="n">
        <f aca="false">+I37*$S37</f>
        <v>0</v>
      </c>
      <c r="Y37" s="847" t="n">
        <f aca="false">+J37*$S37</f>
        <v>0</v>
      </c>
      <c r="Z37" s="847" t="n">
        <f aca="false">+K37*$S37</f>
        <v>0</v>
      </c>
      <c r="AA37" s="847" t="n">
        <f aca="false">+L37*$S37</f>
        <v>0</v>
      </c>
      <c r="AB37" s="847" t="n">
        <f aca="false">+M37*$S37</f>
        <v>0</v>
      </c>
      <c r="AC37" s="847" t="n">
        <f aca="false">+N37*$S37</f>
        <v>0</v>
      </c>
      <c r="AD37" s="847" t="n">
        <f aca="false">+O37*$S37</f>
        <v>0</v>
      </c>
      <c r="AE37" s="848" t="n">
        <f aca="false">+P37*$S37</f>
        <v>0</v>
      </c>
    </row>
    <row r="38" customFormat="false" ht="11.25" hidden="false" customHeight="false" outlineLevel="0" collapsed="false">
      <c r="A38" s="835"/>
      <c r="B38" s="843" t="e">
        <f aca="false">+#REF!</f>
        <v>#REF!</v>
      </c>
      <c r="C38" s="844" t="e">
        <f aca="false">+#REF!</f>
        <v>#REF!</v>
      </c>
      <c r="D38" s="291" t="e">
        <f aca="false">+#REF!</f>
        <v>#REF!</v>
      </c>
      <c r="E38" s="845"/>
      <c r="F38" s="845"/>
      <c r="G38" s="845"/>
      <c r="H38" s="845"/>
      <c r="I38" s="845"/>
      <c r="J38" s="845"/>
      <c r="K38" s="845"/>
      <c r="L38" s="845"/>
      <c r="M38" s="845"/>
      <c r="N38" s="845"/>
      <c r="O38" s="845"/>
      <c r="P38" s="845"/>
      <c r="Q38" s="291" t="e">
        <f aca="false">+D38*12</f>
        <v>#REF!</v>
      </c>
      <c r="R38" s="846" t="e">
        <f aca="false">+Q38-SUM(E38:P38)</f>
        <v>#REF!</v>
      </c>
      <c r="S38" s="847" t="n">
        <f aca="false">+Insumos_Cotação!O45</f>
        <v>0</v>
      </c>
      <c r="T38" s="847" t="n">
        <f aca="false">+E38*$S38</f>
        <v>0</v>
      </c>
      <c r="U38" s="847" t="n">
        <f aca="false">+F38*$S38</f>
        <v>0</v>
      </c>
      <c r="V38" s="847" t="n">
        <f aca="false">+G38*$S38</f>
        <v>0</v>
      </c>
      <c r="W38" s="847" t="n">
        <f aca="false">+H38*$S38</f>
        <v>0</v>
      </c>
      <c r="X38" s="847" t="n">
        <f aca="false">+I38*$S38</f>
        <v>0</v>
      </c>
      <c r="Y38" s="847" t="n">
        <f aca="false">+J38*$S38</f>
        <v>0</v>
      </c>
      <c r="Z38" s="847" t="n">
        <f aca="false">+K38*$S38</f>
        <v>0</v>
      </c>
      <c r="AA38" s="847" t="n">
        <f aca="false">+L38*$S38</f>
        <v>0</v>
      </c>
      <c r="AB38" s="847" t="n">
        <f aca="false">+M38*$S38</f>
        <v>0</v>
      </c>
      <c r="AC38" s="847" t="n">
        <f aca="false">+N38*$S38</f>
        <v>0</v>
      </c>
      <c r="AD38" s="847" t="n">
        <f aca="false">+O38*$S38</f>
        <v>0</v>
      </c>
      <c r="AE38" s="848" t="n">
        <f aca="false">+P38*$S38</f>
        <v>0</v>
      </c>
    </row>
    <row r="39" customFormat="false" ht="11.25" hidden="false" customHeight="false" outlineLevel="0" collapsed="false">
      <c r="A39" s="835"/>
      <c r="B39" s="843" t="e">
        <f aca="false">+#REF!</f>
        <v>#REF!</v>
      </c>
      <c r="C39" s="844" t="e">
        <f aca="false">+#REF!</f>
        <v>#REF!</v>
      </c>
      <c r="D39" s="291" t="e">
        <f aca="false">+#REF!</f>
        <v>#REF!</v>
      </c>
      <c r="E39" s="845"/>
      <c r="F39" s="845"/>
      <c r="G39" s="845"/>
      <c r="H39" s="845"/>
      <c r="I39" s="845"/>
      <c r="J39" s="845"/>
      <c r="K39" s="845"/>
      <c r="L39" s="845"/>
      <c r="M39" s="845"/>
      <c r="N39" s="845"/>
      <c r="O39" s="845"/>
      <c r="P39" s="845"/>
      <c r="Q39" s="291" t="e">
        <f aca="false">+D39*12</f>
        <v>#REF!</v>
      </c>
      <c r="R39" s="846" t="e">
        <f aca="false">+Q39-SUM(E39:P39)</f>
        <v>#REF!</v>
      </c>
      <c r="S39" s="847" t="n">
        <f aca="false">+Insumos_Cotação!O46</f>
        <v>0</v>
      </c>
      <c r="T39" s="847" t="n">
        <f aca="false">+E39*$S39</f>
        <v>0</v>
      </c>
      <c r="U39" s="847" t="n">
        <f aca="false">+F39*$S39</f>
        <v>0</v>
      </c>
      <c r="V39" s="847" t="n">
        <f aca="false">+G39*$S39</f>
        <v>0</v>
      </c>
      <c r="W39" s="847" t="n">
        <f aca="false">+H39*$S39</f>
        <v>0</v>
      </c>
      <c r="X39" s="847" t="n">
        <f aca="false">+I39*$S39</f>
        <v>0</v>
      </c>
      <c r="Y39" s="847" t="n">
        <f aca="false">+J39*$S39</f>
        <v>0</v>
      </c>
      <c r="Z39" s="847" t="n">
        <f aca="false">+K39*$S39</f>
        <v>0</v>
      </c>
      <c r="AA39" s="847" t="n">
        <f aca="false">+L39*$S39</f>
        <v>0</v>
      </c>
      <c r="AB39" s="847" t="n">
        <f aca="false">+M39*$S39</f>
        <v>0</v>
      </c>
      <c r="AC39" s="847" t="n">
        <f aca="false">+N39*$S39</f>
        <v>0</v>
      </c>
      <c r="AD39" s="847" t="n">
        <f aca="false">+O39*$S39</f>
        <v>0</v>
      </c>
      <c r="AE39" s="848" t="n">
        <f aca="false">+P39*$S39</f>
        <v>0</v>
      </c>
    </row>
    <row r="40" customFormat="false" ht="11.25" hidden="false" customHeight="false" outlineLevel="0" collapsed="false">
      <c r="A40" s="835"/>
      <c r="B40" s="843" t="e">
        <f aca="false">+#REF!</f>
        <v>#REF!</v>
      </c>
      <c r="C40" s="844" t="e">
        <f aca="false">+#REF!</f>
        <v>#REF!</v>
      </c>
      <c r="D40" s="291" t="e">
        <f aca="false">+#REF!</f>
        <v>#REF!</v>
      </c>
      <c r="E40" s="845"/>
      <c r="F40" s="845"/>
      <c r="G40" s="845"/>
      <c r="H40" s="845"/>
      <c r="I40" s="845"/>
      <c r="J40" s="845"/>
      <c r="K40" s="845"/>
      <c r="L40" s="845"/>
      <c r="M40" s="845"/>
      <c r="N40" s="845"/>
      <c r="O40" s="845"/>
      <c r="P40" s="845"/>
      <c r="Q40" s="291" t="e">
        <f aca="false">+D40*12</f>
        <v>#REF!</v>
      </c>
      <c r="R40" s="846" t="e">
        <f aca="false">+Q40-SUM(E40:P40)</f>
        <v>#REF!</v>
      </c>
      <c r="S40" s="847" t="n">
        <f aca="false">+Insumos_Cotação!O47</f>
        <v>0</v>
      </c>
      <c r="T40" s="847" t="n">
        <f aca="false">+E40*$S40</f>
        <v>0</v>
      </c>
      <c r="U40" s="847" t="n">
        <f aca="false">+F40*$S40</f>
        <v>0</v>
      </c>
      <c r="V40" s="847" t="n">
        <f aca="false">+G40*$S40</f>
        <v>0</v>
      </c>
      <c r="W40" s="847" t="n">
        <f aca="false">+H40*$S40</f>
        <v>0</v>
      </c>
      <c r="X40" s="847" t="n">
        <f aca="false">+I40*$S40</f>
        <v>0</v>
      </c>
      <c r="Y40" s="847" t="n">
        <f aca="false">+J40*$S40</f>
        <v>0</v>
      </c>
      <c r="Z40" s="847" t="n">
        <f aca="false">+K40*$S40</f>
        <v>0</v>
      </c>
      <c r="AA40" s="847" t="n">
        <f aca="false">+L40*$S40</f>
        <v>0</v>
      </c>
      <c r="AB40" s="847" t="n">
        <f aca="false">+M40*$S40</f>
        <v>0</v>
      </c>
      <c r="AC40" s="847" t="n">
        <f aca="false">+N40*$S40</f>
        <v>0</v>
      </c>
      <c r="AD40" s="847" t="n">
        <f aca="false">+O40*$S40</f>
        <v>0</v>
      </c>
      <c r="AE40" s="848" t="n">
        <f aca="false">+P40*$S40</f>
        <v>0</v>
      </c>
    </row>
    <row r="41" customFormat="false" ht="11.25" hidden="false" customHeight="false" outlineLevel="0" collapsed="false">
      <c r="A41" s="835"/>
      <c r="B41" s="843" t="e">
        <f aca="false">+#REF!</f>
        <v>#REF!</v>
      </c>
      <c r="C41" s="844" t="e">
        <f aca="false">+#REF!</f>
        <v>#REF!</v>
      </c>
      <c r="D41" s="291" t="e">
        <f aca="false">+#REF!</f>
        <v>#REF!</v>
      </c>
      <c r="E41" s="845"/>
      <c r="F41" s="845"/>
      <c r="G41" s="845"/>
      <c r="H41" s="845"/>
      <c r="I41" s="845"/>
      <c r="J41" s="845"/>
      <c r="K41" s="845"/>
      <c r="L41" s="845"/>
      <c r="M41" s="845"/>
      <c r="N41" s="845"/>
      <c r="O41" s="845"/>
      <c r="P41" s="845"/>
      <c r="Q41" s="291" t="e">
        <f aca="false">+D41*12</f>
        <v>#REF!</v>
      </c>
      <c r="R41" s="846" t="e">
        <f aca="false">+Q41-SUM(E41:P41)</f>
        <v>#REF!</v>
      </c>
      <c r="S41" s="847" t="n">
        <f aca="false">+Insumos_Cotação!O48</f>
        <v>0</v>
      </c>
      <c r="T41" s="847" t="n">
        <f aca="false">+E41*$S41</f>
        <v>0</v>
      </c>
      <c r="U41" s="847" t="n">
        <f aca="false">+F41*$S41</f>
        <v>0</v>
      </c>
      <c r="V41" s="847" t="n">
        <f aca="false">+G41*$S41</f>
        <v>0</v>
      </c>
      <c r="W41" s="847" t="n">
        <f aca="false">+H41*$S41</f>
        <v>0</v>
      </c>
      <c r="X41" s="847" t="n">
        <f aca="false">+I41*$S41</f>
        <v>0</v>
      </c>
      <c r="Y41" s="847" t="n">
        <f aca="false">+J41*$S41</f>
        <v>0</v>
      </c>
      <c r="Z41" s="847" t="n">
        <f aca="false">+K41*$S41</f>
        <v>0</v>
      </c>
      <c r="AA41" s="847" t="n">
        <f aca="false">+L41*$S41</f>
        <v>0</v>
      </c>
      <c r="AB41" s="847" t="n">
        <f aca="false">+M41*$S41</f>
        <v>0</v>
      </c>
      <c r="AC41" s="847" t="n">
        <f aca="false">+N41*$S41</f>
        <v>0</v>
      </c>
      <c r="AD41" s="847" t="n">
        <f aca="false">+O41*$S41</f>
        <v>0</v>
      </c>
      <c r="AE41" s="848" t="n">
        <f aca="false">+P41*$S41</f>
        <v>0</v>
      </c>
    </row>
    <row r="42" customFormat="false" ht="11.25" hidden="false" customHeight="false" outlineLevel="0" collapsed="false">
      <c r="A42" s="835"/>
      <c r="B42" s="843" t="e">
        <f aca="false">+#REF!</f>
        <v>#REF!</v>
      </c>
      <c r="C42" s="844" t="e">
        <f aca="false">+#REF!</f>
        <v>#REF!</v>
      </c>
      <c r="D42" s="291" t="e">
        <f aca="false">+#REF!</f>
        <v>#REF!</v>
      </c>
      <c r="E42" s="845"/>
      <c r="F42" s="845"/>
      <c r="G42" s="845"/>
      <c r="H42" s="845"/>
      <c r="I42" s="845"/>
      <c r="J42" s="845"/>
      <c r="K42" s="845"/>
      <c r="L42" s="845"/>
      <c r="M42" s="845"/>
      <c r="N42" s="845"/>
      <c r="O42" s="845"/>
      <c r="P42" s="845"/>
      <c r="Q42" s="291" t="e">
        <f aca="false">+D42*12</f>
        <v>#REF!</v>
      </c>
      <c r="R42" s="846" t="e">
        <f aca="false">+Q42-SUM(E42:P42)</f>
        <v>#REF!</v>
      </c>
      <c r="S42" s="847" t="n">
        <f aca="false">+Insumos_Cotação!O49</f>
        <v>0</v>
      </c>
      <c r="T42" s="847" t="n">
        <f aca="false">+E42*$S42</f>
        <v>0</v>
      </c>
      <c r="U42" s="847" t="n">
        <f aca="false">+F42*$S42</f>
        <v>0</v>
      </c>
      <c r="V42" s="847" t="n">
        <f aca="false">+G42*$S42</f>
        <v>0</v>
      </c>
      <c r="W42" s="847" t="n">
        <f aca="false">+H42*$S42</f>
        <v>0</v>
      </c>
      <c r="X42" s="847" t="n">
        <f aca="false">+I42*$S42</f>
        <v>0</v>
      </c>
      <c r="Y42" s="847" t="n">
        <f aca="false">+J42*$S42</f>
        <v>0</v>
      </c>
      <c r="Z42" s="847" t="n">
        <f aca="false">+K42*$S42</f>
        <v>0</v>
      </c>
      <c r="AA42" s="847" t="n">
        <f aca="false">+L42*$S42</f>
        <v>0</v>
      </c>
      <c r="AB42" s="847" t="n">
        <f aca="false">+M42*$S42</f>
        <v>0</v>
      </c>
      <c r="AC42" s="847" t="n">
        <f aca="false">+N42*$S42</f>
        <v>0</v>
      </c>
      <c r="AD42" s="847" t="n">
        <f aca="false">+O42*$S42</f>
        <v>0</v>
      </c>
      <c r="AE42" s="848" t="n">
        <f aca="false">+P42*$S42</f>
        <v>0</v>
      </c>
    </row>
    <row r="43" customFormat="false" ht="11.25" hidden="false" customHeight="false" outlineLevel="0" collapsed="false">
      <c r="A43" s="835"/>
      <c r="B43" s="843" t="e">
        <f aca="false">+#REF!</f>
        <v>#REF!</v>
      </c>
      <c r="C43" s="844" t="e">
        <f aca="false">+#REF!</f>
        <v>#REF!</v>
      </c>
      <c r="D43" s="291" t="e">
        <f aca="false">+#REF!</f>
        <v>#REF!</v>
      </c>
      <c r="E43" s="845"/>
      <c r="F43" s="845"/>
      <c r="G43" s="845"/>
      <c r="H43" s="845"/>
      <c r="I43" s="845"/>
      <c r="J43" s="845"/>
      <c r="K43" s="845"/>
      <c r="L43" s="845"/>
      <c r="M43" s="845"/>
      <c r="N43" s="845"/>
      <c r="O43" s="845"/>
      <c r="P43" s="845"/>
      <c r="Q43" s="291" t="e">
        <f aca="false">+D43*12</f>
        <v>#REF!</v>
      </c>
      <c r="R43" s="846" t="e">
        <f aca="false">+Q43-SUM(E43:P43)</f>
        <v>#REF!</v>
      </c>
      <c r="S43" s="847" t="n">
        <f aca="false">+Insumos_Cotação!O50</f>
        <v>0</v>
      </c>
      <c r="T43" s="847" t="n">
        <f aca="false">+E43*$S43</f>
        <v>0</v>
      </c>
      <c r="U43" s="847" t="n">
        <f aca="false">+F43*$S43</f>
        <v>0</v>
      </c>
      <c r="V43" s="847" t="n">
        <f aca="false">+G43*$S43</f>
        <v>0</v>
      </c>
      <c r="W43" s="847" t="n">
        <f aca="false">+H43*$S43</f>
        <v>0</v>
      </c>
      <c r="X43" s="847" t="n">
        <f aca="false">+I43*$S43</f>
        <v>0</v>
      </c>
      <c r="Y43" s="847" t="n">
        <f aca="false">+J43*$S43</f>
        <v>0</v>
      </c>
      <c r="Z43" s="847" t="n">
        <f aca="false">+K43*$S43</f>
        <v>0</v>
      </c>
      <c r="AA43" s="847" t="n">
        <f aca="false">+L43*$S43</f>
        <v>0</v>
      </c>
      <c r="AB43" s="847" t="n">
        <f aca="false">+M43*$S43</f>
        <v>0</v>
      </c>
      <c r="AC43" s="847" t="n">
        <f aca="false">+N43*$S43</f>
        <v>0</v>
      </c>
      <c r="AD43" s="847" t="n">
        <f aca="false">+O43*$S43</f>
        <v>0</v>
      </c>
      <c r="AE43" s="848" t="n">
        <f aca="false">+P43*$S43</f>
        <v>0</v>
      </c>
    </row>
    <row r="44" customFormat="false" ht="11.25" hidden="false" customHeight="false" outlineLevel="0" collapsed="false">
      <c r="A44" s="835"/>
      <c r="B44" s="843" t="e">
        <f aca="false">+#REF!</f>
        <v>#REF!</v>
      </c>
      <c r="C44" s="844" t="e">
        <f aca="false">+#REF!</f>
        <v>#REF!</v>
      </c>
      <c r="D44" s="291" t="e">
        <f aca="false">+#REF!</f>
        <v>#REF!</v>
      </c>
      <c r="E44" s="845"/>
      <c r="F44" s="845"/>
      <c r="G44" s="845"/>
      <c r="H44" s="845"/>
      <c r="I44" s="845"/>
      <c r="J44" s="845"/>
      <c r="K44" s="845"/>
      <c r="L44" s="845"/>
      <c r="M44" s="845"/>
      <c r="N44" s="845"/>
      <c r="O44" s="845"/>
      <c r="P44" s="845"/>
      <c r="Q44" s="291" t="e">
        <f aca="false">+D44*12</f>
        <v>#REF!</v>
      </c>
      <c r="R44" s="846" t="e">
        <f aca="false">+Q44-SUM(E44:P44)</f>
        <v>#REF!</v>
      </c>
      <c r="S44" s="847" t="n">
        <f aca="false">+Insumos_Cotação!O51</f>
        <v>0</v>
      </c>
      <c r="T44" s="847" t="n">
        <f aca="false">+E44*$S44</f>
        <v>0</v>
      </c>
      <c r="U44" s="847" t="n">
        <f aca="false">+F44*$S44</f>
        <v>0</v>
      </c>
      <c r="V44" s="847" t="n">
        <f aca="false">+G44*$S44</f>
        <v>0</v>
      </c>
      <c r="W44" s="847" t="n">
        <f aca="false">+H44*$S44</f>
        <v>0</v>
      </c>
      <c r="X44" s="847" t="n">
        <f aca="false">+I44*$S44</f>
        <v>0</v>
      </c>
      <c r="Y44" s="847" t="n">
        <f aca="false">+J44*$S44</f>
        <v>0</v>
      </c>
      <c r="Z44" s="847" t="n">
        <f aca="false">+K44*$S44</f>
        <v>0</v>
      </c>
      <c r="AA44" s="847" t="n">
        <f aca="false">+L44*$S44</f>
        <v>0</v>
      </c>
      <c r="AB44" s="847" t="n">
        <f aca="false">+M44*$S44</f>
        <v>0</v>
      </c>
      <c r="AC44" s="847" t="n">
        <f aca="false">+N44*$S44</f>
        <v>0</v>
      </c>
      <c r="AD44" s="847" t="n">
        <f aca="false">+O44*$S44</f>
        <v>0</v>
      </c>
      <c r="AE44" s="848" t="n">
        <f aca="false">+P44*$S44</f>
        <v>0</v>
      </c>
    </row>
    <row r="45" customFormat="false" ht="11.25" hidden="false" customHeight="false" outlineLevel="0" collapsed="false">
      <c r="A45" s="835"/>
      <c r="B45" s="843" t="e">
        <f aca="false">+#REF!</f>
        <v>#REF!</v>
      </c>
      <c r="C45" s="844" t="e">
        <f aca="false">+#REF!</f>
        <v>#REF!</v>
      </c>
      <c r="D45" s="291" t="e">
        <f aca="false">+#REF!</f>
        <v>#REF!</v>
      </c>
      <c r="E45" s="845"/>
      <c r="F45" s="845"/>
      <c r="G45" s="845"/>
      <c r="H45" s="845"/>
      <c r="I45" s="845"/>
      <c r="J45" s="845"/>
      <c r="K45" s="845"/>
      <c r="L45" s="845"/>
      <c r="M45" s="845"/>
      <c r="N45" s="845"/>
      <c r="O45" s="845"/>
      <c r="P45" s="845"/>
      <c r="Q45" s="291" t="e">
        <f aca="false">+D45*12</f>
        <v>#REF!</v>
      </c>
      <c r="R45" s="846" t="e">
        <f aca="false">+Q45-SUM(E45:P45)</f>
        <v>#REF!</v>
      </c>
      <c r="S45" s="847" t="n">
        <f aca="false">+Insumos_Cotação!O52</f>
        <v>0</v>
      </c>
      <c r="T45" s="847" t="n">
        <f aca="false">+E45*$S45</f>
        <v>0</v>
      </c>
      <c r="U45" s="847" t="n">
        <f aca="false">+F45*$S45</f>
        <v>0</v>
      </c>
      <c r="V45" s="847" t="n">
        <f aca="false">+G45*$S45</f>
        <v>0</v>
      </c>
      <c r="W45" s="847" t="n">
        <f aca="false">+H45*$S45</f>
        <v>0</v>
      </c>
      <c r="X45" s="847" t="n">
        <f aca="false">+I45*$S45</f>
        <v>0</v>
      </c>
      <c r="Y45" s="847" t="n">
        <f aca="false">+J45*$S45</f>
        <v>0</v>
      </c>
      <c r="Z45" s="847" t="n">
        <f aca="false">+K45*$S45</f>
        <v>0</v>
      </c>
      <c r="AA45" s="847" t="n">
        <f aca="false">+L45*$S45</f>
        <v>0</v>
      </c>
      <c r="AB45" s="847" t="n">
        <f aca="false">+M45*$S45</f>
        <v>0</v>
      </c>
      <c r="AC45" s="847" t="n">
        <f aca="false">+N45*$S45</f>
        <v>0</v>
      </c>
      <c r="AD45" s="847" t="n">
        <f aca="false">+O45*$S45</f>
        <v>0</v>
      </c>
      <c r="AE45" s="848" t="n">
        <f aca="false">+P45*$S45</f>
        <v>0</v>
      </c>
    </row>
    <row r="46" customFormat="false" ht="11.25" hidden="false" customHeight="false" outlineLevel="0" collapsed="false">
      <c r="A46" s="835"/>
      <c r="B46" s="843" t="e">
        <f aca="false">+#REF!</f>
        <v>#REF!</v>
      </c>
      <c r="C46" s="844" t="e">
        <f aca="false">+#REF!</f>
        <v>#REF!</v>
      </c>
      <c r="D46" s="291" t="e">
        <f aca="false">+#REF!</f>
        <v>#REF!</v>
      </c>
      <c r="E46" s="845"/>
      <c r="F46" s="845"/>
      <c r="G46" s="845"/>
      <c r="H46" s="845"/>
      <c r="I46" s="845"/>
      <c r="J46" s="845"/>
      <c r="K46" s="845"/>
      <c r="L46" s="845"/>
      <c r="M46" s="845"/>
      <c r="N46" s="845"/>
      <c r="O46" s="845"/>
      <c r="P46" s="845"/>
      <c r="Q46" s="291" t="e">
        <f aca="false">+D46*12</f>
        <v>#REF!</v>
      </c>
      <c r="R46" s="846" t="e">
        <f aca="false">+Q46-SUM(E46:P46)</f>
        <v>#REF!</v>
      </c>
      <c r="S46" s="847" t="n">
        <f aca="false">+Insumos_Cotação!O53</f>
        <v>0</v>
      </c>
      <c r="T46" s="847" t="n">
        <f aca="false">+E46*$S46</f>
        <v>0</v>
      </c>
      <c r="U46" s="847" t="n">
        <f aca="false">+F46*$S46</f>
        <v>0</v>
      </c>
      <c r="V46" s="847" t="n">
        <f aca="false">+G46*$S46</f>
        <v>0</v>
      </c>
      <c r="W46" s="847" t="n">
        <f aca="false">+H46*$S46</f>
        <v>0</v>
      </c>
      <c r="X46" s="847" t="n">
        <f aca="false">+I46*$S46</f>
        <v>0</v>
      </c>
      <c r="Y46" s="847" t="n">
        <f aca="false">+J46*$S46</f>
        <v>0</v>
      </c>
      <c r="Z46" s="847" t="n">
        <f aca="false">+K46*$S46</f>
        <v>0</v>
      </c>
      <c r="AA46" s="847" t="n">
        <f aca="false">+L46*$S46</f>
        <v>0</v>
      </c>
      <c r="AB46" s="847" t="n">
        <f aca="false">+M46*$S46</f>
        <v>0</v>
      </c>
      <c r="AC46" s="847" t="n">
        <f aca="false">+N46*$S46</f>
        <v>0</v>
      </c>
      <c r="AD46" s="847" t="n">
        <f aca="false">+O46*$S46</f>
        <v>0</v>
      </c>
      <c r="AE46" s="848" t="n">
        <f aca="false">+P46*$S46</f>
        <v>0</v>
      </c>
    </row>
    <row r="47" customFormat="false" ht="11.25" hidden="false" customHeight="false" outlineLevel="0" collapsed="false">
      <c r="A47" s="835"/>
      <c r="B47" s="843" t="e">
        <f aca="false">+#REF!</f>
        <v>#REF!</v>
      </c>
      <c r="C47" s="844" t="e">
        <f aca="false">+#REF!</f>
        <v>#REF!</v>
      </c>
      <c r="D47" s="291" t="e">
        <f aca="false">+#REF!</f>
        <v>#REF!</v>
      </c>
      <c r="E47" s="845"/>
      <c r="F47" s="845"/>
      <c r="G47" s="845"/>
      <c r="H47" s="845"/>
      <c r="I47" s="845"/>
      <c r="J47" s="845"/>
      <c r="K47" s="845"/>
      <c r="L47" s="845"/>
      <c r="M47" s="845"/>
      <c r="N47" s="845"/>
      <c r="O47" s="845"/>
      <c r="P47" s="845"/>
      <c r="Q47" s="291" t="e">
        <f aca="false">+D47*12</f>
        <v>#REF!</v>
      </c>
      <c r="R47" s="846" t="e">
        <f aca="false">+Q47-SUM(E47:P47)</f>
        <v>#REF!</v>
      </c>
      <c r="S47" s="847" t="n">
        <f aca="false">+Insumos_Cotação!O54</f>
        <v>0</v>
      </c>
      <c r="T47" s="847" t="n">
        <f aca="false">+E47*$S47</f>
        <v>0</v>
      </c>
      <c r="U47" s="847" t="n">
        <f aca="false">+F47*$S47</f>
        <v>0</v>
      </c>
      <c r="V47" s="847" t="n">
        <f aca="false">+G47*$S47</f>
        <v>0</v>
      </c>
      <c r="W47" s="847" t="n">
        <f aca="false">+H47*$S47</f>
        <v>0</v>
      </c>
      <c r="X47" s="847" t="n">
        <f aca="false">+I47*$S47</f>
        <v>0</v>
      </c>
      <c r="Y47" s="847" t="n">
        <f aca="false">+J47*$S47</f>
        <v>0</v>
      </c>
      <c r="Z47" s="847" t="n">
        <f aca="false">+K47*$S47</f>
        <v>0</v>
      </c>
      <c r="AA47" s="847" t="n">
        <f aca="false">+L47*$S47</f>
        <v>0</v>
      </c>
      <c r="AB47" s="847" t="n">
        <f aca="false">+M47*$S47</f>
        <v>0</v>
      </c>
      <c r="AC47" s="847" t="n">
        <f aca="false">+N47*$S47</f>
        <v>0</v>
      </c>
      <c r="AD47" s="847" t="n">
        <f aca="false">+O47*$S47</f>
        <v>0</v>
      </c>
      <c r="AE47" s="848" t="n">
        <f aca="false">+P47*$S47</f>
        <v>0</v>
      </c>
    </row>
    <row r="48" customFormat="false" ht="11.25" hidden="false" customHeight="false" outlineLevel="0" collapsed="false">
      <c r="A48" s="835"/>
      <c r="B48" s="843" t="e">
        <f aca="false">+#REF!</f>
        <v>#REF!</v>
      </c>
      <c r="C48" s="844" t="e">
        <f aca="false">+#REF!</f>
        <v>#REF!</v>
      </c>
      <c r="D48" s="291" t="e">
        <f aca="false">+#REF!</f>
        <v>#REF!</v>
      </c>
      <c r="E48" s="845"/>
      <c r="F48" s="845"/>
      <c r="G48" s="845"/>
      <c r="H48" s="845"/>
      <c r="I48" s="845"/>
      <c r="J48" s="845"/>
      <c r="K48" s="845"/>
      <c r="L48" s="845"/>
      <c r="M48" s="845"/>
      <c r="N48" s="845"/>
      <c r="O48" s="845"/>
      <c r="P48" s="845"/>
      <c r="Q48" s="291" t="e">
        <f aca="false">+D48*12</f>
        <v>#REF!</v>
      </c>
      <c r="R48" s="846" t="e">
        <f aca="false">+Q48-SUM(E48:P48)</f>
        <v>#REF!</v>
      </c>
      <c r="S48" s="847" t="n">
        <f aca="false">+Insumos_Cotação!O55</f>
        <v>0</v>
      </c>
      <c r="T48" s="847" t="n">
        <f aca="false">+E48*$S48</f>
        <v>0</v>
      </c>
      <c r="U48" s="847" t="n">
        <f aca="false">+F48*$S48</f>
        <v>0</v>
      </c>
      <c r="V48" s="847" t="n">
        <f aca="false">+G48*$S48</f>
        <v>0</v>
      </c>
      <c r="W48" s="847" t="n">
        <f aca="false">+H48*$S48</f>
        <v>0</v>
      </c>
      <c r="X48" s="847" t="n">
        <f aca="false">+I48*$S48</f>
        <v>0</v>
      </c>
      <c r="Y48" s="847" t="n">
        <f aca="false">+J48*$S48</f>
        <v>0</v>
      </c>
      <c r="Z48" s="847" t="n">
        <f aca="false">+K48*$S48</f>
        <v>0</v>
      </c>
      <c r="AA48" s="847" t="n">
        <f aca="false">+L48*$S48</f>
        <v>0</v>
      </c>
      <c r="AB48" s="847" t="n">
        <f aca="false">+M48*$S48</f>
        <v>0</v>
      </c>
      <c r="AC48" s="847" t="n">
        <f aca="false">+N48*$S48</f>
        <v>0</v>
      </c>
      <c r="AD48" s="847" t="n">
        <f aca="false">+O48*$S48</f>
        <v>0</v>
      </c>
      <c r="AE48" s="848" t="n">
        <f aca="false">+P48*$S48</f>
        <v>0</v>
      </c>
    </row>
    <row r="49" customFormat="false" ht="11.25" hidden="false" customHeight="false" outlineLevel="0" collapsed="false">
      <c r="A49" s="835"/>
      <c r="B49" s="843" t="e">
        <f aca="false">+#REF!</f>
        <v>#REF!</v>
      </c>
      <c r="C49" s="844" t="e">
        <f aca="false">+#REF!</f>
        <v>#REF!</v>
      </c>
      <c r="D49" s="291" t="e">
        <f aca="false">+#REF!</f>
        <v>#REF!</v>
      </c>
      <c r="E49" s="845"/>
      <c r="F49" s="845"/>
      <c r="G49" s="845"/>
      <c r="H49" s="845"/>
      <c r="I49" s="845"/>
      <c r="J49" s="845"/>
      <c r="K49" s="845"/>
      <c r="L49" s="845"/>
      <c r="M49" s="845"/>
      <c r="N49" s="845"/>
      <c r="O49" s="845"/>
      <c r="P49" s="845"/>
      <c r="Q49" s="291" t="e">
        <f aca="false">+D49*12</f>
        <v>#REF!</v>
      </c>
      <c r="R49" s="846" t="e">
        <f aca="false">+Q49-SUM(E49:P49)</f>
        <v>#REF!</v>
      </c>
      <c r="S49" s="847" t="n">
        <f aca="false">+Insumos_Cotação!O56</f>
        <v>0</v>
      </c>
      <c r="T49" s="847" t="n">
        <f aca="false">+E49*$S49</f>
        <v>0</v>
      </c>
      <c r="U49" s="847" t="n">
        <f aca="false">+F49*$S49</f>
        <v>0</v>
      </c>
      <c r="V49" s="847" t="n">
        <f aca="false">+G49*$S49</f>
        <v>0</v>
      </c>
      <c r="W49" s="847" t="n">
        <f aca="false">+H49*$S49</f>
        <v>0</v>
      </c>
      <c r="X49" s="847" t="n">
        <f aca="false">+I49*$S49</f>
        <v>0</v>
      </c>
      <c r="Y49" s="847" t="n">
        <f aca="false">+J49*$S49</f>
        <v>0</v>
      </c>
      <c r="Z49" s="847" t="n">
        <f aca="false">+K49*$S49</f>
        <v>0</v>
      </c>
      <c r="AA49" s="847" t="n">
        <f aca="false">+L49*$S49</f>
        <v>0</v>
      </c>
      <c r="AB49" s="847" t="n">
        <f aca="false">+M49*$S49</f>
        <v>0</v>
      </c>
      <c r="AC49" s="847" t="n">
        <f aca="false">+N49*$S49</f>
        <v>0</v>
      </c>
      <c r="AD49" s="847" t="n">
        <f aca="false">+O49*$S49</f>
        <v>0</v>
      </c>
      <c r="AE49" s="848" t="n">
        <f aca="false">+P49*$S49</f>
        <v>0</v>
      </c>
    </row>
    <row r="50" customFormat="false" ht="11.25" hidden="false" customHeight="false" outlineLevel="0" collapsed="false">
      <c r="A50" s="835"/>
      <c r="B50" s="843" t="e">
        <f aca="false">+#REF!</f>
        <v>#REF!</v>
      </c>
      <c r="C50" s="844" t="e">
        <f aca="false">+#REF!</f>
        <v>#REF!</v>
      </c>
      <c r="D50" s="291" t="e">
        <f aca="false">+#REF!</f>
        <v>#REF!</v>
      </c>
      <c r="E50" s="845"/>
      <c r="F50" s="845"/>
      <c r="G50" s="845"/>
      <c r="H50" s="845"/>
      <c r="I50" s="845"/>
      <c r="J50" s="845"/>
      <c r="K50" s="845"/>
      <c r="L50" s="845"/>
      <c r="M50" s="845"/>
      <c r="N50" s="845"/>
      <c r="O50" s="845"/>
      <c r="P50" s="845"/>
      <c r="Q50" s="291" t="e">
        <f aca="false">+D50*12</f>
        <v>#REF!</v>
      </c>
      <c r="R50" s="846" t="e">
        <f aca="false">+Q50-SUM(E50:P50)</f>
        <v>#REF!</v>
      </c>
      <c r="S50" s="847" t="n">
        <f aca="false">+Insumos_Cotação!O57</f>
        <v>0</v>
      </c>
      <c r="T50" s="847" t="n">
        <f aca="false">+E50*$S50</f>
        <v>0</v>
      </c>
      <c r="U50" s="847" t="n">
        <f aca="false">+F50*$S50</f>
        <v>0</v>
      </c>
      <c r="V50" s="847" t="n">
        <f aca="false">+G50*$S50</f>
        <v>0</v>
      </c>
      <c r="W50" s="847" t="n">
        <f aca="false">+H50*$S50</f>
        <v>0</v>
      </c>
      <c r="X50" s="847" t="n">
        <f aca="false">+I50*$S50</f>
        <v>0</v>
      </c>
      <c r="Y50" s="847" t="n">
        <f aca="false">+J50*$S50</f>
        <v>0</v>
      </c>
      <c r="Z50" s="847" t="n">
        <f aca="false">+K50*$S50</f>
        <v>0</v>
      </c>
      <c r="AA50" s="847" t="n">
        <f aca="false">+L50*$S50</f>
        <v>0</v>
      </c>
      <c r="AB50" s="847" t="n">
        <f aca="false">+M50*$S50</f>
        <v>0</v>
      </c>
      <c r="AC50" s="847" t="n">
        <f aca="false">+N50*$S50</f>
        <v>0</v>
      </c>
      <c r="AD50" s="847" t="n">
        <f aca="false">+O50*$S50</f>
        <v>0</v>
      </c>
      <c r="AE50" s="848" t="n">
        <f aca="false">+P50*$S50</f>
        <v>0</v>
      </c>
    </row>
    <row r="51" customFormat="false" ht="11.25" hidden="false" customHeight="true" outlineLevel="0" collapsed="false">
      <c r="A51" s="835"/>
      <c r="B51" s="843" t="e">
        <f aca="false">+#REF!</f>
        <v>#REF!</v>
      </c>
      <c r="C51" s="844" t="e">
        <f aca="false">+#REF!</f>
        <v>#REF!</v>
      </c>
      <c r="D51" s="291" t="e">
        <f aca="false">+#REF!</f>
        <v>#REF!</v>
      </c>
      <c r="E51" s="845"/>
      <c r="F51" s="845"/>
      <c r="G51" s="845"/>
      <c r="H51" s="845"/>
      <c r="I51" s="845"/>
      <c r="J51" s="845"/>
      <c r="K51" s="845"/>
      <c r="L51" s="845"/>
      <c r="M51" s="845"/>
      <c r="N51" s="845"/>
      <c r="O51" s="845"/>
      <c r="P51" s="845"/>
      <c r="Q51" s="291" t="e">
        <f aca="false">+D51*12</f>
        <v>#REF!</v>
      </c>
      <c r="R51" s="846" t="e">
        <f aca="false">+Q51-SUM(E51:P51)</f>
        <v>#REF!</v>
      </c>
      <c r="S51" s="847" t="n">
        <f aca="false">+Insumos_Cotação!O58</f>
        <v>0</v>
      </c>
      <c r="T51" s="847" t="n">
        <f aca="false">+E51*$S51</f>
        <v>0</v>
      </c>
      <c r="U51" s="847" t="n">
        <f aca="false">+F51*$S51</f>
        <v>0</v>
      </c>
      <c r="V51" s="847" t="n">
        <f aca="false">+G51*$S51</f>
        <v>0</v>
      </c>
      <c r="W51" s="847" t="n">
        <f aca="false">+H51*$S51</f>
        <v>0</v>
      </c>
      <c r="X51" s="847" t="n">
        <f aca="false">+I51*$S51</f>
        <v>0</v>
      </c>
      <c r="Y51" s="847" t="n">
        <f aca="false">+J51*$S51</f>
        <v>0</v>
      </c>
      <c r="Z51" s="847" t="n">
        <f aca="false">+K51*$S51</f>
        <v>0</v>
      </c>
      <c r="AA51" s="847" t="n">
        <f aca="false">+L51*$S51</f>
        <v>0</v>
      </c>
      <c r="AB51" s="847" t="n">
        <f aca="false">+M51*$S51</f>
        <v>0</v>
      </c>
      <c r="AC51" s="847" t="n">
        <f aca="false">+N51*$S51</f>
        <v>0</v>
      </c>
      <c r="AD51" s="847" t="n">
        <f aca="false">+O51*$S51</f>
        <v>0</v>
      </c>
      <c r="AE51" s="848" t="n">
        <f aca="false">+P51*$S51</f>
        <v>0</v>
      </c>
    </row>
    <row r="52" customFormat="false" ht="11.25" hidden="false" customHeight="true" outlineLevel="0" collapsed="false">
      <c r="A52" s="835"/>
      <c r="B52" s="843" t="e">
        <f aca="false">+#REF!</f>
        <v>#REF!</v>
      </c>
      <c r="C52" s="844" t="e">
        <f aca="false">+#REF!</f>
        <v>#REF!</v>
      </c>
      <c r="D52" s="291" t="e">
        <f aca="false">+#REF!</f>
        <v>#REF!</v>
      </c>
      <c r="E52" s="845"/>
      <c r="F52" s="845"/>
      <c r="G52" s="845"/>
      <c r="H52" s="845"/>
      <c r="I52" s="845"/>
      <c r="J52" s="845"/>
      <c r="K52" s="845"/>
      <c r="L52" s="845"/>
      <c r="M52" s="845"/>
      <c r="N52" s="845"/>
      <c r="O52" s="845"/>
      <c r="P52" s="845"/>
      <c r="Q52" s="291" t="e">
        <f aca="false">+D52*12</f>
        <v>#REF!</v>
      </c>
      <c r="R52" s="846" t="e">
        <f aca="false">+Q52-SUM(E52:P52)</f>
        <v>#REF!</v>
      </c>
      <c r="S52" s="847" t="n">
        <f aca="false">+Insumos_Cotação!O59</f>
        <v>0</v>
      </c>
      <c r="T52" s="847" t="n">
        <f aca="false">+E52*$S52</f>
        <v>0</v>
      </c>
      <c r="U52" s="847" t="n">
        <f aca="false">+F52*$S52</f>
        <v>0</v>
      </c>
      <c r="V52" s="847" t="n">
        <f aca="false">+G52*$S52</f>
        <v>0</v>
      </c>
      <c r="W52" s="847" t="n">
        <f aca="false">+H52*$S52</f>
        <v>0</v>
      </c>
      <c r="X52" s="847" t="n">
        <f aca="false">+I52*$S52</f>
        <v>0</v>
      </c>
      <c r="Y52" s="847" t="n">
        <f aca="false">+J52*$S52</f>
        <v>0</v>
      </c>
      <c r="Z52" s="847" t="n">
        <f aca="false">+K52*$S52</f>
        <v>0</v>
      </c>
      <c r="AA52" s="847" t="n">
        <f aca="false">+L52*$S52</f>
        <v>0</v>
      </c>
      <c r="AB52" s="847" t="n">
        <f aca="false">+M52*$S52</f>
        <v>0</v>
      </c>
      <c r="AC52" s="847" t="n">
        <f aca="false">+N52*$S52</f>
        <v>0</v>
      </c>
      <c r="AD52" s="847" t="n">
        <f aca="false">+O52*$S52</f>
        <v>0</v>
      </c>
      <c r="AE52" s="848" t="n">
        <f aca="false">+P52*$S52</f>
        <v>0</v>
      </c>
    </row>
    <row r="53" customFormat="false" ht="11.25" hidden="false" customHeight="true" outlineLevel="0" collapsed="false">
      <c r="A53" s="835"/>
      <c r="B53" s="843" t="e">
        <f aca="false">+#REF!</f>
        <v>#REF!</v>
      </c>
      <c r="C53" s="844" t="e">
        <f aca="false">+#REF!</f>
        <v>#REF!</v>
      </c>
      <c r="D53" s="291" t="e">
        <f aca="false">+#REF!</f>
        <v>#REF!</v>
      </c>
      <c r="E53" s="845"/>
      <c r="F53" s="845"/>
      <c r="G53" s="845"/>
      <c r="H53" s="845"/>
      <c r="I53" s="845"/>
      <c r="J53" s="845"/>
      <c r="K53" s="845"/>
      <c r="L53" s="845"/>
      <c r="M53" s="845"/>
      <c r="N53" s="845"/>
      <c r="O53" s="845"/>
      <c r="P53" s="845"/>
      <c r="Q53" s="291" t="e">
        <f aca="false">+D53*12</f>
        <v>#REF!</v>
      </c>
      <c r="R53" s="846" t="e">
        <f aca="false">+Q53-SUM(E53:P53)</f>
        <v>#REF!</v>
      </c>
      <c r="S53" s="847" t="n">
        <f aca="false">+Insumos_Cotação!O60</f>
        <v>0</v>
      </c>
      <c r="T53" s="847" t="n">
        <f aca="false">+E53*$S53</f>
        <v>0</v>
      </c>
      <c r="U53" s="847" t="n">
        <f aca="false">+F53*$S53</f>
        <v>0</v>
      </c>
      <c r="V53" s="847" t="n">
        <f aca="false">+G53*$S53</f>
        <v>0</v>
      </c>
      <c r="W53" s="847" t="n">
        <f aca="false">+H53*$S53</f>
        <v>0</v>
      </c>
      <c r="X53" s="847" t="n">
        <f aca="false">+I53*$S53</f>
        <v>0</v>
      </c>
      <c r="Y53" s="847" t="n">
        <f aca="false">+J53*$S53</f>
        <v>0</v>
      </c>
      <c r="Z53" s="847" t="n">
        <f aca="false">+K53*$S53</f>
        <v>0</v>
      </c>
      <c r="AA53" s="847" t="n">
        <f aca="false">+L53*$S53</f>
        <v>0</v>
      </c>
      <c r="AB53" s="847" t="n">
        <f aca="false">+M53*$S53</f>
        <v>0</v>
      </c>
      <c r="AC53" s="847" t="n">
        <f aca="false">+N53*$S53</f>
        <v>0</v>
      </c>
      <c r="AD53" s="847" t="n">
        <f aca="false">+O53*$S53</f>
        <v>0</v>
      </c>
      <c r="AE53" s="848" t="n">
        <f aca="false">+P53*$S53</f>
        <v>0</v>
      </c>
    </row>
    <row r="54" customFormat="false" ht="11.25" hidden="false" customHeight="true" outlineLevel="0" collapsed="false">
      <c r="A54" s="835"/>
      <c r="B54" s="843" t="e">
        <f aca="false">+#REF!</f>
        <v>#REF!</v>
      </c>
      <c r="C54" s="844" t="e">
        <f aca="false">+#REF!</f>
        <v>#REF!</v>
      </c>
      <c r="D54" s="291" t="e">
        <f aca="false">+#REF!</f>
        <v>#REF!</v>
      </c>
      <c r="E54" s="845"/>
      <c r="F54" s="845"/>
      <c r="G54" s="845"/>
      <c r="H54" s="845"/>
      <c r="I54" s="845"/>
      <c r="J54" s="845"/>
      <c r="K54" s="845"/>
      <c r="L54" s="845"/>
      <c r="M54" s="845"/>
      <c r="N54" s="845"/>
      <c r="O54" s="845"/>
      <c r="P54" s="845"/>
      <c r="Q54" s="291" t="e">
        <f aca="false">+D54*12</f>
        <v>#REF!</v>
      </c>
      <c r="R54" s="846" t="e">
        <f aca="false">+Q54-SUM(E54:P54)</f>
        <v>#REF!</v>
      </c>
      <c r="S54" s="847" t="n">
        <f aca="false">+Insumos_Cotação!O61</f>
        <v>0</v>
      </c>
      <c r="T54" s="847" t="n">
        <f aca="false">+E54*$S54</f>
        <v>0</v>
      </c>
      <c r="U54" s="847" t="n">
        <f aca="false">+F54*$S54</f>
        <v>0</v>
      </c>
      <c r="V54" s="847" t="n">
        <f aca="false">+G54*$S54</f>
        <v>0</v>
      </c>
      <c r="W54" s="847" t="n">
        <f aca="false">+H54*$S54</f>
        <v>0</v>
      </c>
      <c r="X54" s="847" t="n">
        <f aca="false">+I54*$S54</f>
        <v>0</v>
      </c>
      <c r="Y54" s="847" t="n">
        <f aca="false">+J54*$S54</f>
        <v>0</v>
      </c>
      <c r="Z54" s="847" t="n">
        <f aca="false">+K54*$S54</f>
        <v>0</v>
      </c>
      <c r="AA54" s="847" t="n">
        <f aca="false">+L54*$S54</f>
        <v>0</v>
      </c>
      <c r="AB54" s="847" t="n">
        <f aca="false">+M54*$S54</f>
        <v>0</v>
      </c>
      <c r="AC54" s="847" t="n">
        <f aca="false">+N54*$S54</f>
        <v>0</v>
      </c>
      <c r="AD54" s="847" t="n">
        <f aca="false">+O54*$S54</f>
        <v>0</v>
      </c>
      <c r="AE54" s="848" t="n">
        <f aca="false">+P54*$S54</f>
        <v>0</v>
      </c>
    </row>
    <row r="55" customFormat="false" ht="11.25" hidden="false" customHeight="true" outlineLevel="0" collapsed="false">
      <c r="A55" s="835"/>
      <c r="B55" s="843" t="e">
        <f aca="false">+#REF!</f>
        <v>#REF!</v>
      </c>
      <c r="C55" s="844" t="e">
        <f aca="false">+#REF!</f>
        <v>#REF!</v>
      </c>
      <c r="D55" s="291" t="e">
        <f aca="false">+#REF!</f>
        <v>#REF!</v>
      </c>
      <c r="E55" s="845"/>
      <c r="F55" s="845"/>
      <c r="G55" s="845"/>
      <c r="H55" s="845"/>
      <c r="I55" s="845"/>
      <c r="J55" s="845"/>
      <c r="K55" s="845"/>
      <c r="L55" s="845"/>
      <c r="M55" s="845"/>
      <c r="N55" s="845"/>
      <c r="O55" s="845"/>
      <c r="P55" s="845"/>
      <c r="Q55" s="291" t="e">
        <f aca="false">+D55*12</f>
        <v>#REF!</v>
      </c>
      <c r="R55" s="846" t="e">
        <f aca="false">+Q55-SUM(E55:P55)</f>
        <v>#REF!</v>
      </c>
      <c r="S55" s="847" t="n">
        <f aca="false">+Insumos_Cotação!O62</f>
        <v>0</v>
      </c>
      <c r="T55" s="847" t="n">
        <f aca="false">+E55*$S55</f>
        <v>0</v>
      </c>
      <c r="U55" s="847" t="n">
        <f aca="false">+F55*$S55</f>
        <v>0</v>
      </c>
      <c r="V55" s="847" t="n">
        <f aca="false">+G55*$S55</f>
        <v>0</v>
      </c>
      <c r="W55" s="847" t="n">
        <f aca="false">+H55*$S55</f>
        <v>0</v>
      </c>
      <c r="X55" s="847" t="n">
        <f aca="false">+I55*$S55</f>
        <v>0</v>
      </c>
      <c r="Y55" s="847" t="n">
        <f aca="false">+J55*$S55</f>
        <v>0</v>
      </c>
      <c r="Z55" s="847" t="n">
        <f aca="false">+K55*$S55</f>
        <v>0</v>
      </c>
      <c r="AA55" s="847" t="n">
        <f aca="false">+L55*$S55</f>
        <v>0</v>
      </c>
      <c r="AB55" s="847" t="n">
        <f aca="false">+M55*$S55</f>
        <v>0</v>
      </c>
      <c r="AC55" s="847" t="n">
        <f aca="false">+N55*$S55</f>
        <v>0</v>
      </c>
      <c r="AD55" s="847" t="n">
        <f aca="false">+O55*$S55</f>
        <v>0</v>
      </c>
      <c r="AE55" s="848" t="n">
        <f aca="false">+P55*$S55</f>
        <v>0</v>
      </c>
    </row>
    <row r="56" customFormat="false" ht="11.25" hidden="false" customHeight="true" outlineLevel="0" collapsed="false">
      <c r="A56" s="835"/>
      <c r="B56" s="843" t="e">
        <f aca="false">+#REF!</f>
        <v>#REF!</v>
      </c>
      <c r="C56" s="844" t="e">
        <f aca="false">+#REF!</f>
        <v>#REF!</v>
      </c>
      <c r="D56" s="291" t="e">
        <f aca="false">+#REF!</f>
        <v>#REF!</v>
      </c>
      <c r="E56" s="845"/>
      <c r="F56" s="845"/>
      <c r="G56" s="845"/>
      <c r="H56" s="845"/>
      <c r="I56" s="845"/>
      <c r="J56" s="845"/>
      <c r="K56" s="845"/>
      <c r="L56" s="845"/>
      <c r="M56" s="845"/>
      <c r="N56" s="845"/>
      <c r="O56" s="845"/>
      <c r="P56" s="845"/>
      <c r="Q56" s="291" t="e">
        <f aca="false">+D56*12</f>
        <v>#REF!</v>
      </c>
      <c r="R56" s="846" t="e">
        <f aca="false">+Q56-SUM(E56:P56)</f>
        <v>#REF!</v>
      </c>
      <c r="S56" s="847" t="n">
        <f aca="false">+Insumos_Cotação!O63</f>
        <v>0</v>
      </c>
      <c r="T56" s="847" t="n">
        <f aca="false">+E56*$S56</f>
        <v>0</v>
      </c>
      <c r="U56" s="847" t="n">
        <f aca="false">+F56*$S56</f>
        <v>0</v>
      </c>
      <c r="V56" s="847" t="n">
        <f aca="false">+G56*$S56</f>
        <v>0</v>
      </c>
      <c r="W56" s="847" t="n">
        <f aca="false">+H56*$S56</f>
        <v>0</v>
      </c>
      <c r="X56" s="847" t="n">
        <f aca="false">+I56*$S56</f>
        <v>0</v>
      </c>
      <c r="Y56" s="847" t="n">
        <f aca="false">+J56*$S56</f>
        <v>0</v>
      </c>
      <c r="Z56" s="847" t="n">
        <f aca="false">+K56*$S56</f>
        <v>0</v>
      </c>
      <c r="AA56" s="847" t="n">
        <f aca="false">+L56*$S56</f>
        <v>0</v>
      </c>
      <c r="AB56" s="847" t="n">
        <f aca="false">+M56*$S56</f>
        <v>0</v>
      </c>
      <c r="AC56" s="847" t="n">
        <f aca="false">+N56*$S56</f>
        <v>0</v>
      </c>
      <c r="AD56" s="847" t="n">
        <f aca="false">+O56*$S56</f>
        <v>0</v>
      </c>
      <c r="AE56" s="848" t="n">
        <f aca="false">+P56*$S56</f>
        <v>0</v>
      </c>
    </row>
    <row r="57" customFormat="false" ht="11.25" hidden="false" customHeight="true" outlineLevel="0" collapsed="false">
      <c r="A57" s="835"/>
      <c r="B57" s="843" t="e">
        <f aca="false">+#REF!</f>
        <v>#REF!</v>
      </c>
      <c r="C57" s="844" t="e">
        <f aca="false">+#REF!</f>
        <v>#REF!</v>
      </c>
      <c r="D57" s="291" t="e">
        <f aca="false">+#REF!</f>
        <v>#REF!</v>
      </c>
      <c r="E57" s="845"/>
      <c r="F57" s="845"/>
      <c r="G57" s="845"/>
      <c r="H57" s="845"/>
      <c r="I57" s="845"/>
      <c r="J57" s="845"/>
      <c r="K57" s="845"/>
      <c r="L57" s="845"/>
      <c r="M57" s="845"/>
      <c r="N57" s="845"/>
      <c r="O57" s="845"/>
      <c r="P57" s="845"/>
      <c r="Q57" s="291" t="e">
        <f aca="false">+D57*12</f>
        <v>#REF!</v>
      </c>
      <c r="R57" s="846" t="e">
        <f aca="false">+Q57-SUM(E57:P57)</f>
        <v>#REF!</v>
      </c>
      <c r="S57" s="847" t="n">
        <f aca="false">+Insumos_Cotação!O64</f>
        <v>0</v>
      </c>
      <c r="T57" s="847" t="n">
        <f aca="false">+E57*$S57</f>
        <v>0</v>
      </c>
      <c r="U57" s="847" t="n">
        <f aca="false">+F57*$S57</f>
        <v>0</v>
      </c>
      <c r="V57" s="847" t="n">
        <f aca="false">+G57*$S57</f>
        <v>0</v>
      </c>
      <c r="W57" s="847" t="n">
        <f aca="false">+H57*$S57</f>
        <v>0</v>
      </c>
      <c r="X57" s="847" t="n">
        <f aca="false">+I57*$S57</f>
        <v>0</v>
      </c>
      <c r="Y57" s="847" t="n">
        <f aca="false">+J57*$S57</f>
        <v>0</v>
      </c>
      <c r="Z57" s="847" t="n">
        <f aca="false">+K57*$S57</f>
        <v>0</v>
      </c>
      <c r="AA57" s="847" t="n">
        <f aca="false">+L57*$S57</f>
        <v>0</v>
      </c>
      <c r="AB57" s="847" t="n">
        <f aca="false">+M57*$S57</f>
        <v>0</v>
      </c>
      <c r="AC57" s="847" t="n">
        <f aca="false">+N57*$S57</f>
        <v>0</v>
      </c>
      <c r="AD57" s="847" t="n">
        <f aca="false">+O57*$S57</f>
        <v>0</v>
      </c>
      <c r="AE57" s="848" t="n">
        <f aca="false">+P57*$S57</f>
        <v>0</v>
      </c>
    </row>
    <row r="58" customFormat="false" ht="11.25" hidden="false" customHeight="true" outlineLevel="0" collapsed="false">
      <c r="A58" s="835"/>
      <c r="B58" s="843" t="e">
        <f aca="false">+#REF!</f>
        <v>#REF!</v>
      </c>
      <c r="C58" s="844" t="e">
        <f aca="false">+#REF!</f>
        <v>#REF!</v>
      </c>
      <c r="D58" s="291" t="e">
        <f aca="false">+#REF!</f>
        <v>#REF!</v>
      </c>
      <c r="E58" s="845"/>
      <c r="F58" s="845"/>
      <c r="G58" s="845"/>
      <c r="H58" s="845"/>
      <c r="I58" s="845"/>
      <c r="J58" s="845"/>
      <c r="K58" s="845"/>
      <c r="L58" s="845"/>
      <c r="M58" s="845"/>
      <c r="N58" s="845"/>
      <c r="O58" s="845"/>
      <c r="P58" s="845"/>
      <c r="Q58" s="291" t="e">
        <f aca="false">+D58*12</f>
        <v>#REF!</v>
      </c>
      <c r="R58" s="846" t="e">
        <f aca="false">+Q58-SUM(E58:P58)</f>
        <v>#REF!</v>
      </c>
      <c r="S58" s="847" t="n">
        <f aca="false">+Insumos_Cotação!O65</f>
        <v>0</v>
      </c>
      <c r="T58" s="847" t="n">
        <f aca="false">+E58*$S58</f>
        <v>0</v>
      </c>
      <c r="U58" s="847" t="n">
        <f aca="false">+F58*$S58</f>
        <v>0</v>
      </c>
      <c r="V58" s="847" t="n">
        <f aca="false">+G58*$S58</f>
        <v>0</v>
      </c>
      <c r="W58" s="847" t="n">
        <f aca="false">+H58*$S58</f>
        <v>0</v>
      </c>
      <c r="X58" s="847" t="n">
        <f aca="false">+I58*$S58</f>
        <v>0</v>
      </c>
      <c r="Y58" s="847" t="n">
        <f aca="false">+J58*$S58</f>
        <v>0</v>
      </c>
      <c r="Z58" s="847" t="n">
        <f aca="false">+K58*$S58</f>
        <v>0</v>
      </c>
      <c r="AA58" s="847" t="n">
        <f aca="false">+L58*$S58</f>
        <v>0</v>
      </c>
      <c r="AB58" s="847" t="n">
        <f aca="false">+M58*$S58</f>
        <v>0</v>
      </c>
      <c r="AC58" s="847" t="n">
        <f aca="false">+N58*$S58</f>
        <v>0</v>
      </c>
      <c r="AD58" s="847" t="n">
        <f aca="false">+O58*$S58</f>
        <v>0</v>
      </c>
      <c r="AE58" s="848" t="n">
        <f aca="false">+P58*$S58</f>
        <v>0</v>
      </c>
    </row>
    <row r="59" customFormat="false" ht="12" hidden="false" customHeight="false" outlineLevel="0" collapsed="false">
      <c r="A59" s="835"/>
      <c r="B59" s="849" t="e">
        <f aca="false">+#REF!</f>
        <v>#REF!</v>
      </c>
      <c r="C59" s="850" t="e">
        <f aca="false">+#REF!</f>
        <v>#REF!</v>
      </c>
      <c r="D59" s="851" t="e">
        <f aca="false">+#REF!</f>
        <v>#REF!</v>
      </c>
      <c r="E59" s="852"/>
      <c r="F59" s="852"/>
      <c r="G59" s="852"/>
      <c r="H59" s="852"/>
      <c r="I59" s="852"/>
      <c r="J59" s="852"/>
      <c r="K59" s="852"/>
      <c r="L59" s="852"/>
      <c r="M59" s="852"/>
      <c r="N59" s="852"/>
      <c r="O59" s="852"/>
      <c r="P59" s="852"/>
      <c r="Q59" s="851" t="e">
        <f aca="false">+D59*12</f>
        <v>#REF!</v>
      </c>
      <c r="R59" s="853" t="e">
        <f aca="false">+Q59-SUM(E59:P59)</f>
        <v>#REF!</v>
      </c>
      <c r="S59" s="854" t="n">
        <f aca="false">+Insumos_Cotação!O66</f>
        <v>0</v>
      </c>
      <c r="T59" s="854" t="n">
        <f aca="false">+E59*$S59</f>
        <v>0</v>
      </c>
      <c r="U59" s="854" t="n">
        <f aca="false">+F59*$S59</f>
        <v>0</v>
      </c>
      <c r="V59" s="854" t="n">
        <f aca="false">+G59*$S59</f>
        <v>0</v>
      </c>
      <c r="W59" s="854" t="n">
        <f aca="false">+H59*$S59</f>
        <v>0</v>
      </c>
      <c r="X59" s="854" t="n">
        <f aca="false">+I59*$S59</f>
        <v>0</v>
      </c>
      <c r="Y59" s="854" t="n">
        <f aca="false">+J59*$S59</f>
        <v>0</v>
      </c>
      <c r="Z59" s="854" t="n">
        <f aca="false">+K59*$S59</f>
        <v>0</v>
      </c>
      <c r="AA59" s="854" t="n">
        <f aca="false">+L59*$S59</f>
        <v>0</v>
      </c>
      <c r="AB59" s="854" t="n">
        <f aca="false">+M59*$S59</f>
        <v>0</v>
      </c>
      <c r="AC59" s="854" t="n">
        <f aca="false">+N59*$S59</f>
        <v>0</v>
      </c>
      <c r="AD59" s="854" t="n">
        <f aca="false">+O59*$S59</f>
        <v>0</v>
      </c>
      <c r="AE59" s="855" t="n">
        <f aca="false">+P59*$S59</f>
        <v>0</v>
      </c>
    </row>
    <row r="60" customFormat="false" ht="11.25" hidden="false" customHeight="true" outlineLevel="0" collapsed="false">
      <c r="A60" s="856" t="s">
        <v>280</v>
      </c>
      <c r="B60" s="857" t="e">
        <f aca="false">+#REF!</f>
        <v>#REF!</v>
      </c>
      <c r="C60" s="837" t="e">
        <f aca="false">+#REF!</f>
        <v>#REF!</v>
      </c>
      <c r="D60" s="838" t="e">
        <f aca="false">+#REF!</f>
        <v>#REF!</v>
      </c>
      <c r="E60" s="839"/>
      <c r="F60" s="838"/>
      <c r="G60" s="839"/>
      <c r="H60" s="838"/>
      <c r="I60" s="839"/>
      <c r="J60" s="838"/>
      <c r="K60" s="839"/>
      <c r="L60" s="838"/>
      <c r="M60" s="839"/>
      <c r="N60" s="838"/>
      <c r="O60" s="839"/>
      <c r="P60" s="838"/>
      <c r="Q60" s="838" t="e">
        <f aca="false">+D60*6</f>
        <v>#REF!</v>
      </c>
      <c r="R60" s="840" t="e">
        <f aca="false">+Q60-SUM(E60:P60)</f>
        <v>#REF!</v>
      </c>
      <c r="S60" s="841" t="n">
        <f aca="false">+Insumos_Cotação!O68</f>
        <v>0</v>
      </c>
      <c r="T60" s="841" t="n">
        <f aca="false">+$S60*$E60</f>
        <v>0</v>
      </c>
      <c r="U60" s="841" t="n">
        <f aca="false">+$S60*$E60+($F60*$S60)</f>
        <v>0</v>
      </c>
      <c r="V60" s="841" t="n">
        <f aca="false">+$S60*$F60+($G60*$S60)</f>
        <v>0</v>
      </c>
      <c r="W60" s="841" t="n">
        <f aca="false">+$S60*$G60+($H60*$S60)</f>
        <v>0</v>
      </c>
      <c r="X60" s="841" t="n">
        <f aca="false">+$S60*$H60+($I60*$S60)</f>
        <v>0</v>
      </c>
      <c r="Y60" s="841" t="n">
        <f aca="false">+$S60*$I60+($J60*$S60)</f>
        <v>0</v>
      </c>
      <c r="Z60" s="841" t="n">
        <f aca="false">+$S60*$J60+($K60*$S60)</f>
        <v>0</v>
      </c>
      <c r="AA60" s="841" t="n">
        <f aca="false">+$S60*$K60+($L60*$S60)</f>
        <v>0</v>
      </c>
      <c r="AB60" s="841" t="n">
        <f aca="false">+$S60*$L60+($M60*$S60)</f>
        <v>0</v>
      </c>
      <c r="AC60" s="841" t="n">
        <f aca="false">+$S60*$M60+($N60*$S60)</f>
        <v>0</v>
      </c>
      <c r="AD60" s="841" t="n">
        <f aca="false">+$S60*$N60+($O60*$S60)</f>
        <v>0</v>
      </c>
      <c r="AE60" s="842" t="n">
        <f aca="false">+$S60*$O60+($P60*($S60*2))</f>
        <v>0</v>
      </c>
    </row>
    <row r="61" customFormat="false" ht="11.25" hidden="false" customHeight="false" outlineLevel="0" collapsed="false">
      <c r="A61" s="856"/>
      <c r="B61" s="858" t="e">
        <f aca="false">+#REF!</f>
        <v>#REF!</v>
      </c>
      <c r="C61" s="844" t="e">
        <f aca="false">+#REF!</f>
        <v>#REF!</v>
      </c>
      <c r="D61" s="291" t="e">
        <f aca="false">+#REF!</f>
        <v>#REF!</v>
      </c>
      <c r="E61" s="845"/>
      <c r="F61" s="291"/>
      <c r="G61" s="845"/>
      <c r="H61" s="291"/>
      <c r="I61" s="845"/>
      <c r="J61" s="291"/>
      <c r="K61" s="845"/>
      <c r="L61" s="291"/>
      <c r="M61" s="845"/>
      <c r="N61" s="291"/>
      <c r="O61" s="845"/>
      <c r="P61" s="291"/>
      <c r="Q61" s="291" t="e">
        <f aca="false">+D61*6</f>
        <v>#REF!</v>
      </c>
      <c r="R61" s="846" t="e">
        <f aca="false">+Q61-SUM(E61:P61)</f>
        <v>#REF!</v>
      </c>
      <c r="S61" s="847" t="n">
        <f aca="false">+Insumos_Cotação!O69</f>
        <v>0</v>
      </c>
      <c r="T61" s="847" t="n">
        <f aca="false">+$S61*$E61</f>
        <v>0</v>
      </c>
      <c r="U61" s="847" t="n">
        <f aca="false">+$S61*$E61+($F61*$S61)</f>
        <v>0</v>
      </c>
      <c r="V61" s="847" t="n">
        <f aca="false">+$S61*$F61+($G61*$S61)</f>
        <v>0</v>
      </c>
      <c r="W61" s="847" t="n">
        <f aca="false">+$S61*$G61+($H61*$S61)</f>
        <v>0</v>
      </c>
      <c r="X61" s="847" t="n">
        <f aca="false">+$S61*$H61+($I61*$S61)</f>
        <v>0</v>
      </c>
      <c r="Y61" s="847" t="n">
        <f aca="false">+$S61*$I61+($J61*$S61)</f>
        <v>0</v>
      </c>
      <c r="Z61" s="847" t="n">
        <f aca="false">+$S61*$J61+($K61*$S61)</f>
        <v>0</v>
      </c>
      <c r="AA61" s="847" t="n">
        <f aca="false">+$S61*$K61+($L61*$S61)</f>
        <v>0</v>
      </c>
      <c r="AB61" s="847" t="n">
        <f aca="false">+$S61*$L61+($M61*$S61)</f>
        <v>0</v>
      </c>
      <c r="AC61" s="847" t="n">
        <f aca="false">+$S61*$M61+($N61*$S61)</f>
        <v>0</v>
      </c>
      <c r="AD61" s="847" t="n">
        <f aca="false">+$S61*$N61+($O61*$S61)</f>
        <v>0</v>
      </c>
      <c r="AE61" s="848" t="n">
        <f aca="false">+$S61*$O61+($P61*($S61*2))</f>
        <v>0</v>
      </c>
    </row>
    <row r="62" customFormat="false" ht="11.25" hidden="false" customHeight="false" outlineLevel="0" collapsed="false">
      <c r="A62" s="856"/>
      <c r="B62" s="858" t="e">
        <f aca="false">+#REF!</f>
        <v>#REF!</v>
      </c>
      <c r="C62" s="844" t="e">
        <f aca="false">+#REF!</f>
        <v>#REF!</v>
      </c>
      <c r="D62" s="291" t="e">
        <f aca="false">+#REF!</f>
        <v>#REF!</v>
      </c>
      <c r="E62" s="845"/>
      <c r="F62" s="291"/>
      <c r="G62" s="845"/>
      <c r="H62" s="291"/>
      <c r="I62" s="845"/>
      <c r="J62" s="291"/>
      <c r="K62" s="845"/>
      <c r="L62" s="291"/>
      <c r="M62" s="845"/>
      <c r="N62" s="291"/>
      <c r="O62" s="845"/>
      <c r="P62" s="291"/>
      <c r="Q62" s="291" t="e">
        <f aca="false">+D62*6</f>
        <v>#REF!</v>
      </c>
      <c r="R62" s="846" t="e">
        <f aca="false">+Q62-SUM(E62:P62)</f>
        <v>#REF!</v>
      </c>
      <c r="S62" s="847" t="n">
        <f aca="false">+Insumos_Cotação!O70</f>
        <v>0</v>
      </c>
      <c r="T62" s="847" t="n">
        <f aca="false">+$S62*$E62</f>
        <v>0</v>
      </c>
      <c r="U62" s="847" t="n">
        <f aca="false">+$S62*$E62+($F62*$S62)</f>
        <v>0</v>
      </c>
      <c r="V62" s="847" t="n">
        <f aca="false">+$S62*$F62+($G62*$S62)</f>
        <v>0</v>
      </c>
      <c r="W62" s="847" t="n">
        <f aca="false">+$S62*$G62+($H62*$S62)</f>
        <v>0</v>
      </c>
      <c r="X62" s="847" t="n">
        <f aca="false">+$S62*$H62+($I62*$S62)</f>
        <v>0</v>
      </c>
      <c r="Y62" s="847" t="n">
        <f aca="false">+$S62*$I62+($J62*$S62)</f>
        <v>0</v>
      </c>
      <c r="Z62" s="847" t="n">
        <f aca="false">+$S62*$J62+($K62*$S62)</f>
        <v>0</v>
      </c>
      <c r="AA62" s="847" t="n">
        <f aca="false">+$S62*$K62+($L62*$S62)</f>
        <v>0</v>
      </c>
      <c r="AB62" s="847" t="n">
        <f aca="false">+$S62*$L62+($M62*$S62)</f>
        <v>0</v>
      </c>
      <c r="AC62" s="847" t="n">
        <f aca="false">+$S62*$M62+($N62*$S62)</f>
        <v>0</v>
      </c>
      <c r="AD62" s="847" t="n">
        <f aca="false">+$S62*$N62+($O62*$S62)</f>
        <v>0</v>
      </c>
      <c r="AE62" s="848" t="n">
        <f aca="false">+$S62*$O62+($P62*($S62*2))</f>
        <v>0</v>
      </c>
    </row>
    <row r="63" customFormat="false" ht="11.25" hidden="false" customHeight="false" outlineLevel="0" collapsed="false">
      <c r="A63" s="856"/>
      <c r="B63" s="858" t="e">
        <f aca="false">+#REF!</f>
        <v>#REF!</v>
      </c>
      <c r="C63" s="844" t="e">
        <f aca="false">+#REF!</f>
        <v>#REF!</v>
      </c>
      <c r="D63" s="291" t="e">
        <f aca="false">+#REF!</f>
        <v>#REF!</v>
      </c>
      <c r="E63" s="845"/>
      <c r="F63" s="291"/>
      <c r="G63" s="845"/>
      <c r="H63" s="291"/>
      <c r="I63" s="845"/>
      <c r="J63" s="291"/>
      <c r="K63" s="845"/>
      <c r="L63" s="291"/>
      <c r="M63" s="845"/>
      <c r="N63" s="291"/>
      <c r="O63" s="845"/>
      <c r="P63" s="291"/>
      <c r="Q63" s="291" t="e">
        <f aca="false">+D63*6</f>
        <v>#REF!</v>
      </c>
      <c r="R63" s="846" t="e">
        <f aca="false">+Q63-SUM(E63:P63)</f>
        <v>#REF!</v>
      </c>
      <c r="S63" s="847" t="n">
        <f aca="false">+Insumos_Cotação!O71</f>
        <v>0</v>
      </c>
      <c r="T63" s="847" t="n">
        <f aca="false">+$S63*$E63</f>
        <v>0</v>
      </c>
      <c r="U63" s="847" t="n">
        <f aca="false">+$S63*$E63+($F63*$S63)</f>
        <v>0</v>
      </c>
      <c r="V63" s="847" t="n">
        <f aca="false">+$S63*$F63+($G63*$S63)</f>
        <v>0</v>
      </c>
      <c r="W63" s="847" t="n">
        <f aca="false">+$S63*$G63+($H63*$S63)</f>
        <v>0</v>
      </c>
      <c r="X63" s="847" t="n">
        <f aca="false">+$S63*$H63+($I63*$S63)</f>
        <v>0</v>
      </c>
      <c r="Y63" s="847" t="n">
        <f aca="false">+$S63*$I63+($J63*$S63)</f>
        <v>0</v>
      </c>
      <c r="Z63" s="847" t="n">
        <f aca="false">+$S63*$J63+($K63*$S63)</f>
        <v>0</v>
      </c>
      <c r="AA63" s="847" t="n">
        <f aca="false">+$S63*$K63+($L63*$S63)</f>
        <v>0</v>
      </c>
      <c r="AB63" s="847" t="n">
        <f aca="false">+$S63*$L63+($M63*$S63)</f>
        <v>0</v>
      </c>
      <c r="AC63" s="847" t="n">
        <f aca="false">+$S63*$M63+($N63*$S63)</f>
        <v>0</v>
      </c>
      <c r="AD63" s="847" t="n">
        <f aca="false">+$S63*$N63+($O63*$S63)</f>
        <v>0</v>
      </c>
      <c r="AE63" s="848" t="n">
        <f aca="false">+$S63*$O63+($P63*($S63*2))</f>
        <v>0</v>
      </c>
    </row>
    <row r="64" customFormat="false" ht="11.25" hidden="false" customHeight="false" outlineLevel="0" collapsed="false">
      <c r="A64" s="856"/>
      <c r="B64" s="858" t="e">
        <f aca="false">+#REF!</f>
        <v>#REF!</v>
      </c>
      <c r="C64" s="844" t="e">
        <f aca="false">+#REF!</f>
        <v>#REF!</v>
      </c>
      <c r="D64" s="291" t="e">
        <f aca="false">+#REF!</f>
        <v>#REF!</v>
      </c>
      <c r="E64" s="845"/>
      <c r="F64" s="291"/>
      <c r="G64" s="845"/>
      <c r="H64" s="291"/>
      <c r="I64" s="845"/>
      <c r="J64" s="291"/>
      <c r="K64" s="845"/>
      <c r="L64" s="291"/>
      <c r="M64" s="845"/>
      <c r="N64" s="291"/>
      <c r="O64" s="845"/>
      <c r="P64" s="291"/>
      <c r="Q64" s="291" t="e">
        <f aca="false">+D64*6</f>
        <v>#REF!</v>
      </c>
      <c r="R64" s="846" t="e">
        <f aca="false">+Q64-SUM(E64:P64)</f>
        <v>#REF!</v>
      </c>
      <c r="S64" s="847" t="n">
        <f aca="false">+Insumos_Cotação!O72</f>
        <v>0</v>
      </c>
      <c r="T64" s="847" t="n">
        <f aca="false">+$S64*$E64</f>
        <v>0</v>
      </c>
      <c r="U64" s="847" t="n">
        <f aca="false">+$S64*$E64+($F64*$S64)</f>
        <v>0</v>
      </c>
      <c r="V64" s="847" t="n">
        <f aca="false">+$S64*$F64+($G64*$S64)</f>
        <v>0</v>
      </c>
      <c r="W64" s="847" t="n">
        <f aca="false">+$S64*$G64+($H64*$S64)</f>
        <v>0</v>
      </c>
      <c r="X64" s="847" t="n">
        <f aca="false">+$S64*$H64+($I64*$S64)</f>
        <v>0</v>
      </c>
      <c r="Y64" s="847" t="n">
        <f aca="false">+$S64*$I64+($J64*$S64)</f>
        <v>0</v>
      </c>
      <c r="Z64" s="847" t="n">
        <f aca="false">+$S64*$J64+($K64*$S64)</f>
        <v>0</v>
      </c>
      <c r="AA64" s="847" t="n">
        <f aca="false">+$S64*$K64+($L64*$S64)</f>
        <v>0</v>
      </c>
      <c r="AB64" s="847" t="n">
        <f aca="false">+$S64*$L64+($M64*$S64)</f>
        <v>0</v>
      </c>
      <c r="AC64" s="847" t="n">
        <f aca="false">+$S64*$M64+($N64*$S64)</f>
        <v>0</v>
      </c>
      <c r="AD64" s="847" t="n">
        <f aca="false">+$S64*$N64+($O64*$S64)</f>
        <v>0</v>
      </c>
      <c r="AE64" s="848" t="n">
        <f aca="false">+$S64*$O64+($P64*($S64*2))</f>
        <v>0</v>
      </c>
    </row>
    <row r="65" customFormat="false" ht="11.25" hidden="false" customHeight="false" outlineLevel="0" collapsed="false">
      <c r="A65" s="856"/>
      <c r="B65" s="858" t="e">
        <f aca="false">+#REF!</f>
        <v>#REF!</v>
      </c>
      <c r="C65" s="844" t="e">
        <f aca="false">+#REF!</f>
        <v>#REF!</v>
      </c>
      <c r="D65" s="291" t="e">
        <f aca="false">+#REF!</f>
        <v>#REF!</v>
      </c>
      <c r="E65" s="845"/>
      <c r="F65" s="291"/>
      <c r="G65" s="845"/>
      <c r="H65" s="291"/>
      <c r="I65" s="845"/>
      <c r="J65" s="291"/>
      <c r="K65" s="845"/>
      <c r="L65" s="291"/>
      <c r="M65" s="845"/>
      <c r="N65" s="291"/>
      <c r="O65" s="845"/>
      <c r="P65" s="291"/>
      <c r="Q65" s="291" t="e">
        <f aca="false">+D65*6</f>
        <v>#REF!</v>
      </c>
      <c r="R65" s="846" t="e">
        <f aca="false">+Q65-SUM(E65:P65)</f>
        <v>#REF!</v>
      </c>
      <c r="S65" s="847" t="n">
        <f aca="false">+Insumos_Cotação!O73</f>
        <v>0</v>
      </c>
      <c r="T65" s="847" t="n">
        <f aca="false">+$S65*$E65</f>
        <v>0</v>
      </c>
      <c r="U65" s="847" t="n">
        <f aca="false">+$S65*$E65+($F65*$S65)</f>
        <v>0</v>
      </c>
      <c r="V65" s="847" t="n">
        <f aca="false">+$S65*$F65+($G65*$S65)</f>
        <v>0</v>
      </c>
      <c r="W65" s="847" t="n">
        <f aca="false">+$S65*$G65+($H65*$S65)</f>
        <v>0</v>
      </c>
      <c r="X65" s="847" t="n">
        <f aca="false">+$S65*$H65+($I65*$S65)</f>
        <v>0</v>
      </c>
      <c r="Y65" s="847" t="n">
        <f aca="false">+$S65*$I65+($J65*$S65)</f>
        <v>0</v>
      </c>
      <c r="Z65" s="847" t="n">
        <f aca="false">+$S65*$J65+($K65*$S65)</f>
        <v>0</v>
      </c>
      <c r="AA65" s="847" t="n">
        <f aca="false">+$S65*$K65+($L65*$S65)</f>
        <v>0</v>
      </c>
      <c r="AB65" s="847" t="n">
        <f aca="false">+$S65*$L65+($M65*$S65)</f>
        <v>0</v>
      </c>
      <c r="AC65" s="847" t="n">
        <f aca="false">+$S65*$M65+($N65*$S65)</f>
        <v>0</v>
      </c>
      <c r="AD65" s="847" t="n">
        <f aca="false">+$S65*$N65+($O65*$S65)</f>
        <v>0</v>
      </c>
      <c r="AE65" s="848" t="n">
        <f aca="false">+$S65*$O65+($P65*($S65*2))</f>
        <v>0</v>
      </c>
    </row>
    <row r="66" customFormat="false" ht="11.25" hidden="false" customHeight="false" outlineLevel="0" collapsed="false">
      <c r="A66" s="856"/>
      <c r="B66" s="858" t="e">
        <f aca="false">+#REF!</f>
        <v>#REF!</v>
      </c>
      <c r="C66" s="844" t="e">
        <f aca="false">+#REF!</f>
        <v>#REF!</v>
      </c>
      <c r="D66" s="291" t="e">
        <f aca="false">+#REF!</f>
        <v>#REF!</v>
      </c>
      <c r="E66" s="845"/>
      <c r="F66" s="291"/>
      <c r="G66" s="845"/>
      <c r="H66" s="291"/>
      <c r="I66" s="845"/>
      <c r="J66" s="291"/>
      <c r="K66" s="845"/>
      <c r="L66" s="291"/>
      <c r="M66" s="845"/>
      <c r="N66" s="291"/>
      <c r="O66" s="845"/>
      <c r="P66" s="291"/>
      <c r="Q66" s="291" t="e">
        <f aca="false">+D66*6</f>
        <v>#REF!</v>
      </c>
      <c r="R66" s="846" t="e">
        <f aca="false">+Q66-SUM(E66:P66)</f>
        <v>#REF!</v>
      </c>
      <c r="S66" s="847" t="n">
        <f aca="false">+Insumos_Cotação!O74</f>
        <v>0</v>
      </c>
      <c r="T66" s="847" t="n">
        <f aca="false">+$S66*$E66</f>
        <v>0</v>
      </c>
      <c r="U66" s="847" t="n">
        <f aca="false">+$S66*$E66+($F66*$S66)</f>
        <v>0</v>
      </c>
      <c r="V66" s="847" t="n">
        <f aca="false">+$S66*$F66+($G66*$S66)</f>
        <v>0</v>
      </c>
      <c r="W66" s="847" t="n">
        <f aca="false">+$S66*$G66+($H66*$S66)</f>
        <v>0</v>
      </c>
      <c r="X66" s="847" t="n">
        <f aca="false">+$S66*$H66+($I66*$S66)</f>
        <v>0</v>
      </c>
      <c r="Y66" s="847" t="n">
        <f aca="false">+$S66*$I66+($J66*$S66)</f>
        <v>0</v>
      </c>
      <c r="Z66" s="847" t="n">
        <f aca="false">+$S66*$J66+($K66*$S66)</f>
        <v>0</v>
      </c>
      <c r="AA66" s="847" t="n">
        <f aca="false">+$S66*$K66+($L66*$S66)</f>
        <v>0</v>
      </c>
      <c r="AB66" s="847" t="n">
        <f aca="false">+$S66*$L66+($M66*$S66)</f>
        <v>0</v>
      </c>
      <c r="AC66" s="847" t="n">
        <f aca="false">+$S66*$M66+($N66*$S66)</f>
        <v>0</v>
      </c>
      <c r="AD66" s="847" t="n">
        <f aca="false">+$S66*$N66+($O66*$S66)</f>
        <v>0</v>
      </c>
      <c r="AE66" s="848" t="n">
        <f aca="false">+$S66*$O66+($P66*($S66*2))</f>
        <v>0</v>
      </c>
    </row>
    <row r="67" customFormat="false" ht="11.25" hidden="false" customHeight="false" outlineLevel="0" collapsed="false">
      <c r="A67" s="856"/>
      <c r="B67" s="858" t="e">
        <f aca="false">+#REF!</f>
        <v>#REF!</v>
      </c>
      <c r="C67" s="844" t="e">
        <f aca="false">+#REF!</f>
        <v>#REF!</v>
      </c>
      <c r="D67" s="291" t="e">
        <f aca="false">+#REF!</f>
        <v>#REF!</v>
      </c>
      <c r="E67" s="845"/>
      <c r="F67" s="291"/>
      <c r="G67" s="845"/>
      <c r="H67" s="291"/>
      <c r="I67" s="845"/>
      <c r="J67" s="291"/>
      <c r="K67" s="845"/>
      <c r="L67" s="291"/>
      <c r="M67" s="845"/>
      <c r="N67" s="291"/>
      <c r="O67" s="845"/>
      <c r="P67" s="291"/>
      <c r="Q67" s="291" t="e">
        <f aca="false">+D67*6</f>
        <v>#REF!</v>
      </c>
      <c r="R67" s="846" t="e">
        <f aca="false">+Q67-SUM(E67:P67)</f>
        <v>#REF!</v>
      </c>
      <c r="S67" s="847" t="n">
        <f aca="false">+Insumos_Cotação!O75</f>
        <v>0</v>
      </c>
      <c r="T67" s="847" t="n">
        <f aca="false">+$S67*$E67</f>
        <v>0</v>
      </c>
      <c r="U67" s="847" t="n">
        <f aca="false">+$S67*$E67+($F67*$S67)</f>
        <v>0</v>
      </c>
      <c r="V67" s="847" t="n">
        <f aca="false">+$S67*$F67+($G67*$S67)</f>
        <v>0</v>
      </c>
      <c r="W67" s="847" t="n">
        <f aca="false">+$S67*$G67+($H67*$S67)</f>
        <v>0</v>
      </c>
      <c r="X67" s="847" t="n">
        <f aca="false">+$S67*$H67+($I67*$S67)</f>
        <v>0</v>
      </c>
      <c r="Y67" s="847" t="n">
        <f aca="false">+$S67*$I67+($J67*$S67)</f>
        <v>0</v>
      </c>
      <c r="Z67" s="847" t="n">
        <f aca="false">+$S67*$J67+($K67*$S67)</f>
        <v>0</v>
      </c>
      <c r="AA67" s="847" t="n">
        <f aca="false">+$S67*$K67+($L67*$S67)</f>
        <v>0</v>
      </c>
      <c r="AB67" s="847" t="n">
        <f aca="false">+$S67*$L67+($M67*$S67)</f>
        <v>0</v>
      </c>
      <c r="AC67" s="847" t="n">
        <f aca="false">+$S67*$M67+($N67*$S67)</f>
        <v>0</v>
      </c>
      <c r="AD67" s="847" t="n">
        <f aca="false">+$S67*$N67+($O67*$S67)</f>
        <v>0</v>
      </c>
      <c r="AE67" s="848" t="n">
        <f aca="false">+$S67*$O67+($P67*($S67*2))</f>
        <v>0</v>
      </c>
    </row>
    <row r="68" customFormat="false" ht="11.25" hidden="false" customHeight="false" outlineLevel="0" collapsed="false">
      <c r="A68" s="856"/>
      <c r="B68" s="858" t="e">
        <f aca="false">+#REF!</f>
        <v>#REF!</v>
      </c>
      <c r="C68" s="844" t="e">
        <f aca="false">+#REF!</f>
        <v>#REF!</v>
      </c>
      <c r="D68" s="291" t="e">
        <f aca="false">+#REF!</f>
        <v>#REF!</v>
      </c>
      <c r="E68" s="845"/>
      <c r="F68" s="291"/>
      <c r="G68" s="845"/>
      <c r="H68" s="291"/>
      <c r="I68" s="845"/>
      <c r="J68" s="291"/>
      <c r="K68" s="845"/>
      <c r="L68" s="291"/>
      <c r="M68" s="845"/>
      <c r="N68" s="291"/>
      <c r="O68" s="845"/>
      <c r="P68" s="291"/>
      <c r="Q68" s="291" t="e">
        <f aca="false">+D68*6</f>
        <v>#REF!</v>
      </c>
      <c r="R68" s="846" t="e">
        <f aca="false">+Q68-SUM(E68:P68)</f>
        <v>#REF!</v>
      </c>
      <c r="S68" s="847" t="n">
        <f aca="false">+Insumos_Cotação!O76</f>
        <v>0</v>
      </c>
      <c r="T68" s="847" t="n">
        <f aca="false">+$S68*$E68</f>
        <v>0</v>
      </c>
      <c r="U68" s="847" t="n">
        <f aca="false">+$S68*$E68+($F68*$S68)</f>
        <v>0</v>
      </c>
      <c r="V68" s="847" t="n">
        <f aca="false">+$S68*$F68+($G68*$S68)</f>
        <v>0</v>
      </c>
      <c r="W68" s="847" t="n">
        <f aca="false">+$S68*$G68+($H68*$S68)</f>
        <v>0</v>
      </c>
      <c r="X68" s="847" t="n">
        <f aca="false">+$S68*$H68+($I68*$S68)</f>
        <v>0</v>
      </c>
      <c r="Y68" s="847" t="n">
        <f aca="false">+$S68*$I68+($J68*$S68)</f>
        <v>0</v>
      </c>
      <c r="Z68" s="847" t="n">
        <f aca="false">+$S68*$J68+($K68*$S68)</f>
        <v>0</v>
      </c>
      <c r="AA68" s="847" t="n">
        <f aca="false">+$S68*$K68+($L68*$S68)</f>
        <v>0</v>
      </c>
      <c r="AB68" s="847" t="n">
        <f aca="false">+$S68*$L68+($M68*$S68)</f>
        <v>0</v>
      </c>
      <c r="AC68" s="847" t="n">
        <f aca="false">+$S68*$M68+($N68*$S68)</f>
        <v>0</v>
      </c>
      <c r="AD68" s="847" t="n">
        <f aca="false">+$S68*$N68+($O68*$S68)</f>
        <v>0</v>
      </c>
      <c r="AE68" s="848" t="n">
        <f aca="false">+$S68*$O68+($P68*($S68*2))</f>
        <v>0</v>
      </c>
    </row>
    <row r="69" customFormat="false" ht="12" hidden="false" customHeight="false" outlineLevel="0" collapsed="false">
      <c r="A69" s="856"/>
      <c r="B69" s="859" t="e">
        <f aca="false">+#REF!</f>
        <v>#REF!</v>
      </c>
      <c r="C69" s="860" t="e">
        <f aca="false">+#REF!</f>
        <v>#REF!</v>
      </c>
      <c r="D69" s="861" t="e">
        <f aca="false">+#REF!</f>
        <v>#REF!</v>
      </c>
      <c r="E69" s="862"/>
      <c r="F69" s="861"/>
      <c r="G69" s="862"/>
      <c r="H69" s="861"/>
      <c r="I69" s="862"/>
      <c r="J69" s="861"/>
      <c r="K69" s="862"/>
      <c r="L69" s="861"/>
      <c r="M69" s="862"/>
      <c r="N69" s="861"/>
      <c r="O69" s="862"/>
      <c r="P69" s="861"/>
      <c r="Q69" s="861" t="e">
        <f aca="false">+D69*6</f>
        <v>#REF!</v>
      </c>
      <c r="R69" s="863" t="e">
        <f aca="false">+Q69-SUM(E69:P69)</f>
        <v>#REF!</v>
      </c>
      <c r="S69" s="864" t="n">
        <f aca="false">+Insumos_Cotação!O77</f>
        <v>0</v>
      </c>
      <c r="T69" s="864" t="n">
        <f aca="false">+$S69*$E69</f>
        <v>0</v>
      </c>
      <c r="U69" s="864" t="n">
        <f aca="false">+$S69*$E69+($F69*$S69)</f>
        <v>0</v>
      </c>
      <c r="V69" s="864" t="n">
        <f aca="false">+$S69*$F69+($G69*$S69)</f>
        <v>0</v>
      </c>
      <c r="W69" s="864" t="n">
        <f aca="false">+$S69*$G69+($H69*$S69)</f>
        <v>0</v>
      </c>
      <c r="X69" s="864" t="n">
        <f aca="false">+$S69*$H69+($I69*$S69)</f>
        <v>0</v>
      </c>
      <c r="Y69" s="864" t="n">
        <f aca="false">+$S69*$I69+($J69*$S69)</f>
        <v>0</v>
      </c>
      <c r="Z69" s="864" t="n">
        <f aca="false">+$S69*$J69+($K69*$S69)</f>
        <v>0</v>
      </c>
      <c r="AA69" s="864" t="n">
        <f aca="false">+$S69*$K69+($L69*$S69)</f>
        <v>0</v>
      </c>
      <c r="AB69" s="864" t="n">
        <f aca="false">+$S69*$L69+($M69*$S69)</f>
        <v>0</v>
      </c>
      <c r="AC69" s="864" t="n">
        <f aca="false">+$S69*$M69+($N69*$S69)</f>
        <v>0</v>
      </c>
      <c r="AD69" s="864" t="n">
        <f aca="false">+$S69*$N69+($O69*$S69)</f>
        <v>0</v>
      </c>
      <c r="AE69" s="865" t="n">
        <f aca="false">+$S69*$O69+($P69*($S69*2))</f>
        <v>0</v>
      </c>
    </row>
    <row r="70" customFormat="false" ht="11.25" hidden="false" customHeight="true" outlineLevel="0" collapsed="false">
      <c r="A70" s="856" t="s">
        <v>291</v>
      </c>
      <c r="B70" s="866" t="e">
        <f aca="false">+#REF!</f>
        <v>#REF!</v>
      </c>
      <c r="C70" s="867" t="e">
        <f aca="false">+#REF!</f>
        <v>#REF!</v>
      </c>
      <c r="D70" s="868" t="e">
        <f aca="false">+#REF!</f>
        <v>#REF!</v>
      </c>
      <c r="E70" s="869"/>
      <c r="F70" s="868"/>
      <c r="G70" s="868"/>
      <c r="H70" s="869"/>
      <c r="I70" s="868"/>
      <c r="J70" s="868"/>
      <c r="K70" s="869"/>
      <c r="L70" s="868"/>
      <c r="M70" s="868"/>
      <c r="N70" s="869"/>
      <c r="O70" s="868"/>
      <c r="P70" s="868"/>
      <c r="Q70" s="868" t="e">
        <f aca="false">+D70*4</f>
        <v>#REF!</v>
      </c>
      <c r="R70" s="870" t="e">
        <f aca="false">+Q70-SUM(E70:P70)</f>
        <v>#REF!</v>
      </c>
      <c r="S70" s="871" t="n">
        <f aca="false">+Insumos_Cotação!O79</f>
        <v>0</v>
      </c>
      <c r="T70" s="871" t="n">
        <f aca="false">+(E70*$S70)</f>
        <v>0</v>
      </c>
      <c r="U70" s="871" t="n">
        <f aca="false">+(E70*$S70)+(F70*$S70)</f>
        <v>0</v>
      </c>
      <c r="V70" s="871" t="n">
        <f aca="false">(E70*$S70)+(F70*$S70)+(G70*$S70)</f>
        <v>0</v>
      </c>
      <c r="W70" s="871" t="n">
        <f aca="false">(F70*$S70)+(G70*$S70)+(H70*$S70)</f>
        <v>0</v>
      </c>
      <c r="X70" s="871" t="n">
        <f aca="false">(G70*$S70)+(H70*$S70)+(I70*$S70)</f>
        <v>0</v>
      </c>
      <c r="Y70" s="871" t="n">
        <f aca="false">(H70*$S70)+(I70*$S70)+(J70*$S70)</f>
        <v>0</v>
      </c>
      <c r="Z70" s="871" t="n">
        <f aca="false">(I70*$S70)+(J70*$S70)+(K70*$S70)</f>
        <v>0</v>
      </c>
      <c r="AA70" s="871" t="n">
        <f aca="false">(J70*$S70)+(K70*$S70)+(L70*$S70)</f>
        <v>0</v>
      </c>
      <c r="AB70" s="871" t="n">
        <f aca="false">(K70*$S70)+(L70*$S70)+(M70*$S70)</f>
        <v>0</v>
      </c>
      <c r="AC70" s="871" t="n">
        <f aca="false">(L70*$S70)+(M70*$S70)+(N70*$S70)</f>
        <v>0</v>
      </c>
      <c r="AD70" s="871" t="n">
        <f aca="false">(M70*$S70)+(N70*$S70)+(O70*$S70)</f>
        <v>0</v>
      </c>
      <c r="AE70" s="872" t="n">
        <f aca="false">(N70*$S70)+(O70*($S70*2))+(P70*($S70*3))</f>
        <v>0</v>
      </c>
    </row>
    <row r="71" customFormat="false" ht="11.25" hidden="false" customHeight="false" outlineLevel="0" collapsed="false">
      <c r="A71" s="856"/>
      <c r="B71" s="866" t="e">
        <f aca="false">+#REF!</f>
        <v>#REF!</v>
      </c>
      <c r="C71" s="867" t="e">
        <f aca="false">+#REF!</f>
        <v>#REF!</v>
      </c>
      <c r="D71" s="868" t="e">
        <f aca="false">+#REF!</f>
        <v>#REF!</v>
      </c>
      <c r="E71" s="845"/>
      <c r="F71" s="291"/>
      <c r="G71" s="291"/>
      <c r="H71" s="845"/>
      <c r="I71" s="291"/>
      <c r="J71" s="291"/>
      <c r="K71" s="845"/>
      <c r="L71" s="291"/>
      <c r="M71" s="291"/>
      <c r="N71" s="845"/>
      <c r="O71" s="291"/>
      <c r="P71" s="291"/>
      <c r="Q71" s="291" t="e">
        <f aca="false">+D71*4</f>
        <v>#REF!</v>
      </c>
      <c r="R71" s="846" t="e">
        <f aca="false">+Q71-SUM(E71:P71)</f>
        <v>#REF!</v>
      </c>
      <c r="S71" s="871" t="n">
        <f aca="false">+Insumos_Cotação!O80</f>
        <v>0</v>
      </c>
      <c r="T71" s="847" t="n">
        <f aca="false">+(E71*$S71)</f>
        <v>0</v>
      </c>
      <c r="U71" s="847" t="n">
        <f aca="false">+(E71*$S71)+(F71*$S71)</f>
        <v>0</v>
      </c>
      <c r="V71" s="847" t="n">
        <f aca="false">(E71*$S71)+(F71*$S71)+(G71*$S71)</f>
        <v>0</v>
      </c>
      <c r="W71" s="847" t="n">
        <f aca="false">(F71*$S71)+(G71*$S71)+(H71*$S71)</f>
        <v>0</v>
      </c>
      <c r="X71" s="847" t="n">
        <f aca="false">(G71*$S71)+(H71*$S71)+(I71*$S71)</f>
        <v>0</v>
      </c>
      <c r="Y71" s="847" t="n">
        <f aca="false">(H71*$S71)+(I71*$S71)+(J71*$S71)</f>
        <v>0</v>
      </c>
      <c r="Z71" s="847" t="n">
        <f aca="false">(I71*$S71)+(J71*$S71)+(K71*$S71)</f>
        <v>0</v>
      </c>
      <c r="AA71" s="847" t="n">
        <f aca="false">(J71*$S71)+(K71*$S71)+(L71*$S71)</f>
        <v>0</v>
      </c>
      <c r="AB71" s="847" t="n">
        <f aca="false">(K71*$S71)+(L71*$S71)+(M71*$S71)</f>
        <v>0</v>
      </c>
      <c r="AC71" s="847" t="n">
        <f aca="false">(L71*$S71)+(M71*$S71)+(N71*$S71)</f>
        <v>0</v>
      </c>
      <c r="AD71" s="847" t="n">
        <f aca="false">(M71*$S71)+(N71*$S71)+(O71*$S71)</f>
        <v>0</v>
      </c>
      <c r="AE71" s="848" t="n">
        <f aca="false">(N71*$S71)+(O71*($S71*2))+(P71*($S71*3))</f>
        <v>0</v>
      </c>
    </row>
    <row r="72" customFormat="false" ht="11.25" hidden="false" customHeight="false" outlineLevel="0" collapsed="false">
      <c r="A72" s="856"/>
      <c r="B72" s="866" t="e">
        <f aca="false">+#REF!</f>
        <v>#REF!</v>
      </c>
      <c r="C72" s="867" t="e">
        <f aca="false">+#REF!</f>
        <v>#REF!</v>
      </c>
      <c r="D72" s="868" t="e">
        <f aca="false">+#REF!</f>
        <v>#REF!</v>
      </c>
      <c r="E72" s="845"/>
      <c r="F72" s="291"/>
      <c r="G72" s="291"/>
      <c r="H72" s="845"/>
      <c r="I72" s="291"/>
      <c r="J72" s="291"/>
      <c r="K72" s="845"/>
      <c r="L72" s="291"/>
      <c r="M72" s="291"/>
      <c r="N72" s="845"/>
      <c r="O72" s="291"/>
      <c r="P72" s="291"/>
      <c r="Q72" s="291" t="e">
        <f aca="false">+D72*4</f>
        <v>#REF!</v>
      </c>
      <c r="R72" s="846" t="e">
        <f aca="false">+Q72-SUM(E72:P72)</f>
        <v>#REF!</v>
      </c>
      <c r="S72" s="871" t="n">
        <f aca="false">+Insumos_Cotação!O81</f>
        <v>0</v>
      </c>
      <c r="T72" s="847" t="n">
        <f aca="false">+(E72*$S72)</f>
        <v>0</v>
      </c>
      <c r="U72" s="847" t="n">
        <f aca="false">+(E72*$S72)+(F72*$S72)</f>
        <v>0</v>
      </c>
      <c r="V72" s="847" t="n">
        <f aca="false">(E72*$S72)+(F72*$S72)+(G72*$S72)</f>
        <v>0</v>
      </c>
      <c r="W72" s="847" t="n">
        <f aca="false">(F72*$S72)+(G72*$S72)+(H72*$S72)</f>
        <v>0</v>
      </c>
      <c r="X72" s="847" t="n">
        <f aca="false">(G72*$S72)+(H72*$S72)+(I72*$S72)</f>
        <v>0</v>
      </c>
      <c r="Y72" s="847" t="n">
        <f aca="false">(H72*$S72)+(I72*$S72)+(J72*$S72)</f>
        <v>0</v>
      </c>
      <c r="Z72" s="847" t="n">
        <f aca="false">(I72*$S72)+(J72*$S72)+(K72*$S72)</f>
        <v>0</v>
      </c>
      <c r="AA72" s="847" t="n">
        <f aca="false">(J72*$S72)+(K72*$S72)+(L72*$S72)</f>
        <v>0</v>
      </c>
      <c r="AB72" s="847" t="n">
        <f aca="false">(K72*$S72)+(L72*$S72)+(M72*$S72)</f>
        <v>0</v>
      </c>
      <c r="AC72" s="847" t="n">
        <f aca="false">(L72*$S72)+(M72*$S72)+(N72*$S72)</f>
        <v>0</v>
      </c>
      <c r="AD72" s="847" t="n">
        <f aca="false">(M72*$S72)+(N72*$S72)+(O72*$S72)</f>
        <v>0</v>
      </c>
      <c r="AE72" s="848" t="n">
        <f aca="false">(N72*$S72)+(O72*($S72*2))+(P72*($S72*3))</f>
        <v>0</v>
      </c>
    </row>
    <row r="73" customFormat="false" ht="11.25" hidden="false" customHeight="false" outlineLevel="0" collapsed="false">
      <c r="A73" s="856"/>
      <c r="B73" s="866" t="e">
        <f aca="false">+#REF!</f>
        <v>#REF!</v>
      </c>
      <c r="C73" s="867" t="e">
        <f aca="false">+#REF!</f>
        <v>#REF!</v>
      </c>
      <c r="D73" s="868" t="e">
        <f aca="false">+#REF!</f>
        <v>#REF!</v>
      </c>
      <c r="E73" s="845"/>
      <c r="F73" s="291"/>
      <c r="G73" s="291"/>
      <c r="H73" s="845"/>
      <c r="I73" s="291"/>
      <c r="J73" s="291"/>
      <c r="K73" s="845"/>
      <c r="L73" s="291"/>
      <c r="M73" s="291"/>
      <c r="N73" s="845"/>
      <c r="O73" s="291"/>
      <c r="P73" s="291"/>
      <c r="Q73" s="291" t="e">
        <f aca="false">+D73*4</f>
        <v>#REF!</v>
      </c>
      <c r="R73" s="846" t="e">
        <f aca="false">+Q73-SUM(E73:P73)</f>
        <v>#REF!</v>
      </c>
      <c r="S73" s="871" t="n">
        <f aca="false">+Insumos_Cotação!O82</f>
        <v>0</v>
      </c>
      <c r="T73" s="847" t="n">
        <f aca="false">+(E73*$S73)</f>
        <v>0</v>
      </c>
      <c r="U73" s="847" t="n">
        <f aca="false">+(E73*$S73)+(F73*$S73)</f>
        <v>0</v>
      </c>
      <c r="V73" s="847" t="n">
        <f aca="false">(E73*$S73)+(F73*$S73)+(G73*$S73)</f>
        <v>0</v>
      </c>
      <c r="W73" s="847" t="n">
        <f aca="false">(F73*$S73)+(G73*$S73)+(H73*$S73)</f>
        <v>0</v>
      </c>
      <c r="X73" s="847" t="n">
        <f aca="false">(G73*$S73)+(H73*$S73)+(I73*$S73)</f>
        <v>0</v>
      </c>
      <c r="Y73" s="847" t="n">
        <f aca="false">(H73*$S73)+(I73*$S73)+(J73*$S73)</f>
        <v>0</v>
      </c>
      <c r="Z73" s="847" t="n">
        <f aca="false">(I73*$S73)+(J73*$S73)+(K73*$S73)</f>
        <v>0</v>
      </c>
      <c r="AA73" s="847" t="n">
        <f aca="false">(J73*$S73)+(K73*$S73)+(L73*$S73)</f>
        <v>0</v>
      </c>
      <c r="AB73" s="847" t="n">
        <f aca="false">(K73*$S73)+(L73*$S73)+(M73*$S73)</f>
        <v>0</v>
      </c>
      <c r="AC73" s="847" t="n">
        <f aca="false">(L73*$S73)+(M73*$S73)+(N73*$S73)</f>
        <v>0</v>
      </c>
      <c r="AD73" s="847" t="n">
        <f aca="false">(M73*$S73)+(N73*$S73)+(O73*$S73)</f>
        <v>0</v>
      </c>
      <c r="AE73" s="848" t="n">
        <f aca="false">(N73*$S73)+(O73*($S73*2))+(P73*($S73*3))</f>
        <v>0</v>
      </c>
    </row>
    <row r="74" customFormat="false" ht="11.25" hidden="false" customHeight="false" outlineLevel="0" collapsed="false">
      <c r="A74" s="856"/>
      <c r="B74" s="866" t="e">
        <f aca="false">+#REF!</f>
        <v>#REF!</v>
      </c>
      <c r="C74" s="867" t="e">
        <f aca="false">+#REF!</f>
        <v>#REF!</v>
      </c>
      <c r="D74" s="868" t="e">
        <f aca="false">+#REF!</f>
        <v>#REF!</v>
      </c>
      <c r="E74" s="845"/>
      <c r="F74" s="291"/>
      <c r="G74" s="291"/>
      <c r="H74" s="845"/>
      <c r="I74" s="291"/>
      <c r="J74" s="291"/>
      <c r="K74" s="845"/>
      <c r="L74" s="291"/>
      <c r="M74" s="291"/>
      <c r="N74" s="845"/>
      <c r="O74" s="291"/>
      <c r="P74" s="291"/>
      <c r="Q74" s="291" t="e">
        <f aca="false">+D74*4</f>
        <v>#REF!</v>
      </c>
      <c r="R74" s="846" t="e">
        <f aca="false">+Q74-SUM(E74:P74)</f>
        <v>#REF!</v>
      </c>
      <c r="S74" s="871" t="n">
        <f aca="false">+Insumos_Cotação!O83</f>
        <v>0</v>
      </c>
      <c r="T74" s="847" t="n">
        <f aca="false">+(E74*$S74)</f>
        <v>0</v>
      </c>
      <c r="U74" s="847" t="n">
        <f aca="false">+(E74*$S74)+(F74*$S74)</f>
        <v>0</v>
      </c>
      <c r="V74" s="847" t="n">
        <f aca="false">(E74*$S74)+(F74*$S74)+(G74*$S74)</f>
        <v>0</v>
      </c>
      <c r="W74" s="847" t="n">
        <f aca="false">(F74*$S74)+(G74*$S74)+(H74*$S74)</f>
        <v>0</v>
      </c>
      <c r="X74" s="847" t="n">
        <f aca="false">(G74*$S74)+(H74*$S74)+(I74*$S74)</f>
        <v>0</v>
      </c>
      <c r="Y74" s="847" t="n">
        <f aca="false">(H74*$S74)+(I74*$S74)+(J74*$S74)</f>
        <v>0</v>
      </c>
      <c r="Z74" s="847" t="n">
        <f aca="false">(I74*$S74)+(J74*$S74)+(K74*$S74)</f>
        <v>0</v>
      </c>
      <c r="AA74" s="847" t="n">
        <f aca="false">(J74*$S74)+(K74*$S74)+(L74*$S74)</f>
        <v>0</v>
      </c>
      <c r="AB74" s="847" t="n">
        <f aca="false">(K74*$S74)+(L74*$S74)+(M74*$S74)</f>
        <v>0</v>
      </c>
      <c r="AC74" s="847" t="n">
        <f aca="false">(L74*$S74)+(M74*$S74)+(N74*$S74)</f>
        <v>0</v>
      </c>
      <c r="AD74" s="847" t="n">
        <f aca="false">(M74*$S74)+(N74*$S74)+(O74*$S74)</f>
        <v>0</v>
      </c>
      <c r="AE74" s="848" t="n">
        <f aca="false">(N74*$S74)+(O74*($S74*2))+(P74*($S74*3))</f>
        <v>0</v>
      </c>
    </row>
    <row r="75" customFormat="false" ht="11.25" hidden="false" customHeight="false" outlineLevel="0" collapsed="false">
      <c r="A75" s="856"/>
      <c r="B75" s="866" t="e">
        <f aca="false">+#REF!</f>
        <v>#REF!</v>
      </c>
      <c r="C75" s="867" t="e">
        <f aca="false">+#REF!</f>
        <v>#REF!</v>
      </c>
      <c r="D75" s="868" t="e">
        <f aca="false">+#REF!</f>
        <v>#REF!</v>
      </c>
      <c r="E75" s="845"/>
      <c r="F75" s="291"/>
      <c r="G75" s="291"/>
      <c r="H75" s="845"/>
      <c r="I75" s="291"/>
      <c r="J75" s="291"/>
      <c r="K75" s="845"/>
      <c r="L75" s="291"/>
      <c r="M75" s="291"/>
      <c r="N75" s="845"/>
      <c r="O75" s="291"/>
      <c r="P75" s="291"/>
      <c r="Q75" s="291" t="e">
        <f aca="false">+D75*4</f>
        <v>#REF!</v>
      </c>
      <c r="R75" s="846" t="e">
        <f aca="false">+Q75-SUM(E75:P75)</f>
        <v>#REF!</v>
      </c>
      <c r="S75" s="871" t="n">
        <f aca="false">+Insumos_Cotação!O84</f>
        <v>0</v>
      </c>
      <c r="T75" s="847" t="n">
        <f aca="false">+(E75*$S75)</f>
        <v>0</v>
      </c>
      <c r="U75" s="847" t="n">
        <f aca="false">+(E75*$S75)+(F75*$S75)</f>
        <v>0</v>
      </c>
      <c r="V75" s="847" t="n">
        <f aca="false">(E75*$S75)+(F75*$S75)+(G75*$S75)</f>
        <v>0</v>
      </c>
      <c r="W75" s="847" t="n">
        <f aca="false">(F75*$S75)+(G75*$S75)+(H75*$S75)</f>
        <v>0</v>
      </c>
      <c r="X75" s="847" t="n">
        <f aca="false">(G75*$S75)+(H75*$S75)+(I75*$S75)</f>
        <v>0</v>
      </c>
      <c r="Y75" s="847" t="n">
        <f aca="false">(H75*$S75)+(I75*$S75)+(J75*$S75)</f>
        <v>0</v>
      </c>
      <c r="Z75" s="847" t="n">
        <f aca="false">(I75*$S75)+(J75*$S75)+(K75*$S75)</f>
        <v>0</v>
      </c>
      <c r="AA75" s="847" t="n">
        <f aca="false">(J75*$S75)+(K75*$S75)+(L75*$S75)</f>
        <v>0</v>
      </c>
      <c r="AB75" s="847" t="n">
        <f aca="false">(K75*$S75)+(L75*$S75)+(M75*$S75)</f>
        <v>0</v>
      </c>
      <c r="AC75" s="847" t="n">
        <f aca="false">(L75*$S75)+(M75*$S75)+(N75*$S75)</f>
        <v>0</v>
      </c>
      <c r="AD75" s="847" t="n">
        <f aca="false">(M75*$S75)+(N75*$S75)+(O75*$S75)</f>
        <v>0</v>
      </c>
      <c r="AE75" s="848" t="n">
        <f aca="false">(N75*$S75)+(O75*($S75*2))+(P75*($S75*3))</f>
        <v>0</v>
      </c>
    </row>
    <row r="76" customFormat="false" ht="12" hidden="false" customHeight="false" outlineLevel="0" collapsed="false">
      <c r="A76" s="856"/>
      <c r="B76" s="873" t="e">
        <f aca="false">+#REF!</f>
        <v>#REF!</v>
      </c>
      <c r="C76" s="874" t="e">
        <f aca="false">+#REF!</f>
        <v>#REF!</v>
      </c>
      <c r="D76" s="875" t="e">
        <f aca="false">+#REF!</f>
        <v>#REF!</v>
      </c>
      <c r="E76" s="852"/>
      <c r="F76" s="851"/>
      <c r="G76" s="851"/>
      <c r="H76" s="852"/>
      <c r="I76" s="851"/>
      <c r="J76" s="851"/>
      <c r="K76" s="852"/>
      <c r="L76" s="851"/>
      <c r="M76" s="851"/>
      <c r="N76" s="852"/>
      <c r="O76" s="851"/>
      <c r="P76" s="851"/>
      <c r="Q76" s="851" t="e">
        <f aca="false">+D76*4</f>
        <v>#REF!</v>
      </c>
      <c r="R76" s="853" t="e">
        <f aca="false">+Q76-SUM(E76:P76)</f>
        <v>#REF!</v>
      </c>
      <c r="S76" s="876" t="n">
        <f aca="false">+Insumos_Cotação!O85</f>
        <v>0</v>
      </c>
      <c r="T76" s="854" t="n">
        <f aca="false">+(E76*$S76)</f>
        <v>0</v>
      </c>
      <c r="U76" s="854" t="n">
        <f aca="false">+(E76*$S76)+(F76*$S76)</f>
        <v>0</v>
      </c>
      <c r="V76" s="854" t="n">
        <f aca="false">(E76*$S76)+(F76*$S76)+(G76*$S76)</f>
        <v>0</v>
      </c>
      <c r="W76" s="854" t="n">
        <f aca="false">(F76*$S76)+(G76*$S76)+(H76*$S76)</f>
        <v>0</v>
      </c>
      <c r="X76" s="854" t="n">
        <f aca="false">(G76*$S76)+(H76*$S76)+(I76*$S76)</f>
        <v>0</v>
      </c>
      <c r="Y76" s="854" t="n">
        <f aca="false">(H76*$S76)+(I76*$S76)+(J76*$S76)</f>
        <v>0</v>
      </c>
      <c r="Z76" s="854" t="n">
        <f aca="false">(I76*$S76)+(J76*$S76)+(K76*$S76)</f>
        <v>0</v>
      </c>
      <c r="AA76" s="854" t="n">
        <f aca="false">(J76*$S76)+(K76*$S76)+(L76*$S76)</f>
        <v>0</v>
      </c>
      <c r="AB76" s="854" t="n">
        <f aca="false">(K76*$S76)+(L76*$S76)+(M76*$S76)</f>
        <v>0</v>
      </c>
      <c r="AC76" s="854" t="n">
        <f aca="false">(L76*$S76)+(M76*$S76)+(N76*$S76)</f>
        <v>0</v>
      </c>
      <c r="AD76" s="854" t="n">
        <f aca="false">(M76*$S76)+(N76*$S76)+(O76*$S76)</f>
        <v>0</v>
      </c>
      <c r="AE76" s="855" t="n">
        <f aca="false">(N76*$S76)+(O76*($S76*2))+(P76*($S76*3))</f>
        <v>0</v>
      </c>
    </row>
    <row r="77" customFormat="false" ht="11.25" hidden="false" customHeight="true" outlineLevel="0" collapsed="false">
      <c r="A77" s="856" t="s">
        <v>299</v>
      </c>
      <c r="B77" s="857" t="e">
        <f aca="false">+#REF!</f>
        <v>#REF!</v>
      </c>
      <c r="C77" s="837" t="e">
        <f aca="false">+#REF!</f>
        <v>#REF!</v>
      </c>
      <c r="D77" s="838" t="e">
        <f aca="false">+#REF!</f>
        <v>#REF!</v>
      </c>
      <c r="E77" s="839"/>
      <c r="F77" s="838"/>
      <c r="G77" s="838"/>
      <c r="H77" s="838"/>
      <c r="I77" s="838"/>
      <c r="J77" s="838"/>
      <c r="K77" s="839"/>
      <c r="L77" s="838"/>
      <c r="M77" s="838"/>
      <c r="N77" s="838"/>
      <c r="O77" s="838"/>
      <c r="P77" s="838"/>
      <c r="Q77" s="838" t="e">
        <f aca="false">+D77*2</f>
        <v>#REF!</v>
      </c>
      <c r="R77" s="840" t="e">
        <f aca="false">+Q77-SUM(E77:P77)</f>
        <v>#REF!</v>
      </c>
      <c r="S77" s="841" t="n">
        <f aca="false">+Insumos_Cotação!O87</f>
        <v>0</v>
      </c>
      <c r="T77" s="841" t="n">
        <f aca="false">+E77*$S77</f>
        <v>0</v>
      </c>
      <c r="U77" s="841" t="n">
        <f aca="false">+E77*$S77+F77*$S77</f>
        <v>0</v>
      </c>
      <c r="V77" s="841" t="n">
        <f aca="false">+E77*$S77+F77*$S77+G77*$S77</f>
        <v>0</v>
      </c>
      <c r="W77" s="841" t="n">
        <f aca="false">++E77*$S77+F77*$S77+G77*$S77+H77*$S77</f>
        <v>0</v>
      </c>
      <c r="X77" s="841" t="n">
        <f aca="false">+E77*$S77+F77*$S77+G77*$S77+H77*$S77+I77*$S77</f>
        <v>0</v>
      </c>
      <c r="Y77" s="841" t="n">
        <f aca="false">+E77*$S77+F77*$S77+G77*$S77+H77*$S77+I77*$S77+J77*$S77</f>
        <v>0</v>
      </c>
      <c r="Z77" s="841" t="n">
        <f aca="false">+F77*$S77+G77*$S77+H77*$S77+I77*$S77+J77*$S77+K77*$S77</f>
        <v>0</v>
      </c>
      <c r="AA77" s="841" t="n">
        <f aca="false">+G77*$S77+H77*$S77+I77*$S77+J77*$S77+K77*$S77+L77*$S77</f>
        <v>0</v>
      </c>
      <c r="AB77" s="841" t="n">
        <f aca="false">+H77*$S77+I77*$S77+J77*$S77+K77*$S77+L77*$S77+M77*$S77</f>
        <v>0</v>
      </c>
      <c r="AC77" s="841" t="n">
        <f aca="false">+I77*$S77+J77*$S77+K77*$S77+L77*$S77+M77*$S77+N77*$S77</f>
        <v>0</v>
      </c>
      <c r="AD77" s="841" t="n">
        <f aca="false">+J77*$S77+K77*$S77+L77*$S77+M77*$S77+N77*$S77+O77*$S77</f>
        <v>0</v>
      </c>
      <c r="AE77" s="842" t="n">
        <f aca="false">+K77*$S77+L77*$S77+M77*$S77+N77*$S77+O77*$S77+P77*$S77</f>
        <v>0</v>
      </c>
    </row>
    <row r="78" customFormat="false" ht="11.25" hidden="false" customHeight="false" outlineLevel="0" collapsed="false">
      <c r="A78" s="856"/>
      <c r="B78" s="858" t="e">
        <f aca="false">+#REF!</f>
        <v>#REF!</v>
      </c>
      <c r="C78" s="844" t="e">
        <f aca="false">+#REF!</f>
        <v>#REF!</v>
      </c>
      <c r="D78" s="291" t="e">
        <f aca="false">+#REF!</f>
        <v>#REF!</v>
      </c>
      <c r="E78" s="845"/>
      <c r="F78" s="291"/>
      <c r="G78" s="291"/>
      <c r="H78" s="291"/>
      <c r="I78" s="291"/>
      <c r="J78" s="291"/>
      <c r="K78" s="845"/>
      <c r="L78" s="291"/>
      <c r="M78" s="291"/>
      <c r="N78" s="291"/>
      <c r="O78" s="291"/>
      <c r="P78" s="291"/>
      <c r="Q78" s="291" t="e">
        <f aca="false">+D78*2</f>
        <v>#REF!</v>
      </c>
      <c r="R78" s="846" t="e">
        <f aca="false">+Q78-SUM(E78:P78)</f>
        <v>#REF!</v>
      </c>
      <c r="S78" s="847" t="n">
        <f aca="false">+Insumos_Cotação!O88</f>
        <v>0</v>
      </c>
      <c r="T78" s="847" t="n">
        <f aca="false">+E78*$S78</f>
        <v>0</v>
      </c>
      <c r="U78" s="847" t="n">
        <f aca="false">+E78*$S78+F78*$S78</f>
        <v>0</v>
      </c>
      <c r="V78" s="847" t="n">
        <f aca="false">+E78*$S78+F78*$S78+G78*$S78</f>
        <v>0</v>
      </c>
      <c r="W78" s="847" t="n">
        <f aca="false">++E78*$S78+F78*$S78+G78*$S78+H78*$S78</f>
        <v>0</v>
      </c>
      <c r="X78" s="847" t="n">
        <f aca="false">+E78*$S78+F78*$S78+G78*$S78+H78*$S78+I78*$S78</f>
        <v>0</v>
      </c>
      <c r="Y78" s="847" t="n">
        <f aca="false">+E78*$S78+F78*$S78+G78*$S78+H78*$S78+I78*$S78+J78*$S78</f>
        <v>0</v>
      </c>
      <c r="Z78" s="847" t="n">
        <f aca="false">+F78*$S78+G78*$S78+H78*$S78+I78*$S78+J78*$S78+K78*$S78</f>
        <v>0</v>
      </c>
      <c r="AA78" s="847" t="n">
        <f aca="false">+G78*$S78+H78*$S78+I78*$S78+J78*$S78+K78*$S78+L78*$S78</f>
        <v>0</v>
      </c>
      <c r="AB78" s="847" t="n">
        <f aca="false">+H78*$S78+I78*$S78+J78*$S78+K78*$S78+L78*$S78+M78*$S78</f>
        <v>0</v>
      </c>
      <c r="AC78" s="847" t="n">
        <f aca="false">+I78*$S78+J78*$S78+K78*$S78+L78*$S78+M78*$S78+N78*$S78</f>
        <v>0</v>
      </c>
      <c r="AD78" s="847" t="n">
        <f aca="false">+J78*$S78+K78*$S78+L78*$S78+M78*$S78+N78*$S78+O78*$S78</f>
        <v>0</v>
      </c>
      <c r="AE78" s="848" t="n">
        <f aca="false">+K78*$S78+L78*$S78+M78*$S78+N78*$S78+O78*$S78+P78*$S78</f>
        <v>0</v>
      </c>
    </row>
    <row r="79" customFormat="false" ht="11.25" hidden="false" customHeight="false" outlineLevel="0" collapsed="false">
      <c r="A79" s="856"/>
      <c r="B79" s="858" t="e">
        <f aca="false">+#REF!</f>
        <v>#REF!</v>
      </c>
      <c r="C79" s="844" t="e">
        <f aca="false">+#REF!</f>
        <v>#REF!</v>
      </c>
      <c r="D79" s="291" t="e">
        <f aca="false">+#REF!</f>
        <v>#REF!</v>
      </c>
      <c r="E79" s="845"/>
      <c r="F79" s="291"/>
      <c r="G79" s="291"/>
      <c r="H79" s="291"/>
      <c r="I79" s="291"/>
      <c r="J79" s="291"/>
      <c r="K79" s="845"/>
      <c r="L79" s="291"/>
      <c r="M79" s="291"/>
      <c r="N79" s="291"/>
      <c r="O79" s="291"/>
      <c r="P79" s="291"/>
      <c r="Q79" s="291" t="e">
        <f aca="false">+D79*2</f>
        <v>#REF!</v>
      </c>
      <c r="R79" s="846" t="e">
        <f aca="false">+Q79-SUM(E79:P79)</f>
        <v>#REF!</v>
      </c>
      <c r="S79" s="847" t="n">
        <f aca="false">+Insumos_Cotação!O89</f>
        <v>0</v>
      </c>
      <c r="T79" s="847" t="n">
        <f aca="false">+E79*$S79</f>
        <v>0</v>
      </c>
      <c r="U79" s="847" t="n">
        <f aca="false">+E79*$S79+F79*$S79</f>
        <v>0</v>
      </c>
      <c r="V79" s="847" t="n">
        <f aca="false">+E79*$S79+F79*$S79+G79*$S79</f>
        <v>0</v>
      </c>
      <c r="W79" s="847" t="n">
        <f aca="false">++E79*$S79+F79*$S79+G79*$S79+H79*$S79</f>
        <v>0</v>
      </c>
      <c r="X79" s="847" t="n">
        <f aca="false">+E79*$S79+F79*$S79+G79*$S79+H79*$S79+I79*$S79</f>
        <v>0</v>
      </c>
      <c r="Y79" s="847" t="n">
        <f aca="false">+E79*$S79+F79*$S79+G79*$S79+H79*$S79+I79*$S79+J79*$S79</f>
        <v>0</v>
      </c>
      <c r="Z79" s="847" t="n">
        <f aca="false">+F79*$S79+G79*$S79+H79*$S79+I79*$S79+J79*$S79+K79*$S79</f>
        <v>0</v>
      </c>
      <c r="AA79" s="847" t="n">
        <f aca="false">+G79*$S79+H79*$S79+I79*$S79+J79*$S79+K79*$S79+L79*$S79</f>
        <v>0</v>
      </c>
      <c r="AB79" s="847" t="n">
        <f aca="false">+H79*$S79+I79*$S79+J79*$S79+K79*$S79+L79*$S79+M79*$S79</f>
        <v>0</v>
      </c>
      <c r="AC79" s="847" t="n">
        <f aca="false">+I79*$S79+J79*$S79+K79*$S79+L79*$S79+M79*$S79+N79*$S79</f>
        <v>0</v>
      </c>
      <c r="AD79" s="847" t="n">
        <f aca="false">+J79*$S79+K79*$S79+L79*$S79+M79*$S79+N79*$S79+O79*$S79</f>
        <v>0</v>
      </c>
      <c r="AE79" s="848" t="n">
        <f aca="false">+K79*$S79+L79*$S79+M79*$S79+N79*$S79+O79*$S79+P79*$S79</f>
        <v>0</v>
      </c>
    </row>
    <row r="80" customFormat="false" ht="11.25" hidden="false" customHeight="false" outlineLevel="0" collapsed="false">
      <c r="A80" s="856"/>
      <c r="B80" s="858" t="e">
        <f aca="false">+#REF!</f>
        <v>#REF!</v>
      </c>
      <c r="C80" s="844" t="e">
        <f aca="false">+#REF!</f>
        <v>#REF!</v>
      </c>
      <c r="D80" s="291" t="e">
        <f aca="false">+#REF!</f>
        <v>#REF!</v>
      </c>
      <c r="E80" s="845"/>
      <c r="F80" s="291"/>
      <c r="G80" s="291"/>
      <c r="H80" s="291"/>
      <c r="I80" s="291"/>
      <c r="J80" s="291"/>
      <c r="K80" s="845"/>
      <c r="L80" s="291"/>
      <c r="M80" s="291"/>
      <c r="N80" s="291"/>
      <c r="O80" s="291"/>
      <c r="P80" s="291"/>
      <c r="Q80" s="291" t="e">
        <f aca="false">+D80*2</f>
        <v>#REF!</v>
      </c>
      <c r="R80" s="846" t="e">
        <f aca="false">+Q80-SUM(E80:P80)</f>
        <v>#REF!</v>
      </c>
      <c r="S80" s="847" t="n">
        <f aca="false">+Insumos_Cotação!O90</f>
        <v>0</v>
      </c>
      <c r="T80" s="847" t="n">
        <f aca="false">+E80*$S80</f>
        <v>0</v>
      </c>
      <c r="U80" s="847" t="n">
        <f aca="false">+E80*$S80+F80*$S80</f>
        <v>0</v>
      </c>
      <c r="V80" s="847" t="n">
        <f aca="false">+E80*$S80+F80*$S80+G80*$S80</f>
        <v>0</v>
      </c>
      <c r="W80" s="847" t="n">
        <f aca="false">++E80*$S80+F80*$S80+G80*$S80+H80*$S80</f>
        <v>0</v>
      </c>
      <c r="X80" s="847" t="n">
        <f aca="false">+E80*$S80+F80*$S80+G80*$S80+H80*$S80+I80*$S80</f>
        <v>0</v>
      </c>
      <c r="Y80" s="847" t="n">
        <f aca="false">+E80*$S80+F80*$S80+G80*$S80+H80*$S80+I80*$S80+J80*$S80</f>
        <v>0</v>
      </c>
      <c r="Z80" s="847" t="n">
        <f aca="false">+F80*$S80+G80*$S80+H80*$S80+I80*$S80+J80*$S80+K80*$S80</f>
        <v>0</v>
      </c>
      <c r="AA80" s="847" t="n">
        <f aca="false">+G80*$S80+H80*$S80+I80*$S80+J80*$S80+K80*$S80+L80*$S80</f>
        <v>0</v>
      </c>
      <c r="AB80" s="847" t="n">
        <f aca="false">+H80*$S80+I80*$S80+J80*$S80+K80*$S80+L80*$S80+M80*$S80</f>
        <v>0</v>
      </c>
      <c r="AC80" s="847" t="n">
        <f aca="false">+I80*$S80+J80*$S80+K80*$S80+L80*$S80+M80*$S80+N80*$S80</f>
        <v>0</v>
      </c>
      <c r="AD80" s="847" t="n">
        <f aca="false">+J80*$S80+K80*$S80+L80*$S80+M80*$S80+N80*$S80+O80*$S80</f>
        <v>0</v>
      </c>
      <c r="AE80" s="848" t="n">
        <f aca="false">+K80*$S80+L80*$S80+M80*$S80+N80*$S80+O80*$S80+P80*$S80</f>
        <v>0</v>
      </c>
    </row>
    <row r="81" customFormat="false" ht="12" hidden="false" customHeight="false" outlineLevel="0" collapsed="false">
      <c r="A81" s="856"/>
      <c r="B81" s="859" t="e">
        <f aca="false">+#REF!</f>
        <v>#REF!</v>
      </c>
      <c r="C81" s="860" t="e">
        <f aca="false">+#REF!</f>
        <v>#REF!</v>
      </c>
      <c r="D81" s="861" t="e">
        <f aca="false">+#REF!</f>
        <v>#REF!</v>
      </c>
      <c r="E81" s="862"/>
      <c r="F81" s="861"/>
      <c r="G81" s="861"/>
      <c r="H81" s="861"/>
      <c r="I81" s="861"/>
      <c r="J81" s="861"/>
      <c r="K81" s="862"/>
      <c r="L81" s="861"/>
      <c r="M81" s="861"/>
      <c r="N81" s="861"/>
      <c r="O81" s="861"/>
      <c r="P81" s="861"/>
      <c r="Q81" s="861" t="e">
        <f aca="false">+D81*2</f>
        <v>#REF!</v>
      </c>
      <c r="R81" s="863" t="e">
        <f aca="false">+Q81-SUM(E81:P81)</f>
        <v>#REF!</v>
      </c>
      <c r="S81" s="864" t="n">
        <f aca="false">+Insumos_Cotação!O91</f>
        <v>0</v>
      </c>
      <c r="T81" s="864" t="n">
        <f aca="false">+E81*$S81</f>
        <v>0</v>
      </c>
      <c r="U81" s="864" t="n">
        <f aca="false">+E81*$S81+F81*$S81</f>
        <v>0</v>
      </c>
      <c r="V81" s="864" t="n">
        <f aca="false">+E81*$S81+F81*$S81+G81*$S81</f>
        <v>0</v>
      </c>
      <c r="W81" s="864" t="n">
        <f aca="false">++E81*$S81+F81*$S81+G81*$S81+H81*$S81</f>
        <v>0</v>
      </c>
      <c r="X81" s="864" t="n">
        <f aca="false">+E81*$S81+F81*$S81+G81*$S81+H81*$S81+I81*$S81</f>
        <v>0</v>
      </c>
      <c r="Y81" s="864" t="n">
        <f aca="false">+E81*$S81+F81*$S81+G81*$S81+H81*$S81+I81*$S81+J81*$S81</f>
        <v>0</v>
      </c>
      <c r="Z81" s="864" t="n">
        <f aca="false">+F81*$S81+G81*$S81+H81*$S81+I81*$S81+J81*$S81+K81*$S81</f>
        <v>0</v>
      </c>
      <c r="AA81" s="864" t="n">
        <f aca="false">+G81*$S81+H81*$S81+I81*$S81+J81*$S81+K81*$S81+L81*$S81</f>
        <v>0</v>
      </c>
      <c r="AB81" s="864" t="n">
        <f aca="false">+H81*$S81+I81*$S81+J81*$S81+K81*$S81+L81*$S81+M81*$S81</f>
        <v>0</v>
      </c>
      <c r="AC81" s="864" t="n">
        <f aca="false">+I81*$S81+J81*$S81+K81*$S81+L81*$S81+M81*$S81+N81*$S81</f>
        <v>0</v>
      </c>
      <c r="AD81" s="864" t="n">
        <f aca="false">+J81*$S81+K81*$S81+L81*$S81+M81*$S81+N81*$S81+O81*$S81</f>
        <v>0</v>
      </c>
      <c r="AE81" s="865" t="n">
        <f aca="false">+K81*$S81+L81*$S81+M81*$S81+N81*$S81+O81*$S81+P81*$S81</f>
        <v>0</v>
      </c>
    </row>
    <row r="82" customFormat="false" ht="11.25" hidden="false" customHeight="true" outlineLevel="0" collapsed="false">
      <c r="A82" s="856" t="s">
        <v>305</v>
      </c>
      <c r="B82" s="857" t="e">
        <f aca="false">+#REF!</f>
        <v>#REF!</v>
      </c>
      <c r="C82" s="837" t="e">
        <f aca="false">+#REF!</f>
        <v>#REF!</v>
      </c>
      <c r="D82" s="838" t="e">
        <f aca="false">+#REF!</f>
        <v>#REF!</v>
      </c>
      <c r="E82" s="839"/>
      <c r="F82" s="838"/>
      <c r="G82" s="838"/>
      <c r="H82" s="838"/>
      <c r="I82" s="838"/>
      <c r="J82" s="838"/>
      <c r="K82" s="838"/>
      <c r="L82" s="838"/>
      <c r="M82" s="838"/>
      <c r="N82" s="838"/>
      <c r="O82" s="838"/>
      <c r="P82" s="838"/>
      <c r="Q82" s="838" t="e">
        <f aca="false">+D82</f>
        <v>#REF!</v>
      </c>
      <c r="R82" s="840" t="e">
        <f aca="false">+Q82-SUM(E82:P82)</f>
        <v>#REF!</v>
      </c>
      <c r="S82" s="841" t="n">
        <f aca="false">+Insumos_Cotação!S93</f>
        <v>0</v>
      </c>
      <c r="T82" s="841" t="n">
        <f aca="false">+E82*$S82</f>
        <v>0</v>
      </c>
      <c r="U82" s="841" t="n">
        <f aca="false">+E82*$S82+F82*$S82</f>
        <v>0</v>
      </c>
      <c r="V82" s="841" t="n">
        <f aca="false">+E82*$S82+F82*$S82+G82*$S82</f>
        <v>0</v>
      </c>
      <c r="W82" s="841" t="n">
        <f aca="false">++E82*$S82+F82*$S82+G82*$S82+H82*$S82</f>
        <v>0</v>
      </c>
      <c r="X82" s="841" t="n">
        <f aca="false">+E82*$S82+F82*$S82+G82*$S82+H82*$S82+I82*$S82</f>
        <v>0</v>
      </c>
      <c r="Y82" s="841" t="n">
        <f aca="false">+E82*$S82+F82*$S82+G82*$S82+H82*$S82+I82*$S82+J82*$S82</f>
        <v>0</v>
      </c>
      <c r="Z82" s="841" t="n">
        <f aca="false">+E82*$S82+F82*$S82+G82*$S82+H82*$S82+I82*$S82+J82*$S82+K82*$S82</f>
        <v>0</v>
      </c>
      <c r="AA82" s="841" t="n">
        <f aca="false">++E82*$S82+F82*$S82+G82*$S82+H82*$S82+I82*$S82+J82*$S82+K82*$S82+L82*$S82</f>
        <v>0</v>
      </c>
      <c r="AB82" s="841" t="n">
        <f aca="false">+E82*$S82+F82*$S82+G82*$S82+H82*$S82+I82*$S82+J82*$S82+K82*$S82+L82*$S82+M82*$S82</f>
        <v>0</v>
      </c>
      <c r="AC82" s="841" t="n">
        <f aca="false">+E82*$S82+F82*$S82+G82*$S82+H82*$S82+I82*$S82+J82*$S82+K82*$S82+L82*$S82+M82*$S82+N82*$S82</f>
        <v>0</v>
      </c>
      <c r="AD82" s="841" t="n">
        <f aca="false">+E82*$S82+F82*$S82+G82*$S82+H82*$S82+I82*$S82+J82*$S82+K82*$S82+L82*$S82+M82*$S82+N82*$S82+O82*$S82</f>
        <v>0</v>
      </c>
      <c r="AE82" s="842" t="n">
        <f aca="false">+E82*$S82+F82*$S82+G82*$S82+H82*$S82+I82*$S82+J82*$S82+K82*$S82+L82*$S82+M82*$S82+N82*$S82+O82*$S82+P82*$S82</f>
        <v>0</v>
      </c>
    </row>
    <row r="83" customFormat="false" ht="11.25" hidden="false" customHeight="false" outlineLevel="0" collapsed="false">
      <c r="A83" s="856"/>
      <c r="B83" s="858" t="e">
        <f aca="false">+#REF!</f>
        <v>#REF!</v>
      </c>
      <c r="C83" s="844" t="e">
        <f aca="false">+#REF!</f>
        <v>#REF!</v>
      </c>
      <c r="D83" s="291" t="e">
        <f aca="false">+#REF!</f>
        <v>#REF!</v>
      </c>
      <c r="E83" s="845"/>
      <c r="F83" s="291"/>
      <c r="G83" s="291"/>
      <c r="H83" s="291"/>
      <c r="I83" s="291"/>
      <c r="J83" s="291"/>
      <c r="K83" s="291"/>
      <c r="L83" s="291"/>
      <c r="M83" s="291"/>
      <c r="N83" s="291"/>
      <c r="O83" s="291"/>
      <c r="P83" s="291"/>
      <c r="Q83" s="291" t="e">
        <f aca="false">+D83</f>
        <v>#REF!</v>
      </c>
      <c r="R83" s="846" t="e">
        <f aca="false">+Q83-SUM(E83:P83)</f>
        <v>#REF!</v>
      </c>
      <c r="S83" s="847" t="n">
        <f aca="false">+Insumos_Cotação!S94</f>
        <v>0</v>
      </c>
      <c r="T83" s="847" t="n">
        <f aca="false">+E83*$S83</f>
        <v>0</v>
      </c>
      <c r="U83" s="847" t="n">
        <f aca="false">+E83*$S83+F83*$S83</f>
        <v>0</v>
      </c>
      <c r="V83" s="847" t="n">
        <f aca="false">+E83*$S83+F83*$S83+G83*$S83</f>
        <v>0</v>
      </c>
      <c r="W83" s="847" t="n">
        <f aca="false">++E83*$S83+F83*$S83+G83*$S83+H83*$S83</f>
        <v>0</v>
      </c>
      <c r="X83" s="847" t="n">
        <f aca="false">+E83*$S83+F83*$S83+G83*$S83+H83*$S83+I83*$S83</f>
        <v>0</v>
      </c>
      <c r="Y83" s="847" t="n">
        <f aca="false">+E83*$S83+F83*$S83+G83*$S83+H83*$S83+I83*$S83+J83*$S83</f>
        <v>0</v>
      </c>
      <c r="Z83" s="847" t="n">
        <f aca="false">+E83*$S83+F83*$S83+G83*$S83+H83*$S83+I83*$S83+J83*$S83+K83*$S83</f>
        <v>0</v>
      </c>
      <c r="AA83" s="847" t="n">
        <f aca="false">++E83*$S83+F83*$S83+G83*$S83+H83*$S83+I83*$S83+J83*$S83+K83*$S83+L83*$S83</f>
        <v>0</v>
      </c>
      <c r="AB83" s="847" t="n">
        <f aca="false">+E83*$S83+F83*$S83+G83*$S83+H83*$S83+I83*$S83+J83*$S83+K83*$S83+L83*$S83+M83*$S83</f>
        <v>0</v>
      </c>
      <c r="AC83" s="847" t="n">
        <f aca="false">+E83*$S83+F83*$S83+G83*$S83+H83*$S83+I83*$S83+J83*$S83+K83*$S83+L83*$S83+M83*$S83+N83*$S83</f>
        <v>0</v>
      </c>
      <c r="AD83" s="847" t="n">
        <f aca="false">+E83*$S83+F83*$S83+G83*$S83+H83*$S83+I83*$S83+J83*$S83+K83*$S83+L83*$S83+M83*$S83+N83*$S83+O83*$S83</f>
        <v>0</v>
      </c>
      <c r="AE83" s="848" t="n">
        <f aca="false">+E83*$S83+F83*$S83+G83*$S83+H83*$S83+I83*$S83+J83*$S83+K83*$S83+L83*$S83+M83*$S83+N83*$S83+O83*$S83+P83*$S83</f>
        <v>0</v>
      </c>
    </row>
    <row r="84" customFormat="false" ht="11.25" hidden="false" customHeight="false" outlineLevel="0" collapsed="false">
      <c r="A84" s="856"/>
      <c r="B84" s="858" t="e">
        <f aca="false">+#REF!</f>
        <v>#REF!</v>
      </c>
      <c r="C84" s="844" t="e">
        <f aca="false">+#REF!</f>
        <v>#REF!</v>
      </c>
      <c r="D84" s="291" t="e">
        <f aca="false">+#REF!</f>
        <v>#REF!</v>
      </c>
      <c r="E84" s="845"/>
      <c r="F84" s="291"/>
      <c r="G84" s="291"/>
      <c r="H84" s="291"/>
      <c r="I84" s="291"/>
      <c r="J84" s="291"/>
      <c r="K84" s="291"/>
      <c r="L84" s="291"/>
      <c r="M84" s="291"/>
      <c r="N84" s="291"/>
      <c r="O84" s="291"/>
      <c r="P84" s="291"/>
      <c r="Q84" s="291" t="e">
        <f aca="false">+D84</f>
        <v>#REF!</v>
      </c>
      <c r="R84" s="846" t="e">
        <f aca="false">+Q84-SUM(E84:P84)</f>
        <v>#REF!</v>
      </c>
      <c r="S84" s="847" t="n">
        <f aca="false">+Insumos_Cotação!S95</f>
        <v>0</v>
      </c>
      <c r="T84" s="847" t="n">
        <f aca="false">+E84*$S84</f>
        <v>0</v>
      </c>
      <c r="U84" s="847" t="n">
        <f aca="false">+E84*$S84+F84*$S84</f>
        <v>0</v>
      </c>
      <c r="V84" s="847" t="n">
        <f aca="false">+E84*$S84+F84*$S84+G84*$S84</f>
        <v>0</v>
      </c>
      <c r="W84" s="847" t="n">
        <f aca="false">++E84*$S84+F84*$S84+G84*$S84+H84*$S84</f>
        <v>0</v>
      </c>
      <c r="X84" s="847" t="n">
        <f aca="false">+E84*$S84+F84*$S84+G84*$S84+H84*$S84+I84*$S84</f>
        <v>0</v>
      </c>
      <c r="Y84" s="847" t="n">
        <f aca="false">+E84*$S84+F84*$S84+G84*$S84+H84*$S84+I84*$S84+J84*$S84</f>
        <v>0</v>
      </c>
      <c r="Z84" s="847" t="n">
        <f aca="false">+E84*$S84+F84*$S84+G84*$S84+H84*$S84+I84*$S84+J84*$S84+K84*$S84</f>
        <v>0</v>
      </c>
      <c r="AA84" s="847" t="n">
        <f aca="false">++E84*$S84+F84*$S84+G84*$S84+H84*$S84+I84*$S84+J84*$S84+K84*$S84+L84*$S84</f>
        <v>0</v>
      </c>
      <c r="AB84" s="847" t="n">
        <f aca="false">+E84*$S84+F84*$S84+G84*$S84+H84*$S84+I84*$S84+J84*$S84+K84*$S84+L84*$S84+M84*$S84</f>
        <v>0</v>
      </c>
      <c r="AC84" s="847" t="n">
        <f aca="false">+E84*$S84+F84*$S84+G84*$S84+H84*$S84+I84*$S84+J84*$S84+K84*$S84+L84*$S84+M84*$S84+N84*$S84</f>
        <v>0</v>
      </c>
      <c r="AD84" s="847" t="n">
        <f aca="false">+E84*$S84+F84*$S84+G84*$S84+H84*$S84+I84*$S84+J84*$S84+K84*$S84+L84*$S84+M84*$S84+N84*$S84+O84*$S84</f>
        <v>0</v>
      </c>
      <c r="AE84" s="848" t="n">
        <f aca="false">+E84*$S84+F84*$S84+G84*$S84+H84*$S84+I84*$S84+J84*$S84+K84*$S84+L84*$S84+M84*$S84+N84*$S84+O84*$S84+P84*$S84</f>
        <v>0</v>
      </c>
    </row>
    <row r="85" customFormat="false" ht="11.25" hidden="false" customHeight="false" outlineLevel="0" collapsed="false">
      <c r="A85" s="856"/>
      <c r="B85" s="858" t="e">
        <f aca="false">+#REF!</f>
        <v>#REF!</v>
      </c>
      <c r="C85" s="844" t="e">
        <f aca="false">+#REF!</f>
        <v>#REF!</v>
      </c>
      <c r="D85" s="291" t="e">
        <f aca="false">+#REF!</f>
        <v>#REF!</v>
      </c>
      <c r="E85" s="845"/>
      <c r="F85" s="291"/>
      <c r="G85" s="291"/>
      <c r="H85" s="291"/>
      <c r="I85" s="291"/>
      <c r="J85" s="291"/>
      <c r="K85" s="291"/>
      <c r="L85" s="291"/>
      <c r="M85" s="291"/>
      <c r="N85" s="291"/>
      <c r="O85" s="291"/>
      <c r="P85" s="291"/>
      <c r="Q85" s="291" t="e">
        <f aca="false">+D85</f>
        <v>#REF!</v>
      </c>
      <c r="R85" s="846" t="e">
        <f aca="false">+Q85-SUM(E85:P85)</f>
        <v>#REF!</v>
      </c>
      <c r="S85" s="847" t="n">
        <f aca="false">+Insumos_Cotação!S96</f>
        <v>0</v>
      </c>
      <c r="T85" s="847" t="n">
        <f aca="false">+E85*$S85</f>
        <v>0</v>
      </c>
      <c r="U85" s="847" t="n">
        <f aca="false">+E85*$S85+F85*$S85</f>
        <v>0</v>
      </c>
      <c r="V85" s="847" t="n">
        <f aca="false">+E85*$S85+F85*$S85+G85*$S85</f>
        <v>0</v>
      </c>
      <c r="W85" s="847" t="n">
        <f aca="false">++E85*$S85+F85*$S85+G85*$S85+H85*$S85</f>
        <v>0</v>
      </c>
      <c r="X85" s="847" t="n">
        <f aca="false">+E85*$S85+F85*$S85+G85*$S85+H85*$S85+I85*$S85</f>
        <v>0</v>
      </c>
      <c r="Y85" s="847" t="n">
        <f aca="false">+E85*$S85+F85*$S85+G85*$S85+H85*$S85+I85*$S85+J85*$S85</f>
        <v>0</v>
      </c>
      <c r="Z85" s="847" t="n">
        <f aca="false">+E85*$S85+F85*$S85+G85*$S85+H85*$S85+I85*$S85+J85*$S85+K85*$S85</f>
        <v>0</v>
      </c>
      <c r="AA85" s="847" t="n">
        <f aca="false">++E85*$S85+F85*$S85+G85*$S85+H85*$S85+I85*$S85+J85*$S85+K85*$S85+L85*$S85</f>
        <v>0</v>
      </c>
      <c r="AB85" s="847" t="n">
        <f aca="false">+E85*$S85+F85*$S85+G85*$S85+H85*$S85+I85*$S85+J85*$S85+K85*$S85+L85*$S85+M85*$S85</f>
        <v>0</v>
      </c>
      <c r="AC85" s="847" t="n">
        <f aca="false">+E85*$S85+F85*$S85+G85*$S85+H85*$S85+I85*$S85+J85*$S85+K85*$S85+L85*$S85+M85*$S85+N85*$S85</f>
        <v>0</v>
      </c>
      <c r="AD85" s="847" t="n">
        <f aca="false">+E85*$S85+F85*$S85+G85*$S85+H85*$S85+I85*$S85+J85*$S85+K85*$S85+L85*$S85+M85*$S85+N85*$S85+O85*$S85</f>
        <v>0</v>
      </c>
      <c r="AE85" s="848" t="n">
        <f aca="false">+E85*$S85+F85*$S85+G85*$S85+H85*$S85+I85*$S85+J85*$S85+K85*$S85+L85*$S85+M85*$S85+N85*$S85+O85*$S85+P85*$S85</f>
        <v>0</v>
      </c>
    </row>
    <row r="86" customFormat="false" ht="11.25" hidden="false" customHeight="false" outlineLevel="0" collapsed="false">
      <c r="A86" s="856"/>
      <c r="B86" s="858" t="e">
        <f aca="false">+#REF!</f>
        <v>#REF!</v>
      </c>
      <c r="C86" s="844" t="e">
        <f aca="false">+#REF!</f>
        <v>#REF!</v>
      </c>
      <c r="D86" s="291" t="e">
        <f aca="false">+#REF!</f>
        <v>#REF!</v>
      </c>
      <c r="E86" s="845"/>
      <c r="F86" s="291"/>
      <c r="G86" s="291"/>
      <c r="H86" s="291"/>
      <c r="I86" s="291"/>
      <c r="J86" s="291"/>
      <c r="K86" s="291"/>
      <c r="L86" s="291"/>
      <c r="M86" s="291"/>
      <c r="N86" s="291"/>
      <c r="O86" s="291"/>
      <c r="P86" s="291"/>
      <c r="Q86" s="291" t="e">
        <f aca="false">+D86</f>
        <v>#REF!</v>
      </c>
      <c r="R86" s="846" t="e">
        <f aca="false">+Q86-SUM(E86:P86)</f>
        <v>#REF!</v>
      </c>
      <c r="S86" s="847" t="n">
        <f aca="false">+Insumos_Cotação!S97</f>
        <v>0</v>
      </c>
      <c r="T86" s="847" t="n">
        <f aca="false">+E86*$S86</f>
        <v>0</v>
      </c>
      <c r="U86" s="847" t="n">
        <f aca="false">+E86*$S86+F86*$S86</f>
        <v>0</v>
      </c>
      <c r="V86" s="847" t="n">
        <f aca="false">+E86*$S86+F86*$S86+G86*$S86</f>
        <v>0</v>
      </c>
      <c r="W86" s="847" t="n">
        <f aca="false">++E86*$S86+F86*$S86+G86*$S86+H86*$S86</f>
        <v>0</v>
      </c>
      <c r="X86" s="847" t="n">
        <f aca="false">+E86*$S86+F86*$S86+G86*$S86+H86*$S86+I86*$S86</f>
        <v>0</v>
      </c>
      <c r="Y86" s="847" t="n">
        <f aca="false">+E86*$S86+F86*$S86+G86*$S86+H86*$S86+I86*$S86+J86*$S86</f>
        <v>0</v>
      </c>
      <c r="Z86" s="847" t="n">
        <f aca="false">+E86*$S86+F86*$S86+G86*$S86+H86*$S86+I86*$S86+J86*$S86+K86*$S86</f>
        <v>0</v>
      </c>
      <c r="AA86" s="847" t="n">
        <f aca="false">++E86*$S86+F86*$S86+G86*$S86+H86*$S86+I86*$S86+J86*$S86+K86*$S86+L86*$S86</f>
        <v>0</v>
      </c>
      <c r="AB86" s="847" t="n">
        <f aca="false">+E86*$S86+F86*$S86+G86*$S86+H86*$S86+I86*$S86+J86*$S86+K86*$S86+L86*$S86+M86*$S86</f>
        <v>0</v>
      </c>
      <c r="AC86" s="847" t="n">
        <f aca="false">+E86*$S86+F86*$S86+G86*$S86+H86*$S86+I86*$S86+J86*$S86+K86*$S86+L86*$S86+M86*$S86+N86*$S86</f>
        <v>0</v>
      </c>
      <c r="AD86" s="847" t="n">
        <f aca="false">+E86*$S86+F86*$S86+G86*$S86+H86*$S86+I86*$S86+J86*$S86+K86*$S86+L86*$S86+M86*$S86+N86*$S86+O86*$S86</f>
        <v>0</v>
      </c>
      <c r="AE86" s="848" t="n">
        <f aca="false">+E86*$S86+F86*$S86+G86*$S86+H86*$S86+I86*$S86+J86*$S86+K86*$S86+L86*$S86+M86*$S86+N86*$S86+O86*$S86+P86*$S86</f>
        <v>0</v>
      </c>
    </row>
    <row r="87" customFormat="false" ht="11.25" hidden="false" customHeight="false" outlineLevel="0" collapsed="false">
      <c r="A87" s="856"/>
      <c r="B87" s="858" t="e">
        <f aca="false">+#REF!</f>
        <v>#REF!</v>
      </c>
      <c r="C87" s="844" t="e">
        <f aca="false">+#REF!</f>
        <v>#REF!</v>
      </c>
      <c r="D87" s="291" t="e">
        <f aca="false">+#REF!</f>
        <v>#REF!</v>
      </c>
      <c r="E87" s="845"/>
      <c r="F87" s="291"/>
      <c r="G87" s="291"/>
      <c r="H87" s="291"/>
      <c r="I87" s="291"/>
      <c r="J87" s="291"/>
      <c r="K87" s="291"/>
      <c r="L87" s="291"/>
      <c r="M87" s="291"/>
      <c r="N87" s="291"/>
      <c r="O87" s="291"/>
      <c r="P87" s="291"/>
      <c r="Q87" s="291" t="e">
        <f aca="false">+D87</f>
        <v>#REF!</v>
      </c>
      <c r="R87" s="846" t="e">
        <f aca="false">+Q87-SUM(E87:P87)</f>
        <v>#REF!</v>
      </c>
      <c r="S87" s="847" t="n">
        <f aca="false">+Insumos_Cotação!S98</f>
        <v>0</v>
      </c>
      <c r="T87" s="847" t="n">
        <f aca="false">+E87*$S87</f>
        <v>0</v>
      </c>
      <c r="U87" s="847" t="n">
        <f aca="false">+E87*$S87+F87*$S87</f>
        <v>0</v>
      </c>
      <c r="V87" s="847" t="n">
        <f aca="false">+E87*$S87+F87*$S87+G87*$S87</f>
        <v>0</v>
      </c>
      <c r="W87" s="847" t="n">
        <f aca="false">++E87*$S87+F87*$S87+G87*$S87+H87*$S87</f>
        <v>0</v>
      </c>
      <c r="X87" s="847" t="n">
        <f aca="false">+E87*$S87+F87*$S87+G87*$S87+H87*$S87+I87*$S87</f>
        <v>0</v>
      </c>
      <c r="Y87" s="847" t="n">
        <f aca="false">+E87*$S87+F87*$S87+G87*$S87+H87*$S87+I87*$S87+J87*$S87</f>
        <v>0</v>
      </c>
      <c r="Z87" s="847" t="n">
        <f aca="false">+E87*$S87+F87*$S87+G87*$S87+H87*$S87+I87*$S87+J87*$S87+K87*$S87</f>
        <v>0</v>
      </c>
      <c r="AA87" s="847" t="n">
        <f aca="false">++E87*$S87+F87*$S87+G87*$S87+H87*$S87+I87*$S87+J87*$S87+K87*$S87+L87*$S87</f>
        <v>0</v>
      </c>
      <c r="AB87" s="847" t="n">
        <f aca="false">+E87*$S87+F87*$S87+G87*$S87+H87*$S87+I87*$S87+J87*$S87+K87*$S87+L87*$S87+M87*$S87</f>
        <v>0</v>
      </c>
      <c r="AC87" s="847" t="n">
        <f aca="false">+E87*$S87+F87*$S87+G87*$S87+H87*$S87+I87*$S87+J87*$S87+K87*$S87+L87*$S87+M87*$S87+N87*$S87</f>
        <v>0</v>
      </c>
      <c r="AD87" s="847" t="n">
        <f aca="false">+E87*$S87+F87*$S87+G87*$S87+H87*$S87+I87*$S87+J87*$S87+K87*$S87+L87*$S87+M87*$S87+N87*$S87+O87*$S87</f>
        <v>0</v>
      </c>
      <c r="AE87" s="848" t="n">
        <f aca="false">+E87*$S87+F87*$S87+G87*$S87+H87*$S87+I87*$S87+J87*$S87+K87*$S87+L87*$S87+M87*$S87+N87*$S87+O87*$S87+P87*$S87</f>
        <v>0</v>
      </c>
    </row>
    <row r="88" customFormat="false" ht="11.25" hidden="false" customHeight="false" outlineLevel="0" collapsed="false">
      <c r="A88" s="856"/>
      <c r="B88" s="858" t="e">
        <f aca="false">+#REF!</f>
        <v>#REF!</v>
      </c>
      <c r="C88" s="844" t="e">
        <f aca="false">+#REF!</f>
        <v>#REF!</v>
      </c>
      <c r="D88" s="291" t="e">
        <f aca="false">+#REF!</f>
        <v>#REF!</v>
      </c>
      <c r="E88" s="845"/>
      <c r="F88" s="291"/>
      <c r="G88" s="291"/>
      <c r="H88" s="291"/>
      <c r="I88" s="291"/>
      <c r="J88" s="291"/>
      <c r="K88" s="291"/>
      <c r="L88" s="291"/>
      <c r="M88" s="291"/>
      <c r="N88" s="291"/>
      <c r="O88" s="291"/>
      <c r="P88" s="291"/>
      <c r="Q88" s="291" t="e">
        <f aca="false">+D88</f>
        <v>#REF!</v>
      </c>
      <c r="R88" s="846" t="e">
        <f aca="false">+Q88-SUM(E88:P88)</f>
        <v>#REF!</v>
      </c>
      <c r="S88" s="847" t="n">
        <f aca="false">+Insumos_Cotação!S99</f>
        <v>0</v>
      </c>
      <c r="T88" s="847" t="n">
        <f aca="false">+E88*$S88</f>
        <v>0</v>
      </c>
      <c r="U88" s="847" t="n">
        <f aca="false">+E88*$S88+F88*$S88</f>
        <v>0</v>
      </c>
      <c r="V88" s="847" t="n">
        <f aca="false">+E88*$S88+F88*$S88+G88*$S88</f>
        <v>0</v>
      </c>
      <c r="W88" s="847" t="n">
        <f aca="false">++E88*$S88+F88*$S88+G88*$S88+H88*$S88</f>
        <v>0</v>
      </c>
      <c r="X88" s="847" t="n">
        <f aca="false">+E88*$S88+F88*$S88+G88*$S88+H88*$S88+I88*$S88</f>
        <v>0</v>
      </c>
      <c r="Y88" s="847" t="n">
        <f aca="false">+E88*$S88+F88*$S88+G88*$S88+H88*$S88+I88*$S88+J88*$S88</f>
        <v>0</v>
      </c>
      <c r="Z88" s="847" t="n">
        <f aca="false">+E88*$S88+F88*$S88+G88*$S88+H88*$S88+I88*$S88+J88*$S88+K88*$S88</f>
        <v>0</v>
      </c>
      <c r="AA88" s="847" t="n">
        <f aca="false">++E88*$S88+F88*$S88+G88*$S88+H88*$S88+I88*$S88+J88*$S88+K88*$S88+L88*$S88</f>
        <v>0</v>
      </c>
      <c r="AB88" s="847" t="n">
        <f aca="false">+E88*$S88+F88*$S88+G88*$S88+H88*$S88+I88*$S88+J88*$S88+K88*$S88+L88*$S88+M88*$S88</f>
        <v>0</v>
      </c>
      <c r="AC88" s="847" t="n">
        <f aca="false">+E88*$S88+F88*$S88+G88*$S88+H88*$S88+I88*$S88+J88*$S88+K88*$S88+L88*$S88+M88*$S88+N88*$S88</f>
        <v>0</v>
      </c>
      <c r="AD88" s="847" t="n">
        <f aca="false">+E88*$S88+F88*$S88+G88*$S88+H88*$S88+I88*$S88+J88*$S88+K88*$S88+L88*$S88+M88*$S88+N88*$S88+O88*$S88</f>
        <v>0</v>
      </c>
      <c r="AE88" s="848" t="n">
        <f aca="false">+E88*$S88+F88*$S88+G88*$S88+H88*$S88+I88*$S88+J88*$S88+K88*$S88+L88*$S88+M88*$S88+N88*$S88+O88*$S88+P88*$S88</f>
        <v>0</v>
      </c>
    </row>
    <row r="89" customFormat="false" ht="11.25" hidden="false" customHeight="false" outlineLevel="0" collapsed="false">
      <c r="A89" s="856"/>
      <c r="B89" s="858" t="e">
        <f aca="false">+#REF!</f>
        <v>#REF!</v>
      </c>
      <c r="C89" s="844" t="e">
        <f aca="false">+#REF!</f>
        <v>#REF!</v>
      </c>
      <c r="D89" s="291" t="e">
        <f aca="false">+#REF!</f>
        <v>#REF!</v>
      </c>
      <c r="E89" s="845"/>
      <c r="F89" s="291"/>
      <c r="G89" s="291"/>
      <c r="H89" s="291"/>
      <c r="I89" s="291"/>
      <c r="J89" s="291"/>
      <c r="K89" s="291"/>
      <c r="L89" s="291"/>
      <c r="M89" s="291"/>
      <c r="N89" s="291"/>
      <c r="O89" s="291"/>
      <c r="P89" s="291"/>
      <c r="Q89" s="291" t="e">
        <f aca="false">+D89</f>
        <v>#REF!</v>
      </c>
      <c r="R89" s="846" t="e">
        <f aca="false">+Q89-SUM(E89:P89)</f>
        <v>#REF!</v>
      </c>
      <c r="S89" s="847" t="n">
        <f aca="false">+Insumos_Cotação!S100</f>
        <v>0</v>
      </c>
      <c r="T89" s="847" t="n">
        <f aca="false">+E89*$S89</f>
        <v>0</v>
      </c>
      <c r="U89" s="847" t="n">
        <f aca="false">+E89*$S89+F89*$S89</f>
        <v>0</v>
      </c>
      <c r="V89" s="847" t="n">
        <f aca="false">+E89*$S89+F89*$S89+G89*$S89</f>
        <v>0</v>
      </c>
      <c r="W89" s="847" t="n">
        <f aca="false">++E89*$S89+F89*$S89+G89*$S89+H89*$S89</f>
        <v>0</v>
      </c>
      <c r="X89" s="847" t="n">
        <f aca="false">+E89*$S89+F89*$S89+G89*$S89+H89*$S89+I89*$S89</f>
        <v>0</v>
      </c>
      <c r="Y89" s="847" t="n">
        <f aca="false">+E89*$S89+F89*$S89+G89*$S89+H89*$S89+I89*$S89+J89*$S89</f>
        <v>0</v>
      </c>
      <c r="Z89" s="847" t="n">
        <f aca="false">+E89*$S89+F89*$S89+G89*$S89+H89*$S89+I89*$S89+J89*$S89+K89*$S89</f>
        <v>0</v>
      </c>
      <c r="AA89" s="847" t="n">
        <f aca="false">++E89*$S89+F89*$S89+G89*$S89+H89*$S89+I89*$S89+J89*$S89+K89*$S89+L89*$S89</f>
        <v>0</v>
      </c>
      <c r="AB89" s="847" t="n">
        <f aca="false">+E89*$S89+F89*$S89+G89*$S89+H89*$S89+I89*$S89+J89*$S89+K89*$S89+L89*$S89+M89*$S89</f>
        <v>0</v>
      </c>
      <c r="AC89" s="847" t="n">
        <f aca="false">+E89*$S89+F89*$S89+G89*$S89+H89*$S89+I89*$S89+J89*$S89+K89*$S89+L89*$S89+M89*$S89+N89*$S89</f>
        <v>0</v>
      </c>
      <c r="AD89" s="847" t="n">
        <f aca="false">+E89*$S89+F89*$S89+G89*$S89+H89*$S89+I89*$S89+J89*$S89+K89*$S89+L89*$S89+M89*$S89+N89*$S89+O89*$S89</f>
        <v>0</v>
      </c>
      <c r="AE89" s="848" t="n">
        <f aca="false">+E89*$S89+F89*$S89+G89*$S89+H89*$S89+I89*$S89+J89*$S89+K89*$S89+L89*$S89+M89*$S89+N89*$S89+O89*$S89+P89*$S89</f>
        <v>0</v>
      </c>
    </row>
    <row r="90" customFormat="false" ht="11.25" hidden="false" customHeight="false" outlineLevel="0" collapsed="false">
      <c r="A90" s="856"/>
      <c r="B90" s="858" t="e">
        <f aca="false">+#REF!</f>
        <v>#REF!</v>
      </c>
      <c r="C90" s="844" t="e">
        <f aca="false">+#REF!</f>
        <v>#REF!</v>
      </c>
      <c r="D90" s="291" t="e">
        <f aca="false">+#REF!</f>
        <v>#REF!</v>
      </c>
      <c r="E90" s="845"/>
      <c r="F90" s="291"/>
      <c r="G90" s="291"/>
      <c r="H90" s="291"/>
      <c r="I90" s="291"/>
      <c r="J90" s="291"/>
      <c r="K90" s="291"/>
      <c r="L90" s="291"/>
      <c r="M90" s="291"/>
      <c r="N90" s="291"/>
      <c r="O90" s="291"/>
      <c r="P90" s="291"/>
      <c r="Q90" s="291" t="e">
        <f aca="false">+D90</f>
        <v>#REF!</v>
      </c>
      <c r="R90" s="846" t="e">
        <f aca="false">+Q90-SUM(E90:P90)</f>
        <v>#REF!</v>
      </c>
      <c r="S90" s="847" t="n">
        <f aca="false">+Insumos_Cotação!S101</f>
        <v>0</v>
      </c>
      <c r="T90" s="847" t="n">
        <f aca="false">+E90*$S90</f>
        <v>0</v>
      </c>
      <c r="U90" s="847" t="n">
        <f aca="false">+E90*$S90+F90*$S90</f>
        <v>0</v>
      </c>
      <c r="V90" s="847" t="n">
        <f aca="false">+E90*$S90+F90*$S90+G90*$S90</f>
        <v>0</v>
      </c>
      <c r="W90" s="847" t="n">
        <f aca="false">++E90*$S90+F90*$S90+G90*$S90+H90*$S90</f>
        <v>0</v>
      </c>
      <c r="X90" s="847" t="n">
        <f aca="false">+E90*$S90+F90*$S90+G90*$S90+H90*$S90+I90*$S90</f>
        <v>0</v>
      </c>
      <c r="Y90" s="847" t="n">
        <f aca="false">+E90*$S90+F90*$S90+G90*$S90+H90*$S90+I90*$S90+J90*$S90</f>
        <v>0</v>
      </c>
      <c r="Z90" s="847" t="n">
        <f aca="false">+E90*$S90+F90*$S90+G90*$S90+H90*$S90+I90*$S90+J90*$S90+K90*$S90</f>
        <v>0</v>
      </c>
      <c r="AA90" s="847" t="n">
        <f aca="false">++E90*$S90+F90*$S90+G90*$S90+H90*$S90+I90*$S90+J90*$S90+K90*$S90+L90*$S90</f>
        <v>0</v>
      </c>
      <c r="AB90" s="847" t="n">
        <f aca="false">+E90*$S90+F90*$S90+G90*$S90+H90*$S90+I90*$S90+J90*$S90+K90*$S90+L90*$S90+M90*$S90</f>
        <v>0</v>
      </c>
      <c r="AC90" s="847" t="n">
        <f aca="false">+E90*$S90+F90*$S90+G90*$S90+H90*$S90+I90*$S90+J90*$S90+K90*$S90+L90*$S90+M90*$S90+N90*$S90</f>
        <v>0</v>
      </c>
      <c r="AD90" s="847" t="n">
        <f aca="false">+E90*$S90+F90*$S90+G90*$S90+H90*$S90+I90*$S90+J90*$S90+K90*$S90+L90*$S90+M90*$S90+N90*$S90+O90*$S90</f>
        <v>0</v>
      </c>
      <c r="AE90" s="848" t="n">
        <f aca="false">+E90*$S90+F90*$S90+G90*$S90+H90*$S90+I90*$S90+J90*$S90+K90*$S90+L90*$S90+M90*$S90+N90*$S90+O90*$S90+P90*$S90</f>
        <v>0</v>
      </c>
    </row>
    <row r="91" customFormat="false" ht="11.25" hidden="false" customHeight="false" outlineLevel="0" collapsed="false">
      <c r="A91" s="856"/>
      <c r="B91" s="858" t="e">
        <f aca="false">+#REF!</f>
        <v>#REF!</v>
      </c>
      <c r="C91" s="844" t="e">
        <f aca="false">+#REF!</f>
        <v>#REF!</v>
      </c>
      <c r="D91" s="291" t="e">
        <f aca="false">+#REF!</f>
        <v>#REF!</v>
      </c>
      <c r="E91" s="845"/>
      <c r="F91" s="291"/>
      <c r="G91" s="291"/>
      <c r="H91" s="291"/>
      <c r="I91" s="291"/>
      <c r="J91" s="291"/>
      <c r="K91" s="291"/>
      <c r="L91" s="291"/>
      <c r="M91" s="291"/>
      <c r="N91" s="291"/>
      <c r="O91" s="291"/>
      <c r="P91" s="291"/>
      <c r="Q91" s="291" t="e">
        <f aca="false">+D91</f>
        <v>#REF!</v>
      </c>
      <c r="R91" s="846" t="e">
        <f aca="false">+Q91-SUM(E91:P91)</f>
        <v>#REF!</v>
      </c>
      <c r="S91" s="847" t="n">
        <f aca="false">+Insumos_Cotação!S102</f>
        <v>0</v>
      </c>
      <c r="T91" s="847" t="n">
        <f aca="false">+E91*$S91</f>
        <v>0</v>
      </c>
      <c r="U91" s="847" t="n">
        <f aca="false">+E91*$S91+F91*$S91</f>
        <v>0</v>
      </c>
      <c r="V91" s="847" t="n">
        <f aca="false">+E91*$S91+F91*$S91+G91*$S91</f>
        <v>0</v>
      </c>
      <c r="W91" s="847" t="n">
        <f aca="false">++E91*$S91+F91*$S91+G91*$S91+H91*$S91</f>
        <v>0</v>
      </c>
      <c r="X91" s="847" t="n">
        <f aca="false">+E91*$S91+F91*$S91+G91*$S91+H91*$S91+I91*$S91</f>
        <v>0</v>
      </c>
      <c r="Y91" s="847" t="n">
        <f aca="false">+E91*$S91+F91*$S91+G91*$S91+H91*$S91+I91*$S91+J91*$S91</f>
        <v>0</v>
      </c>
      <c r="Z91" s="847" t="n">
        <f aca="false">+E91*$S91+F91*$S91+G91*$S91+H91*$S91+I91*$S91+J91*$S91+K91*$S91</f>
        <v>0</v>
      </c>
      <c r="AA91" s="847" t="n">
        <f aca="false">++E91*$S91+F91*$S91+G91*$S91+H91*$S91+I91*$S91+J91*$S91+K91*$S91+L91*$S91</f>
        <v>0</v>
      </c>
      <c r="AB91" s="847" t="n">
        <f aca="false">+E91*$S91+F91*$S91+G91*$S91+H91*$S91+I91*$S91+J91*$S91+K91*$S91+L91*$S91+M91*$S91</f>
        <v>0</v>
      </c>
      <c r="AC91" s="847" t="n">
        <f aca="false">+E91*$S91+F91*$S91+G91*$S91+H91*$S91+I91*$S91+J91*$S91+K91*$S91+L91*$S91+M91*$S91+N91*$S91</f>
        <v>0</v>
      </c>
      <c r="AD91" s="847" t="n">
        <f aca="false">+E91*$S91+F91*$S91+G91*$S91+H91*$S91+I91*$S91+J91*$S91+K91*$S91+L91*$S91+M91*$S91+N91*$S91+O91*$S91</f>
        <v>0</v>
      </c>
      <c r="AE91" s="848" t="n">
        <f aca="false">+E91*$S91+F91*$S91+G91*$S91+H91*$S91+I91*$S91+J91*$S91+K91*$S91+L91*$S91+M91*$S91+N91*$S91+O91*$S91+P91*$S91</f>
        <v>0</v>
      </c>
    </row>
    <row r="92" customFormat="false" ht="11.25" hidden="false" customHeight="false" outlineLevel="0" collapsed="false">
      <c r="A92" s="856"/>
      <c r="B92" s="858" t="e">
        <f aca="false">+#REF!</f>
        <v>#REF!</v>
      </c>
      <c r="C92" s="844" t="e">
        <f aca="false">+#REF!</f>
        <v>#REF!</v>
      </c>
      <c r="D92" s="291" t="e">
        <f aca="false">+#REF!</f>
        <v>#REF!</v>
      </c>
      <c r="E92" s="845"/>
      <c r="F92" s="291"/>
      <c r="G92" s="291"/>
      <c r="H92" s="291"/>
      <c r="I92" s="291"/>
      <c r="J92" s="291"/>
      <c r="K92" s="291"/>
      <c r="L92" s="291"/>
      <c r="M92" s="291"/>
      <c r="N92" s="291"/>
      <c r="O92" s="291"/>
      <c r="P92" s="291"/>
      <c r="Q92" s="291" t="e">
        <f aca="false">+D92</f>
        <v>#REF!</v>
      </c>
      <c r="R92" s="846" t="e">
        <f aca="false">+Q92-SUM(E92:P92)</f>
        <v>#REF!</v>
      </c>
      <c r="S92" s="847" t="n">
        <f aca="false">+Insumos_Cotação!S103</f>
        <v>0</v>
      </c>
      <c r="T92" s="847" t="n">
        <f aca="false">+E92*$S92</f>
        <v>0</v>
      </c>
      <c r="U92" s="847" t="n">
        <f aca="false">+E92*$S92+F92*$S92</f>
        <v>0</v>
      </c>
      <c r="V92" s="847" t="n">
        <f aca="false">+E92*$S92+F92*$S92+G92*$S92</f>
        <v>0</v>
      </c>
      <c r="W92" s="847" t="n">
        <f aca="false">++E92*$S92+F92*$S92+G92*$S92+H92*$S92</f>
        <v>0</v>
      </c>
      <c r="X92" s="847" t="n">
        <f aca="false">+E92*$S92+F92*$S92+G92*$S92+H92*$S92+I92*$S92</f>
        <v>0</v>
      </c>
      <c r="Y92" s="847" t="n">
        <f aca="false">+E92*$S92+F92*$S92+G92*$S92+H92*$S92+I92*$S92+J92*$S92</f>
        <v>0</v>
      </c>
      <c r="Z92" s="847" t="n">
        <f aca="false">+E92*$S92+F92*$S92+G92*$S92+H92*$S92+I92*$S92+J92*$S92+K92*$S92</f>
        <v>0</v>
      </c>
      <c r="AA92" s="847" t="n">
        <f aca="false">++E92*$S92+F92*$S92+G92*$S92+H92*$S92+I92*$S92+J92*$S92+K92*$S92+L92*$S92</f>
        <v>0</v>
      </c>
      <c r="AB92" s="847" t="n">
        <f aca="false">+E92*$S92+F92*$S92+G92*$S92+H92*$S92+I92*$S92+J92*$S92+K92*$S92+L92*$S92+M92*$S92</f>
        <v>0</v>
      </c>
      <c r="AC92" s="847" t="n">
        <f aca="false">+E92*$S92+F92*$S92+G92*$S92+H92*$S92+I92*$S92+J92*$S92+K92*$S92+L92*$S92+M92*$S92+N92*$S92</f>
        <v>0</v>
      </c>
      <c r="AD92" s="847" t="n">
        <f aca="false">+E92*$S92+F92*$S92+G92*$S92+H92*$S92+I92*$S92+J92*$S92+K92*$S92+L92*$S92+M92*$S92+N92*$S92+O92*$S92</f>
        <v>0</v>
      </c>
      <c r="AE92" s="848" t="n">
        <f aca="false">+E92*$S92+F92*$S92+G92*$S92+H92*$S92+I92*$S92+J92*$S92+K92*$S92+L92*$S92+M92*$S92+N92*$S92+O92*$S92+P92*$S92</f>
        <v>0</v>
      </c>
    </row>
    <row r="93" customFormat="false" ht="11.25" hidden="false" customHeight="false" outlineLevel="0" collapsed="false">
      <c r="A93" s="856"/>
      <c r="B93" s="858" t="e">
        <f aca="false">+#REF!</f>
        <v>#REF!</v>
      </c>
      <c r="C93" s="844" t="e">
        <f aca="false">+#REF!</f>
        <v>#REF!</v>
      </c>
      <c r="D93" s="291" t="e">
        <f aca="false">+#REF!</f>
        <v>#REF!</v>
      </c>
      <c r="E93" s="845"/>
      <c r="F93" s="291"/>
      <c r="G93" s="291"/>
      <c r="H93" s="291"/>
      <c r="I93" s="291"/>
      <c r="J93" s="291"/>
      <c r="K93" s="291"/>
      <c r="L93" s="291"/>
      <c r="M93" s="291"/>
      <c r="N93" s="291"/>
      <c r="O93" s="291"/>
      <c r="P93" s="291"/>
      <c r="Q93" s="291" t="e">
        <f aca="false">+D93</f>
        <v>#REF!</v>
      </c>
      <c r="R93" s="846" t="e">
        <f aca="false">+Q93-SUM(E93:P93)</f>
        <v>#REF!</v>
      </c>
      <c r="S93" s="847" t="n">
        <f aca="false">+Insumos_Cotação!S104</f>
        <v>0</v>
      </c>
      <c r="T93" s="847" t="n">
        <f aca="false">+E93*$S93</f>
        <v>0</v>
      </c>
      <c r="U93" s="847" t="n">
        <f aca="false">+E93*$S93+F93*$S93</f>
        <v>0</v>
      </c>
      <c r="V93" s="847" t="n">
        <f aca="false">+E93*$S93+F93*$S93+G93*$S93</f>
        <v>0</v>
      </c>
      <c r="W93" s="847" t="n">
        <f aca="false">++E93*$S93+F93*$S93+G93*$S93+H93*$S93</f>
        <v>0</v>
      </c>
      <c r="X93" s="847" t="n">
        <f aca="false">+E93*$S93+F93*$S93+G93*$S93+H93*$S93+I93*$S93</f>
        <v>0</v>
      </c>
      <c r="Y93" s="847" t="n">
        <f aca="false">+E93*$S93+F93*$S93+G93*$S93+H93*$S93+I93*$S93+J93*$S93</f>
        <v>0</v>
      </c>
      <c r="Z93" s="847" t="n">
        <f aca="false">+E93*$S93+F93*$S93+G93*$S93+H93*$S93+I93*$S93+J93*$S93+K93*$S93</f>
        <v>0</v>
      </c>
      <c r="AA93" s="847" t="n">
        <f aca="false">++E93*$S93+F93*$S93+G93*$S93+H93*$S93+I93*$S93+J93*$S93+K93*$S93+L93*$S93</f>
        <v>0</v>
      </c>
      <c r="AB93" s="847" t="n">
        <f aca="false">+E93*$S93+F93*$S93+G93*$S93+H93*$S93+I93*$S93+J93*$S93+K93*$S93+L93*$S93+M93*$S93</f>
        <v>0</v>
      </c>
      <c r="AC93" s="847" t="n">
        <f aca="false">+E93*$S93+F93*$S93+G93*$S93+H93*$S93+I93*$S93+J93*$S93+K93*$S93+L93*$S93+M93*$S93+N93*$S93</f>
        <v>0</v>
      </c>
      <c r="AD93" s="847" t="n">
        <f aca="false">+E93*$S93+F93*$S93+G93*$S93+H93*$S93+I93*$S93+J93*$S93+K93*$S93+L93*$S93+M93*$S93+N93*$S93+O93*$S93</f>
        <v>0</v>
      </c>
      <c r="AE93" s="848" t="n">
        <f aca="false">+E93*$S93+F93*$S93+G93*$S93+H93*$S93+I93*$S93+J93*$S93+K93*$S93+L93*$S93+M93*$S93+N93*$S93+O93*$S93+P93*$S93</f>
        <v>0</v>
      </c>
    </row>
    <row r="94" customFormat="false" ht="11.25" hidden="false" customHeight="false" outlineLevel="0" collapsed="false">
      <c r="A94" s="856"/>
      <c r="B94" s="858" t="e">
        <f aca="false">+#REF!</f>
        <v>#REF!</v>
      </c>
      <c r="C94" s="844" t="e">
        <f aca="false">+#REF!</f>
        <v>#REF!</v>
      </c>
      <c r="D94" s="291" t="e">
        <f aca="false">+#REF!</f>
        <v>#REF!</v>
      </c>
      <c r="E94" s="845"/>
      <c r="F94" s="291"/>
      <c r="G94" s="291"/>
      <c r="H94" s="291"/>
      <c r="I94" s="291"/>
      <c r="J94" s="291"/>
      <c r="K94" s="291"/>
      <c r="L94" s="291"/>
      <c r="M94" s="291"/>
      <c r="N94" s="291"/>
      <c r="O94" s="291"/>
      <c r="P94" s="291"/>
      <c r="Q94" s="291" t="e">
        <f aca="false">+D94</f>
        <v>#REF!</v>
      </c>
      <c r="R94" s="846" t="e">
        <f aca="false">+Q94-SUM(E94:P94)</f>
        <v>#REF!</v>
      </c>
      <c r="S94" s="847" t="n">
        <f aca="false">+Insumos_Cotação!S105</f>
        <v>0</v>
      </c>
      <c r="T94" s="847" t="n">
        <f aca="false">+E94*$S94</f>
        <v>0</v>
      </c>
      <c r="U94" s="847" t="n">
        <f aca="false">+E94*$S94+F94*$S94</f>
        <v>0</v>
      </c>
      <c r="V94" s="847" t="n">
        <f aca="false">+E94*$S94+F94*$S94+G94*$S94</f>
        <v>0</v>
      </c>
      <c r="W94" s="847" t="n">
        <f aca="false">++E94*$S94+F94*$S94+G94*$S94+H94*$S94</f>
        <v>0</v>
      </c>
      <c r="X94" s="847" t="n">
        <f aca="false">+E94*$S94+F94*$S94+G94*$S94+H94*$S94+I94*$S94</f>
        <v>0</v>
      </c>
      <c r="Y94" s="847" t="n">
        <f aca="false">+E94*$S94+F94*$S94+G94*$S94+H94*$S94+I94*$S94+J94*$S94</f>
        <v>0</v>
      </c>
      <c r="Z94" s="847" t="n">
        <f aca="false">+E94*$S94+F94*$S94+G94*$S94+H94*$S94+I94*$S94+J94*$S94+K94*$S94</f>
        <v>0</v>
      </c>
      <c r="AA94" s="847" t="n">
        <f aca="false">++E94*$S94+F94*$S94+G94*$S94+H94*$S94+I94*$S94+J94*$S94+K94*$S94+L94*$S94</f>
        <v>0</v>
      </c>
      <c r="AB94" s="847" t="n">
        <f aca="false">+E94*$S94+F94*$S94+G94*$S94+H94*$S94+I94*$S94+J94*$S94+K94*$S94+L94*$S94+M94*$S94</f>
        <v>0</v>
      </c>
      <c r="AC94" s="847" t="n">
        <f aca="false">+E94*$S94+F94*$S94+G94*$S94+H94*$S94+I94*$S94+J94*$S94+K94*$S94+L94*$S94+M94*$S94+N94*$S94</f>
        <v>0</v>
      </c>
      <c r="AD94" s="847" t="n">
        <f aca="false">+E94*$S94+F94*$S94+G94*$S94+H94*$S94+I94*$S94+J94*$S94+K94*$S94+L94*$S94+M94*$S94+N94*$S94+O94*$S94</f>
        <v>0</v>
      </c>
      <c r="AE94" s="848" t="n">
        <f aca="false">+E94*$S94+F94*$S94+G94*$S94+H94*$S94+I94*$S94+J94*$S94+K94*$S94+L94*$S94+M94*$S94+N94*$S94+O94*$S94+P94*$S94</f>
        <v>0</v>
      </c>
    </row>
    <row r="95" customFormat="false" ht="11.25" hidden="false" customHeight="false" outlineLevel="0" collapsed="false">
      <c r="A95" s="856"/>
      <c r="B95" s="858" t="e">
        <f aca="false">+#REF!</f>
        <v>#REF!</v>
      </c>
      <c r="C95" s="844" t="e">
        <f aca="false">+#REF!</f>
        <v>#REF!</v>
      </c>
      <c r="D95" s="291" t="e">
        <f aca="false">+#REF!</f>
        <v>#REF!</v>
      </c>
      <c r="E95" s="845"/>
      <c r="F95" s="291"/>
      <c r="G95" s="291"/>
      <c r="H95" s="291"/>
      <c r="I95" s="291"/>
      <c r="J95" s="291"/>
      <c r="K95" s="291"/>
      <c r="L95" s="291"/>
      <c r="M95" s="291"/>
      <c r="N95" s="291"/>
      <c r="O95" s="291"/>
      <c r="P95" s="291"/>
      <c r="Q95" s="291" t="e">
        <f aca="false">+D95</f>
        <v>#REF!</v>
      </c>
      <c r="R95" s="846" t="e">
        <f aca="false">+Q95-SUM(E95:P95)</f>
        <v>#REF!</v>
      </c>
      <c r="S95" s="847" t="n">
        <f aca="false">+Insumos_Cotação!S106</f>
        <v>0</v>
      </c>
      <c r="T95" s="847" t="n">
        <f aca="false">+E95*$S95</f>
        <v>0</v>
      </c>
      <c r="U95" s="847" t="n">
        <f aca="false">+E95*$S95+F95*$S95</f>
        <v>0</v>
      </c>
      <c r="V95" s="847" t="n">
        <f aca="false">+E95*$S95+F95*$S95+G95*$S95</f>
        <v>0</v>
      </c>
      <c r="W95" s="847" t="n">
        <f aca="false">++E95*$S95+F95*$S95+G95*$S95+H95*$S95</f>
        <v>0</v>
      </c>
      <c r="X95" s="847" t="n">
        <f aca="false">+E95*$S95+F95*$S95+G95*$S95+H95*$S95+I95*$S95</f>
        <v>0</v>
      </c>
      <c r="Y95" s="847" t="n">
        <f aca="false">+E95*$S95+F95*$S95+G95*$S95+H95*$S95+I95*$S95+J95*$S95</f>
        <v>0</v>
      </c>
      <c r="Z95" s="847" t="n">
        <f aca="false">+E95*$S95+F95*$S95+G95*$S95+H95*$S95+I95*$S95+J95*$S95+K95*$S95</f>
        <v>0</v>
      </c>
      <c r="AA95" s="847" t="n">
        <f aca="false">++E95*$S95+F95*$S95+G95*$S95+H95*$S95+I95*$S95+J95*$S95+K95*$S95+L95*$S95</f>
        <v>0</v>
      </c>
      <c r="AB95" s="847" t="n">
        <f aca="false">+E95*$S95+F95*$S95+G95*$S95+H95*$S95+I95*$S95+J95*$S95+K95*$S95+L95*$S95+M95*$S95</f>
        <v>0</v>
      </c>
      <c r="AC95" s="847" t="n">
        <f aca="false">+E95*$S95+F95*$S95+G95*$S95+H95*$S95+I95*$S95+J95*$S95+K95*$S95+L95*$S95+M95*$S95+N95*$S95</f>
        <v>0</v>
      </c>
      <c r="AD95" s="847" t="n">
        <f aca="false">+E95*$S95+F95*$S95+G95*$S95+H95*$S95+I95*$S95+J95*$S95+K95*$S95+L95*$S95+M95*$S95+N95*$S95+O95*$S95</f>
        <v>0</v>
      </c>
      <c r="AE95" s="848" t="n">
        <f aca="false">+E95*$S95+F95*$S95+G95*$S95+H95*$S95+I95*$S95+J95*$S95+K95*$S95+L95*$S95+M95*$S95+N95*$S95+O95*$S95+P95*$S95</f>
        <v>0</v>
      </c>
    </row>
    <row r="96" customFormat="false" ht="11.25" hidden="false" customHeight="false" outlineLevel="0" collapsed="false">
      <c r="A96" s="856"/>
      <c r="B96" s="858" t="e">
        <f aca="false">+#REF!</f>
        <v>#REF!</v>
      </c>
      <c r="C96" s="844" t="e">
        <f aca="false">+#REF!</f>
        <v>#REF!</v>
      </c>
      <c r="D96" s="291" t="e">
        <f aca="false">+#REF!</f>
        <v>#REF!</v>
      </c>
      <c r="E96" s="845"/>
      <c r="F96" s="291"/>
      <c r="G96" s="291"/>
      <c r="H96" s="291"/>
      <c r="I96" s="291"/>
      <c r="J96" s="291"/>
      <c r="K96" s="291"/>
      <c r="L96" s="291"/>
      <c r="M96" s="291"/>
      <c r="N96" s="291"/>
      <c r="O96" s="291"/>
      <c r="P96" s="291"/>
      <c r="Q96" s="291" t="e">
        <f aca="false">+D96</f>
        <v>#REF!</v>
      </c>
      <c r="R96" s="846" t="e">
        <f aca="false">+Q96-SUM(E96:P96)</f>
        <v>#REF!</v>
      </c>
      <c r="S96" s="847" t="n">
        <f aca="false">+Insumos_Cotação!S107</f>
        <v>0</v>
      </c>
      <c r="T96" s="847" t="n">
        <f aca="false">+E96*$S96</f>
        <v>0</v>
      </c>
      <c r="U96" s="847" t="n">
        <f aca="false">+E96*$S96+F96*$S96</f>
        <v>0</v>
      </c>
      <c r="V96" s="847" t="n">
        <f aca="false">+E96*$S96+F96*$S96+G96*$S96</f>
        <v>0</v>
      </c>
      <c r="W96" s="847" t="n">
        <f aca="false">++E96*$S96+F96*$S96+G96*$S96+H96*$S96</f>
        <v>0</v>
      </c>
      <c r="X96" s="847" t="n">
        <f aca="false">+E96*$S96+F96*$S96+G96*$S96+H96*$S96+I96*$S96</f>
        <v>0</v>
      </c>
      <c r="Y96" s="847" t="n">
        <f aca="false">+E96*$S96+F96*$S96+G96*$S96+H96*$S96+I96*$S96+J96*$S96</f>
        <v>0</v>
      </c>
      <c r="Z96" s="847" t="n">
        <f aca="false">+E96*$S96+F96*$S96+G96*$S96+H96*$S96+I96*$S96+J96*$S96+K96*$S96</f>
        <v>0</v>
      </c>
      <c r="AA96" s="847" t="n">
        <f aca="false">++E96*$S96+F96*$S96+G96*$S96+H96*$S96+I96*$S96+J96*$S96+K96*$S96+L96*$S96</f>
        <v>0</v>
      </c>
      <c r="AB96" s="847" t="n">
        <f aca="false">+E96*$S96+F96*$S96+G96*$S96+H96*$S96+I96*$S96+J96*$S96+K96*$S96+L96*$S96+M96*$S96</f>
        <v>0</v>
      </c>
      <c r="AC96" s="847" t="n">
        <f aca="false">+E96*$S96+F96*$S96+G96*$S96+H96*$S96+I96*$S96+J96*$S96+K96*$S96+L96*$S96+M96*$S96+N96*$S96</f>
        <v>0</v>
      </c>
      <c r="AD96" s="847" t="n">
        <f aca="false">+E96*$S96+F96*$S96+G96*$S96+H96*$S96+I96*$S96+J96*$S96+K96*$S96+L96*$S96+M96*$S96+N96*$S96+O96*$S96</f>
        <v>0</v>
      </c>
      <c r="AE96" s="848" t="n">
        <f aca="false">+E96*$S96+F96*$S96+G96*$S96+H96*$S96+I96*$S96+J96*$S96+K96*$S96+L96*$S96+M96*$S96+N96*$S96+O96*$S96+P96*$S96</f>
        <v>0</v>
      </c>
    </row>
    <row r="97" customFormat="false" ht="11.25" hidden="false" customHeight="false" outlineLevel="0" collapsed="false">
      <c r="A97" s="856"/>
      <c r="B97" s="858" t="e">
        <f aca="false">+#REF!</f>
        <v>#REF!</v>
      </c>
      <c r="C97" s="844" t="e">
        <f aca="false">+#REF!</f>
        <v>#REF!</v>
      </c>
      <c r="D97" s="291" t="e">
        <f aca="false">+#REF!</f>
        <v>#REF!</v>
      </c>
      <c r="E97" s="845"/>
      <c r="F97" s="291"/>
      <c r="G97" s="291"/>
      <c r="H97" s="291"/>
      <c r="I97" s="291"/>
      <c r="J97" s="291"/>
      <c r="K97" s="291"/>
      <c r="L97" s="291"/>
      <c r="M97" s="291"/>
      <c r="N97" s="291"/>
      <c r="O97" s="291"/>
      <c r="P97" s="291"/>
      <c r="Q97" s="291" t="e">
        <f aca="false">+D97</f>
        <v>#REF!</v>
      </c>
      <c r="R97" s="846" t="e">
        <f aca="false">+Q97-SUM(E97:P97)</f>
        <v>#REF!</v>
      </c>
      <c r="S97" s="847" t="n">
        <f aca="false">+Insumos_Cotação!S108</f>
        <v>0</v>
      </c>
      <c r="T97" s="847" t="n">
        <f aca="false">+E97*$S97</f>
        <v>0</v>
      </c>
      <c r="U97" s="847" t="n">
        <f aca="false">+E97*$S97+F97*$S97</f>
        <v>0</v>
      </c>
      <c r="V97" s="847" t="n">
        <f aca="false">+E97*$S97+F97*$S97+G97*$S97</f>
        <v>0</v>
      </c>
      <c r="W97" s="847" t="n">
        <f aca="false">++E97*$S97+F97*$S97+G97*$S97+H97*$S97</f>
        <v>0</v>
      </c>
      <c r="X97" s="847" t="n">
        <f aca="false">+E97*$S97+F97*$S97+G97*$S97+H97*$S97+I97*$S97</f>
        <v>0</v>
      </c>
      <c r="Y97" s="847" t="n">
        <f aca="false">+E97*$S97+F97*$S97+G97*$S97+H97*$S97+I97*$S97+J97*$S97</f>
        <v>0</v>
      </c>
      <c r="Z97" s="847" t="n">
        <f aca="false">+E97*$S97+F97*$S97+G97*$S97+H97*$S97+I97*$S97+J97*$S97+K97*$S97</f>
        <v>0</v>
      </c>
      <c r="AA97" s="847" t="n">
        <f aca="false">++E97*$S97+F97*$S97+G97*$S97+H97*$S97+I97*$S97+J97*$S97+K97*$S97+L97*$S97</f>
        <v>0</v>
      </c>
      <c r="AB97" s="847" t="n">
        <f aca="false">+E97*$S97+F97*$S97+G97*$S97+H97*$S97+I97*$S97+J97*$S97+K97*$S97+L97*$S97+M97*$S97</f>
        <v>0</v>
      </c>
      <c r="AC97" s="847" t="n">
        <f aca="false">+E97*$S97+F97*$S97+G97*$S97+H97*$S97+I97*$S97+J97*$S97+K97*$S97+L97*$S97+M97*$S97+N97*$S97</f>
        <v>0</v>
      </c>
      <c r="AD97" s="847" t="n">
        <f aca="false">+E97*$S97+F97*$S97+G97*$S97+H97*$S97+I97*$S97+J97*$S97+K97*$S97+L97*$S97+M97*$S97+N97*$S97+O97*$S97</f>
        <v>0</v>
      </c>
      <c r="AE97" s="848" t="n">
        <f aca="false">+E97*$S97+F97*$S97+G97*$S97+H97*$S97+I97*$S97+J97*$S97+K97*$S97+L97*$S97+M97*$S97+N97*$S97+O97*$S97+P97*$S97</f>
        <v>0</v>
      </c>
    </row>
    <row r="98" customFormat="false" ht="11.25" hidden="false" customHeight="false" outlineLevel="0" collapsed="false">
      <c r="A98" s="856"/>
      <c r="B98" s="858" t="e">
        <f aca="false">+#REF!</f>
        <v>#REF!</v>
      </c>
      <c r="C98" s="844" t="e">
        <f aca="false">+#REF!</f>
        <v>#REF!</v>
      </c>
      <c r="D98" s="291" t="e">
        <f aca="false">+#REF!</f>
        <v>#REF!</v>
      </c>
      <c r="E98" s="845"/>
      <c r="F98" s="291"/>
      <c r="G98" s="291"/>
      <c r="H98" s="291"/>
      <c r="I98" s="291"/>
      <c r="J98" s="291"/>
      <c r="K98" s="291"/>
      <c r="L98" s="291"/>
      <c r="M98" s="291"/>
      <c r="N98" s="291"/>
      <c r="O98" s="291"/>
      <c r="P98" s="291"/>
      <c r="Q98" s="291" t="e">
        <f aca="false">+D98</f>
        <v>#REF!</v>
      </c>
      <c r="R98" s="846" t="e">
        <f aca="false">+Q98-SUM(E98:P98)</f>
        <v>#REF!</v>
      </c>
      <c r="S98" s="847" t="n">
        <f aca="false">+Insumos_Cotação!S109</f>
        <v>0</v>
      </c>
      <c r="T98" s="847" t="n">
        <f aca="false">+E98*$S98</f>
        <v>0</v>
      </c>
      <c r="U98" s="847" t="n">
        <f aca="false">+E98*$S98+F98*$S98</f>
        <v>0</v>
      </c>
      <c r="V98" s="847" t="n">
        <f aca="false">+E98*$S98+F98*$S98+G98*$S98</f>
        <v>0</v>
      </c>
      <c r="W98" s="847" t="n">
        <f aca="false">++E98*$S98+F98*$S98+G98*$S98+H98*$S98</f>
        <v>0</v>
      </c>
      <c r="X98" s="847" t="n">
        <f aca="false">+E98*$S98+F98*$S98+G98*$S98+H98*$S98+I98*$S98</f>
        <v>0</v>
      </c>
      <c r="Y98" s="847" t="n">
        <f aca="false">+E98*$S98+F98*$S98+G98*$S98+H98*$S98+I98*$S98+J98*$S98</f>
        <v>0</v>
      </c>
      <c r="Z98" s="847" t="n">
        <f aca="false">+E98*$S98+F98*$S98+G98*$S98+H98*$S98+I98*$S98+J98*$S98+K98*$S98</f>
        <v>0</v>
      </c>
      <c r="AA98" s="847" t="n">
        <f aca="false">++E98*$S98+F98*$S98+G98*$S98+H98*$S98+I98*$S98+J98*$S98+K98*$S98+L98*$S98</f>
        <v>0</v>
      </c>
      <c r="AB98" s="847" t="n">
        <f aca="false">+E98*$S98+F98*$S98+G98*$S98+H98*$S98+I98*$S98+J98*$S98+K98*$S98+L98*$S98+M98*$S98</f>
        <v>0</v>
      </c>
      <c r="AC98" s="847" t="n">
        <f aca="false">+E98*$S98+F98*$S98+G98*$S98+H98*$S98+I98*$S98+J98*$S98+K98*$S98+L98*$S98+M98*$S98+N98*$S98</f>
        <v>0</v>
      </c>
      <c r="AD98" s="847" t="n">
        <f aca="false">+E98*$S98+F98*$S98+G98*$S98+H98*$S98+I98*$S98+J98*$S98+K98*$S98+L98*$S98+M98*$S98+N98*$S98+O98*$S98</f>
        <v>0</v>
      </c>
      <c r="AE98" s="848" t="n">
        <f aca="false">+E98*$S98+F98*$S98+G98*$S98+H98*$S98+I98*$S98+J98*$S98+K98*$S98+L98*$S98+M98*$S98+N98*$S98+O98*$S98+P98*$S98</f>
        <v>0</v>
      </c>
    </row>
    <row r="99" customFormat="false" ht="11.25" hidden="false" customHeight="false" outlineLevel="0" collapsed="false">
      <c r="A99" s="856"/>
      <c r="B99" s="858" t="e">
        <f aca="false">+#REF!</f>
        <v>#REF!</v>
      </c>
      <c r="C99" s="844" t="e">
        <f aca="false">+#REF!</f>
        <v>#REF!</v>
      </c>
      <c r="D99" s="291" t="e">
        <f aca="false">+#REF!</f>
        <v>#REF!</v>
      </c>
      <c r="E99" s="845"/>
      <c r="F99" s="291"/>
      <c r="G99" s="291"/>
      <c r="H99" s="291"/>
      <c r="I99" s="291"/>
      <c r="J99" s="291"/>
      <c r="K99" s="291"/>
      <c r="L99" s="291"/>
      <c r="M99" s="291"/>
      <c r="N99" s="291"/>
      <c r="O99" s="291"/>
      <c r="P99" s="291"/>
      <c r="Q99" s="291" t="e">
        <f aca="false">+D99</f>
        <v>#REF!</v>
      </c>
      <c r="R99" s="846" t="e">
        <f aca="false">+Q99-SUM(E99:P99)</f>
        <v>#REF!</v>
      </c>
      <c r="S99" s="847" t="n">
        <f aca="false">+Insumos_Cotação!S110</f>
        <v>0</v>
      </c>
      <c r="T99" s="847" t="n">
        <f aca="false">+E99*$S99</f>
        <v>0</v>
      </c>
      <c r="U99" s="847" t="n">
        <f aca="false">+E99*$S99+F99*$S99</f>
        <v>0</v>
      </c>
      <c r="V99" s="847" t="n">
        <f aca="false">+E99*$S99+F99*$S99+G99*$S99</f>
        <v>0</v>
      </c>
      <c r="W99" s="847" t="n">
        <f aca="false">++E99*$S99+F99*$S99+G99*$S99+H99*$S99</f>
        <v>0</v>
      </c>
      <c r="X99" s="847" t="n">
        <f aca="false">+E99*$S99+F99*$S99+G99*$S99+H99*$S99+I99*$S99</f>
        <v>0</v>
      </c>
      <c r="Y99" s="847" t="n">
        <f aca="false">+E99*$S99+F99*$S99+G99*$S99+H99*$S99+I99*$S99+J99*$S99</f>
        <v>0</v>
      </c>
      <c r="Z99" s="847" t="n">
        <f aca="false">+E99*$S99+F99*$S99+G99*$S99+H99*$S99+I99*$S99+J99*$S99+K99*$S99</f>
        <v>0</v>
      </c>
      <c r="AA99" s="847" t="n">
        <f aca="false">++E99*$S99+F99*$S99+G99*$S99+H99*$S99+I99*$S99+J99*$S99+K99*$S99+L99*$S99</f>
        <v>0</v>
      </c>
      <c r="AB99" s="847" t="n">
        <f aca="false">+E99*$S99+F99*$S99+G99*$S99+H99*$S99+I99*$S99+J99*$S99+K99*$S99+L99*$S99+M99*$S99</f>
        <v>0</v>
      </c>
      <c r="AC99" s="847" t="n">
        <f aca="false">+E99*$S99+F99*$S99+G99*$S99+H99*$S99+I99*$S99+J99*$S99+K99*$S99+L99*$S99+M99*$S99+N99*$S99</f>
        <v>0</v>
      </c>
      <c r="AD99" s="847" t="n">
        <f aca="false">+E99*$S99+F99*$S99+G99*$S99+H99*$S99+I99*$S99+J99*$S99+K99*$S99+L99*$S99+M99*$S99+N99*$S99+O99*$S99</f>
        <v>0</v>
      </c>
      <c r="AE99" s="848" t="n">
        <f aca="false">+E99*$S99+F99*$S99+G99*$S99+H99*$S99+I99*$S99+J99*$S99+K99*$S99+L99*$S99+M99*$S99+N99*$S99+O99*$S99+P99*$S99</f>
        <v>0</v>
      </c>
    </row>
    <row r="100" customFormat="false" ht="11.25" hidden="false" customHeight="false" outlineLevel="0" collapsed="false">
      <c r="A100" s="856"/>
      <c r="B100" s="858" t="e">
        <f aca="false">+#REF!</f>
        <v>#REF!</v>
      </c>
      <c r="C100" s="844" t="e">
        <f aca="false">+#REF!</f>
        <v>#REF!</v>
      </c>
      <c r="D100" s="291" t="e">
        <f aca="false">+#REF!</f>
        <v>#REF!</v>
      </c>
      <c r="E100" s="845"/>
      <c r="F100" s="291"/>
      <c r="G100" s="291"/>
      <c r="H100" s="291"/>
      <c r="I100" s="291"/>
      <c r="J100" s="291"/>
      <c r="K100" s="291"/>
      <c r="L100" s="291"/>
      <c r="M100" s="291"/>
      <c r="N100" s="291"/>
      <c r="O100" s="291"/>
      <c r="P100" s="291"/>
      <c r="Q100" s="291" t="e">
        <f aca="false">+D100</f>
        <v>#REF!</v>
      </c>
      <c r="R100" s="846" t="e">
        <f aca="false">+Q100-SUM(E100:P100)</f>
        <v>#REF!</v>
      </c>
      <c r="S100" s="847" t="n">
        <f aca="false">+Insumos_Cotação!S111</f>
        <v>0</v>
      </c>
      <c r="T100" s="847" t="n">
        <f aca="false">+E100*$S100</f>
        <v>0</v>
      </c>
      <c r="U100" s="847" t="n">
        <f aca="false">+E100*$S100+F100*$S100</f>
        <v>0</v>
      </c>
      <c r="V100" s="847" t="n">
        <f aca="false">+E100*$S100+F100*$S100+G100*$S100</f>
        <v>0</v>
      </c>
      <c r="W100" s="847" t="n">
        <f aca="false">++E100*$S100+F100*$S100+G100*$S100+H100*$S100</f>
        <v>0</v>
      </c>
      <c r="X100" s="847" t="n">
        <f aca="false">+E100*$S100+F100*$S100+G100*$S100+H100*$S100+I100*$S100</f>
        <v>0</v>
      </c>
      <c r="Y100" s="847" t="n">
        <f aca="false">+E100*$S100+F100*$S100+G100*$S100+H100*$S100+I100*$S100+J100*$S100</f>
        <v>0</v>
      </c>
      <c r="Z100" s="847" t="n">
        <f aca="false">+E100*$S100+F100*$S100+G100*$S100+H100*$S100+I100*$S100+J100*$S100+K100*$S100</f>
        <v>0</v>
      </c>
      <c r="AA100" s="847" t="n">
        <f aca="false">++E100*$S100+F100*$S100+G100*$S100+H100*$S100+I100*$S100+J100*$S100+K100*$S100+L100*$S100</f>
        <v>0</v>
      </c>
      <c r="AB100" s="847" t="n">
        <f aca="false">+E100*$S100+F100*$S100+G100*$S100+H100*$S100+I100*$S100+J100*$S100+K100*$S100+L100*$S100+M100*$S100</f>
        <v>0</v>
      </c>
      <c r="AC100" s="847" t="n">
        <f aca="false">+E100*$S100+F100*$S100+G100*$S100+H100*$S100+I100*$S100+J100*$S100+K100*$S100+L100*$S100+M100*$S100+N100*$S100</f>
        <v>0</v>
      </c>
      <c r="AD100" s="847" t="n">
        <f aca="false">+E100*$S100+F100*$S100+G100*$S100+H100*$S100+I100*$S100+J100*$S100+K100*$S100+L100*$S100+M100*$S100+N100*$S100+O100*$S100</f>
        <v>0</v>
      </c>
      <c r="AE100" s="848" t="n">
        <f aca="false">+E100*$S100+F100*$S100+G100*$S100+H100*$S100+I100*$S100+J100*$S100+K100*$S100+L100*$S100+M100*$S100+N100*$S100+O100*$S100+P100*$S100</f>
        <v>0</v>
      </c>
    </row>
    <row r="101" customFormat="false" ht="11.25" hidden="false" customHeight="false" outlineLevel="0" collapsed="false">
      <c r="A101" s="856"/>
      <c r="B101" s="858" t="e">
        <f aca="false">+#REF!</f>
        <v>#REF!</v>
      </c>
      <c r="C101" s="844" t="e">
        <f aca="false">+#REF!</f>
        <v>#REF!</v>
      </c>
      <c r="D101" s="291" t="e">
        <f aca="false">+#REF!</f>
        <v>#REF!</v>
      </c>
      <c r="E101" s="845"/>
      <c r="F101" s="291"/>
      <c r="G101" s="291"/>
      <c r="H101" s="291"/>
      <c r="I101" s="291"/>
      <c r="J101" s="291"/>
      <c r="K101" s="291"/>
      <c r="L101" s="291"/>
      <c r="M101" s="291"/>
      <c r="N101" s="291"/>
      <c r="O101" s="291"/>
      <c r="P101" s="291"/>
      <c r="Q101" s="291" t="e">
        <f aca="false">+D101</f>
        <v>#REF!</v>
      </c>
      <c r="R101" s="846" t="e">
        <f aca="false">+Q101-SUM(E101:P101)</f>
        <v>#REF!</v>
      </c>
      <c r="S101" s="847" t="n">
        <f aca="false">+Insumos_Cotação!S112</f>
        <v>0</v>
      </c>
      <c r="T101" s="847" t="n">
        <f aca="false">+E101*$S101</f>
        <v>0</v>
      </c>
      <c r="U101" s="847" t="n">
        <f aca="false">+E101*$S101+F101*$S101</f>
        <v>0</v>
      </c>
      <c r="V101" s="847" t="n">
        <f aca="false">+E101*$S101+F101*$S101+G101*$S101</f>
        <v>0</v>
      </c>
      <c r="W101" s="847" t="n">
        <f aca="false">++E101*$S101+F101*$S101+G101*$S101+H101*$S101</f>
        <v>0</v>
      </c>
      <c r="X101" s="847" t="n">
        <f aca="false">+E101*$S101+F101*$S101+G101*$S101+H101*$S101+I101*$S101</f>
        <v>0</v>
      </c>
      <c r="Y101" s="847" t="n">
        <f aca="false">+E101*$S101+F101*$S101+G101*$S101+H101*$S101+I101*$S101+J101*$S101</f>
        <v>0</v>
      </c>
      <c r="Z101" s="847" t="n">
        <f aca="false">+E101*$S101+F101*$S101+G101*$S101+H101*$S101+I101*$S101+J101*$S101+K101*$S101</f>
        <v>0</v>
      </c>
      <c r="AA101" s="847" t="n">
        <f aca="false">++E101*$S101+F101*$S101+G101*$S101+H101*$S101+I101*$S101+J101*$S101+K101*$S101+L101*$S101</f>
        <v>0</v>
      </c>
      <c r="AB101" s="847" t="n">
        <f aca="false">+E101*$S101+F101*$S101+G101*$S101+H101*$S101+I101*$S101+J101*$S101+K101*$S101+L101*$S101+M101*$S101</f>
        <v>0</v>
      </c>
      <c r="AC101" s="847" t="n">
        <f aca="false">+E101*$S101+F101*$S101+G101*$S101+H101*$S101+I101*$S101+J101*$S101+K101*$S101+L101*$S101+M101*$S101+N101*$S101</f>
        <v>0</v>
      </c>
      <c r="AD101" s="847" t="n">
        <f aca="false">+E101*$S101+F101*$S101+G101*$S101+H101*$S101+I101*$S101+J101*$S101+K101*$S101+L101*$S101+M101*$S101+N101*$S101+O101*$S101</f>
        <v>0</v>
      </c>
      <c r="AE101" s="848" t="n">
        <f aca="false">+E101*$S101+F101*$S101+G101*$S101+H101*$S101+I101*$S101+J101*$S101+K101*$S101+L101*$S101+M101*$S101+N101*$S101+O101*$S101+P101*$S101</f>
        <v>0</v>
      </c>
    </row>
    <row r="102" customFormat="false" ht="11.25" hidden="false" customHeight="false" outlineLevel="0" collapsed="false">
      <c r="A102" s="856"/>
      <c r="B102" s="858" t="e">
        <f aca="false">+#REF!</f>
        <v>#REF!</v>
      </c>
      <c r="C102" s="844" t="e">
        <f aca="false">+#REF!</f>
        <v>#REF!</v>
      </c>
      <c r="D102" s="291" t="e">
        <f aca="false">+#REF!</f>
        <v>#REF!</v>
      </c>
      <c r="E102" s="845"/>
      <c r="F102" s="291"/>
      <c r="G102" s="291"/>
      <c r="H102" s="291"/>
      <c r="I102" s="291"/>
      <c r="J102" s="291"/>
      <c r="K102" s="291"/>
      <c r="L102" s="291"/>
      <c r="M102" s="291"/>
      <c r="N102" s="291"/>
      <c r="O102" s="291"/>
      <c r="P102" s="291"/>
      <c r="Q102" s="291" t="e">
        <f aca="false">+D102</f>
        <v>#REF!</v>
      </c>
      <c r="R102" s="846" t="e">
        <f aca="false">+Q102-SUM(E102:P102)</f>
        <v>#REF!</v>
      </c>
      <c r="S102" s="847" t="n">
        <f aca="false">+Insumos_Cotação!S113</f>
        <v>0</v>
      </c>
      <c r="T102" s="847" t="n">
        <f aca="false">+E102*$S102</f>
        <v>0</v>
      </c>
      <c r="U102" s="847" t="n">
        <f aca="false">+E102*$S102+F102*$S102</f>
        <v>0</v>
      </c>
      <c r="V102" s="847" t="n">
        <f aca="false">+E102*$S102+F102*$S102+G102*$S102</f>
        <v>0</v>
      </c>
      <c r="W102" s="847" t="n">
        <f aca="false">++E102*$S102+F102*$S102+G102*$S102+H102*$S102</f>
        <v>0</v>
      </c>
      <c r="X102" s="847" t="n">
        <f aca="false">+E102*$S102+F102*$S102+G102*$S102+H102*$S102+I102*$S102</f>
        <v>0</v>
      </c>
      <c r="Y102" s="847" t="n">
        <f aca="false">+E102*$S102+F102*$S102+G102*$S102+H102*$S102+I102*$S102+J102*$S102</f>
        <v>0</v>
      </c>
      <c r="Z102" s="847" t="n">
        <f aca="false">+E102*$S102+F102*$S102+G102*$S102+H102*$S102+I102*$S102+J102*$S102+K102*$S102</f>
        <v>0</v>
      </c>
      <c r="AA102" s="847" t="n">
        <f aca="false">++E102*$S102+F102*$S102+G102*$S102+H102*$S102+I102*$S102+J102*$S102+K102*$S102+L102*$S102</f>
        <v>0</v>
      </c>
      <c r="AB102" s="847" t="n">
        <f aca="false">+E102*$S102+F102*$S102+G102*$S102+H102*$S102+I102*$S102+J102*$S102+K102*$S102+L102*$S102+M102*$S102</f>
        <v>0</v>
      </c>
      <c r="AC102" s="847" t="n">
        <f aca="false">+E102*$S102+F102*$S102+G102*$S102+H102*$S102+I102*$S102+J102*$S102+K102*$S102+L102*$S102+M102*$S102+N102*$S102</f>
        <v>0</v>
      </c>
      <c r="AD102" s="847" t="n">
        <f aca="false">+E102*$S102+F102*$S102+G102*$S102+H102*$S102+I102*$S102+J102*$S102+K102*$S102+L102*$S102+M102*$S102+N102*$S102+O102*$S102</f>
        <v>0</v>
      </c>
      <c r="AE102" s="848" t="n">
        <f aca="false">+E102*$S102+F102*$S102+G102*$S102+H102*$S102+I102*$S102+J102*$S102+K102*$S102+L102*$S102+M102*$S102+N102*$S102+O102*$S102+P102*$S102</f>
        <v>0</v>
      </c>
    </row>
    <row r="103" customFormat="false" ht="12" hidden="false" customHeight="false" outlineLevel="0" collapsed="false">
      <c r="A103" s="856"/>
      <c r="B103" s="859" t="e">
        <f aca="false">+#REF!</f>
        <v>#REF!</v>
      </c>
      <c r="C103" s="860" t="e">
        <f aca="false">+#REF!</f>
        <v>#REF!</v>
      </c>
      <c r="D103" s="861" t="e">
        <f aca="false">+#REF!</f>
        <v>#REF!</v>
      </c>
      <c r="E103" s="862"/>
      <c r="F103" s="861"/>
      <c r="G103" s="861"/>
      <c r="H103" s="861"/>
      <c r="I103" s="861"/>
      <c r="J103" s="861"/>
      <c r="K103" s="861"/>
      <c r="L103" s="861"/>
      <c r="M103" s="861"/>
      <c r="N103" s="861"/>
      <c r="O103" s="861"/>
      <c r="P103" s="861"/>
      <c r="Q103" s="861" t="e">
        <f aca="false">+D103</f>
        <v>#REF!</v>
      </c>
      <c r="R103" s="863" t="e">
        <f aca="false">+Q103-SUM(E103:P103)</f>
        <v>#REF!</v>
      </c>
      <c r="S103" s="864" t="n">
        <f aca="false">+Insumos_Cotação!S114</f>
        <v>0</v>
      </c>
      <c r="T103" s="864" t="n">
        <f aca="false">+E103*$S103</f>
        <v>0</v>
      </c>
      <c r="U103" s="864" t="n">
        <f aca="false">+E103*$S103+F103*$S103</f>
        <v>0</v>
      </c>
      <c r="V103" s="864" t="n">
        <f aca="false">+E103*$S103+F103*$S103+G103*$S103</f>
        <v>0</v>
      </c>
      <c r="W103" s="864" t="n">
        <f aca="false">++E103*$S103+F103*$S103+G103*$S103+H103*$S103</f>
        <v>0</v>
      </c>
      <c r="X103" s="864" t="n">
        <f aca="false">+E103*$S103+F103*$S103+G103*$S103+H103*$S103+I103*$S103</f>
        <v>0</v>
      </c>
      <c r="Y103" s="864" t="n">
        <f aca="false">+E103*$S103+F103*$S103+G103*$S103+H103*$S103+I103*$S103+J103*$S103</f>
        <v>0</v>
      </c>
      <c r="Z103" s="864" t="n">
        <f aca="false">+E103*$S103+F103*$S103+G103*$S103+H103*$S103+I103*$S103+J103*$S103+K103*$S103</f>
        <v>0</v>
      </c>
      <c r="AA103" s="864" t="n">
        <f aca="false">++E103*$S103+F103*$S103+G103*$S103+H103*$S103+I103*$S103+J103*$S103+K103*$S103+L103*$S103</f>
        <v>0</v>
      </c>
      <c r="AB103" s="864" t="n">
        <f aca="false">+E103*$S103+F103*$S103+G103*$S103+H103*$S103+I103*$S103+J103*$S103+K103*$S103+L103*$S103+M103*$S103</f>
        <v>0</v>
      </c>
      <c r="AC103" s="864" t="n">
        <f aca="false">+E103*$S103+F103*$S103+G103*$S103+H103*$S103+I103*$S103+J103*$S103+K103*$S103+L103*$S103+M103*$S103+N103*$S103</f>
        <v>0</v>
      </c>
      <c r="AD103" s="864" t="n">
        <f aca="false">+E103*$S103+F103*$S103+G103*$S103+H103*$S103+I103*$S103+J103*$S103+K103*$S103+L103*$S103+M103*$S103+N103*$S103+O103*$S103</f>
        <v>0</v>
      </c>
      <c r="AE103" s="865" t="n">
        <f aca="false">+E103*$S103+F103*$S103+G103*$S103+H103*$S103+I103*$S103+J103*$S103+K103*$S103+L103*$S103+M103*$S103+N103*$S103+O103*$S103+P103*$S103</f>
        <v>0</v>
      </c>
    </row>
    <row r="104" customFormat="false" ht="12" hidden="false" customHeight="false" outlineLevel="0" collapsed="false">
      <c r="A104" s="83"/>
      <c r="B104" s="83"/>
      <c r="C104" s="83"/>
      <c r="D104" s="83"/>
      <c r="E104" s="83"/>
      <c r="F104" s="83"/>
      <c r="G104" s="83"/>
      <c r="H104" s="83"/>
      <c r="I104" s="83"/>
      <c r="J104" s="83"/>
      <c r="K104" s="83"/>
      <c r="L104" s="83"/>
      <c r="M104" s="83"/>
      <c r="N104" s="83"/>
      <c r="O104" s="83"/>
      <c r="P104" s="83"/>
      <c r="Q104" s="877" t="s">
        <v>735</v>
      </c>
      <c r="R104" s="877"/>
      <c r="S104" s="877"/>
      <c r="T104" s="878" t="n">
        <f aca="false">SUM(T4:T103)</f>
        <v>0</v>
      </c>
      <c r="U104" s="879" t="n">
        <f aca="false">SUM(U4:U103)</f>
        <v>0</v>
      </c>
      <c r="V104" s="879" t="n">
        <f aca="false">SUM(V4:V103)</f>
        <v>0</v>
      </c>
      <c r="W104" s="879" t="n">
        <f aca="false">SUM(W4:W103)</f>
        <v>0</v>
      </c>
      <c r="X104" s="879" t="n">
        <f aca="false">SUM(X4:X103)</f>
        <v>0</v>
      </c>
      <c r="Y104" s="879" t="n">
        <f aca="false">SUM(Y4:Y103)</f>
        <v>0</v>
      </c>
      <c r="Z104" s="879" t="n">
        <f aca="false">SUM(Z4:Z103)</f>
        <v>0</v>
      </c>
      <c r="AA104" s="879" t="n">
        <f aca="false">SUM(AA4:AA103)</f>
        <v>0</v>
      </c>
      <c r="AB104" s="879" t="n">
        <f aca="false">SUM(AB4:AB103)</f>
        <v>0</v>
      </c>
      <c r="AC104" s="879" t="n">
        <f aca="false">SUM(AC4:AC103)</f>
        <v>0</v>
      </c>
      <c r="AD104" s="879" t="n">
        <f aca="false">SUM(AD4:AD103)</f>
        <v>0</v>
      </c>
      <c r="AE104" s="880" t="n">
        <f aca="false">SUM(AE4:AE103)</f>
        <v>0</v>
      </c>
    </row>
    <row r="105" customFormat="false" ht="23.25" hidden="false" customHeight="false" outlineLevel="0" collapsed="false">
      <c r="A105" s="83" t="s">
        <v>736</v>
      </c>
      <c r="B105" s="83"/>
      <c r="C105" s="83"/>
      <c r="D105" s="83"/>
      <c r="E105" s="83"/>
      <c r="F105" s="83"/>
      <c r="G105" s="83"/>
      <c r="H105" s="83"/>
      <c r="I105" s="83"/>
      <c r="J105" s="83"/>
      <c r="K105" s="83"/>
      <c r="M105" s="83"/>
      <c r="N105" s="83"/>
      <c r="O105" s="83" t="s">
        <v>737</v>
      </c>
      <c r="P105" s="83"/>
      <c r="Q105" s="881"/>
      <c r="R105" s="881"/>
      <c r="S105" s="881"/>
      <c r="T105" s="882" t="s">
        <v>738</v>
      </c>
      <c r="U105" s="883" t="s">
        <v>739</v>
      </c>
      <c r="V105" s="883" t="s">
        <v>740</v>
      </c>
      <c r="W105" s="883" t="s">
        <v>741</v>
      </c>
      <c r="X105" s="883" t="s">
        <v>742</v>
      </c>
      <c r="Y105" s="883" t="s">
        <v>743</v>
      </c>
      <c r="Z105" s="883" t="s">
        <v>744</v>
      </c>
      <c r="AA105" s="883" t="s">
        <v>745</v>
      </c>
      <c r="AB105" s="883" t="s">
        <v>746</v>
      </c>
      <c r="AC105" s="883" t="s">
        <v>747</v>
      </c>
      <c r="AD105" s="883" t="s">
        <v>748</v>
      </c>
      <c r="AE105" s="884" t="s">
        <v>749</v>
      </c>
    </row>
    <row r="106" customFormat="false" ht="12.75" hidden="false" customHeight="false" outlineLevel="0" collapsed="false">
      <c r="T106" s="885" t="str">
        <f aca="false">IF(T104&gt;$AD$1,"Verifique","OK")</f>
        <v>OK</v>
      </c>
      <c r="U106" s="885" t="str">
        <f aca="false">IF(U104&gt;$AD$1,"Verifique","OK")</f>
        <v>OK</v>
      </c>
      <c r="V106" s="885" t="str">
        <f aca="false">IF(V104&gt;$AD$1,"Verifique","OK")</f>
        <v>OK</v>
      </c>
      <c r="W106" s="885" t="str">
        <f aca="false">IF(W104&gt;$AD$1,"Verifique","OK")</f>
        <v>OK</v>
      </c>
      <c r="X106" s="885" t="str">
        <f aca="false">IF(X104&gt;$AD$1,"Verifique","OK")</f>
        <v>OK</v>
      </c>
      <c r="Y106" s="885" t="str">
        <f aca="false">IF(Y104&gt;$AD$1,"Verifique","OK")</f>
        <v>OK</v>
      </c>
      <c r="Z106" s="885" t="str">
        <f aca="false">IF(Z104&gt;$AD$1,"Verifique","OK")</f>
        <v>OK</v>
      </c>
      <c r="AA106" s="885" t="str">
        <f aca="false">IF(AA104&gt;$AD$1,"Verifique","OK")</f>
        <v>OK</v>
      </c>
      <c r="AB106" s="885" t="str">
        <f aca="false">IF(AB104&gt;$AD$1,"Verifique","OK")</f>
        <v>OK</v>
      </c>
      <c r="AC106" s="885" t="str">
        <f aca="false">IF(AC104&gt;$AD$1,"Verifique","OK")</f>
        <v>OK</v>
      </c>
      <c r="AD106" s="885" t="str">
        <f aca="false">IF(AD104&gt;$AD$1,"Verifique","OK")</f>
        <v>OK</v>
      </c>
      <c r="AE106" s="886" t="str">
        <f aca="false">IF(AE104&gt;$AD$1,"Verifique","OK")</f>
        <v>OK</v>
      </c>
    </row>
  </sheetData>
  <mergeCells count="18">
    <mergeCell ref="A1:S1"/>
    <mergeCell ref="AB1:AC1"/>
    <mergeCell ref="AD1:AE1"/>
    <mergeCell ref="A2:A3"/>
    <mergeCell ref="B2:B3"/>
    <mergeCell ref="C2:C3"/>
    <mergeCell ref="D2:D3"/>
    <mergeCell ref="E2:P2"/>
    <mergeCell ref="Q2:Q3"/>
    <mergeCell ref="R2:R3"/>
    <mergeCell ref="S2:S3"/>
    <mergeCell ref="T2:AE2"/>
    <mergeCell ref="A4:A59"/>
    <mergeCell ref="A60:A69"/>
    <mergeCell ref="A70:A76"/>
    <mergeCell ref="A77:A81"/>
    <mergeCell ref="A82:A103"/>
    <mergeCell ref="Q104:S104"/>
  </mergeCells>
  <conditionalFormatting sqref="T106:AE106">
    <cfRule type="expression" priority="2" aboveAverage="0" equalAverage="0" bottom="0" percent="0" rank="0" text="" dxfId="0">
      <formula>NOT(ISERROR(SEARCH("Mais de uma Nota Atribuida na linha. Verifique",T106)))</formula>
    </cfRule>
    <cfRule type="expression" priority="3" aboveAverage="0" equalAverage="0" bottom="0" percent="0" rank="0" text="" dxfId="1">
      <formula>NOT(ISERROR(SEARCH("Verifique",T106)))</formula>
    </cfRule>
    <cfRule type="expression" priority="4" aboveAverage="0" equalAverage="0" bottom="0" percent="0" rank="0" text="" dxfId="2">
      <formula>NOT(ISERROR(SEARCH("OK",T106)))</formula>
    </cfRule>
  </conditionalFormatting>
  <printOptions headings="false" gridLines="false" gridLinesSet="true" horizontalCentered="false" verticalCentered="false"/>
  <pageMargins left="0.511805555555555" right="0.511805555555555" top="0.315277777777778" bottom="0.315277777777778" header="0.315277777777778" footer="0.315277777777778"/>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A1:J49"/>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zeroHeight="false" outlineLevelRow="0" outlineLevelCol="0"/>
  <cols>
    <col collapsed="false" customWidth="true" hidden="false" outlineLevel="0" max="1" min="1" style="780" width="11.61"/>
    <col collapsed="false" customWidth="true" hidden="false" outlineLevel="0" max="2" min="2" style="780" width="8.64"/>
    <col collapsed="false" customWidth="true" hidden="false" outlineLevel="0" max="3" min="3" style="780" width="12.02"/>
    <col collapsed="false" customWidth="true" hidden="false" outlineLevel="0" max="4" min="4" style="780" width="21.46"/>
    <col collapsed="false" customWidth="true" hidden="false" outlineLevel="0" max="5" min="5" style="780" width="13.23"/>
    <col collapsed="false" customWidth="true" hidden="false" outlineLevel="0" max="7" min="6" style="780" width="18.36"/>
    <col collapsed="false" customWidth="true" hidden="false" outlineLevel="0" max="8" min="8" style="780" width="16.87"/>
    <col collapsed="false" customWidth="true" hidden="false" outlineLevel="0" max="9" min="9" style="780" width="12.02"/>
    <col collapsed="false" customWidth="true" hidden="false" outlineLevel="0" max="10" min="10" style="780" width="8.91"/>
    <col collapsed="false" customWidth="true" hidden="false" outlineLevel="0" max="13" min="11" style="780" width="8.64"/>
    <col collapsed="false" customWidth="true" hidden="false" outlineLevel="0" max="14" min="14" style="887" width="9.59"/>
    <col collapsed="false" customWidth="true" hidden="false" outlineLevel="0" max="1025" min="15" style="780" width="8.64"/>
  </cols>
  <sheetData>
    <row r="1" customFormat="false" ht="15.75" hidden="false" customHeight="false" outlineLevel="0" collapsed="false">
      <c r="A1" s="888"/>
      <c r="B1" s="889" t="s">
        <v>593</v>
      </c>
      <c r="C1" s="889"/>
      <c r="D1" s="889"/>
      <c r="E1" s="889"/>
      <c r="F1" s="889"/>
      <c r="G1" s="889"/>
      <c r="H1" s="889"/>
    </row>
    <row r="2" customFormat="false" ht="15" hidden="false" customHeight="false" outlineLevel="0" collapsed="false">
      <c r="A2" s="888"/>
      <c r="B2" s="890" t="s">
        <v>594</v>
      </c>
      <c r="C2" s="890"/>
      <c r="D2" s="890"/>
      <c r="E2" s="890"/>
      <c r="F2" s="890"/>
      <c r="G2" s="890"/>
      <c r="H2" s="890"/>
    </row>
    <row r="3" customFormat="false" ht="15" hidden="false" customHeight="false" outlineLevel="0" collapsed="false">
      <c r="A3" s="687"/>
      <c r="B3" s="687"/>
      <c r="C3" s="687"/>
      <c r="D3" s="687"/>
      <c r="E3" s="891"/>
      <c r="F3" s="687"/>
      <c r="G3" s="891"/>
      <c r="H3" s="687"/>
    </row>
    <row r="4" customFormat="false" ht="15" hidden="false" customHeight="false" outlineLevel="0" collapsed="false">
      <c r="A4" s="892" t="s">
        <v>750</v>
      </c>
      <c r="B4" s="892"/>
      <c r="C4" s="892"/>
      <c r="D4" s="892"/>
      <c r="E4" s="892"/>
      <c r="F4" s="892"/>
      <c r="G4" s="892"/>
      <c r="H4" s="892"/>
    </row>
    <row r="5" customFormat="false" ht="15" hidden="false" customHeight="false" outlineLevel="0" collapsed="false">
      <c r="A5" s="687"/>
      <c r="B5" s="687"/>
      <c r="C5" s="687"/>
      <c r="D5" s="687"/>
      <c r="E5" s="891"/>
      <c r="F5" s="687"/>
      <c r="G5" s="891"/>
      <c r="H5" s="687"/>
    </row>
    <row r="6" customFormat="false" ht="15" hidden="false" customHeight="false" outlineLevel="0" collapsed="false">
      <c r="A6" s="893" t="s">
        <v>596</v>
      </c>
      <c r="B6" s="893"/>
      <c r="C6" s="894" t="s">
        <v>751</v>
      </c>
      <c r="D6" s="894"/>
      <c r="E6" s="894"/>
      <c r="F6" s="894"/>
      <c r="G6" s="894"/>
      <c r="H6" s="894"/>
    </row>
    <row r="7" customFormat="false" ht="15" hidden="false" customHeight="false" outlineLevel="0" collapsed="false">
      <c r="A7" s="692"/>
      <c r="B7" s="693"/>
      <c r="C7" s="693"/>
      <c r="D7" s="693"/>
      <c r="E7" s="895"/>
      <c r="F7" s="693"/>
      <c r="G7" s="895"/>
      <c r="H7" s="693"/>
    </row>
    <row r="8" customFormat="false" ht="15" hidden="false" customHeight="false" outlineLevel="0" collapsed="false">
      <c r="A8" s="893" t="s">
        <v>598</v>
      </c>
      <c r="B8" s="893"/>
      <c r="C8" s="896"/>
      <c r="D8" s="896"/>
      <c r="E8" s="896"/>
      <c r="F8" s="896"/>
      <c r="G8" s="896"/>
      <c r="H8" s="896"/>
    </row>
    <row r="9" customFormat="false" ht="15" hidden="false" customHeight="false" outlineLevel="0" collapsed="false">
      <c r="A9" s="693"/>
      <c r="B9" s="693"/>
      <c r="C9" s="693"/>
      <c r="D9" s="693"/>
      <c r="E9" s="895"/>
      <c r="F9" s="693"/>
      <c r="G9" s="895"/>
      <c r="H9" s="693"/>
    </row>
    <row r="10" customFormat="false" ht="15" hidden="false" customHeight="false" outlineLevel="0" collapsed="false">
      <c r="A10" s="893" t="s">
        <v>599</v>
      </c>
      <c r="B10" s="893"/>
      <c r="C10" s="897"/>
      <c r="D10" s="898"/>
      <c r="E10" s="899"/>
      <c r="F10" s="692"/>
      <c r="G10" s="900" t="s">
        <v>752</v>
      </c>
      <c r="H10" s="901"/>
    </row>
    <row r="11" customFormat="false" ht="15" hidden="false" customHeight="false" outlineLevel="0" collapsed="false">
      <c r="A11" s="1"/>
      <c r="B11" s="1"/>
      <c r="C11" s="1"/>
      <c r="D11" s="1"/>
      <c r="E11" s="902"/>
      <c r="F11" s="1"/>
      <c r="G11" s="902"/>
      <c r="H11" s="1"/>
    </row>
    <row r="12" customFormat="false" ht="15" hidden="false" customHeight="false" outlineLevel="0" collapsed="false">
      <c r="A12" s="54"/>
      <c r="B12" s="54"/>
      <c r="C12" s="54"/>
      <c r="D12" s="54"/>
      <c r="E12" s="903"/>
      <c r="F12" s="54"/>
      <c r="G12" s="903"/>
      <c r="H12" s="54"/>
    </row>
    <row r="13" customFormat="false" ht="45" hidden="false" customHeight="false" outlineLevel="0" collapsed="false">
      <c r="A13" s="904" t="s">
        <v>753</v>
      </c>
      <c r="B13" s="904"/>
      <c r="C13" s="904"/>
      <c r="D13" s="904"/>
      <c r="E13" s="904"/>
      <c r="F13" s="904"/>
      <c r="G13" s="905" t="s">
        <v>754</v>
      </c>
      <c r="H13" s="904" t="s">
        <v>755</v>
      </c>
    </row>
    <row r="14" customFormat="false" ht="16.5" hidden="false" customHeight="true" outlineLevel="0" collapsed="false">
      <c r="A14" s="906" t="s">
        <v>756</v>
      </c>
      <c r="B14" s="906"/>
      <c r="C14" s="906" t="s">
        <v>757</v>
      </c>
      <c r="D14" s="906"/>
      <c r="E14" s="905" t="s">
        <v>758</v>
      </c>
      <c r="F14" s="906" t="s">
        <v>759</v>
      </c>
      <c r="G14" s="905" t="s">
        <v>758</v>
      </c>
      <c r="H14" s="904"/>
    </row>
    <row r="15" customFormat="false" ht="15" hidden="false" customHeight="false" outlineLevel="0" collapsed="false">
      <c r="A15" s="907" t="s">
        <v>51</v>
      </c>
      <c r="B15" s="907" t="s">
        <v>52</v>
      </c>
      <c r="C15" s="908" t="s">
        <v>760</v>
      </c>
      <c r="D15" s="908" t="s">
        <v>761</v>
      </c>
      <c r="E15" s="909" t="n">
        <f aca="false">+'LOTE_I_-_Custo_M2'!J26+'LOTE_I_-_Custo_M2'!J53-'LOTE_I_-_Custo_M2'!J11-'LOTE_I_-_Custo_M2'!J14-'LOTE_I_-_Custo_M2'!J21</f>
        <v>21379</v>
      </c>
      <c r="F15" s="910" t="n">
        <f aca="false">+'LOTE_I_-_Custo_M2'!J7</f>
        <v>0</v>
      </c>
      <c r="G15" s="911"/>
      <c r="H15" s="912" t="n">
        <f aca="false">+G15*F15</f>
        <v>0</v>
      </c>
    </row>
    <row r="16" customFormat="false" ht="15" hidden="false" customHeight="false" outlineLevel="0" collapsed="false">
      <c r="A16" s="907"/>
      <c r="B16" s="907"/>
      <c r="C16" s="908" t="s">
        <v>98</v>
      </c>
      <c r="D16" s="908" t="s">
        <v>761</v>
      </c>
      <c r="E16" s="909" t="n">
        <f aca="false">+'LOTE_I_-_Custo_M2'!J11+'LOTE_I_-_Custo_M2'!J14+'LOTE_I_-_Custo_M2'!J21</f>
        <v>2253</v>
      </c>
      <c r="F16" s="910" t="n">
        <f aca="false">+'LOTE_I_-_Custo_M2'!J7</f>
        <v>0</v>
      </c>
      <c r="G16" s="911"/>
      <c r="H16" s="912" t="n">
        <f aca="false">+G16*F16</f>
        <v>0</v>
      </c>
      <c r="I16" s="913"/>
      <c r="J16" s="914"/>
    </row>
    <row r="17" customFormat="false" ht="15" hidden="false" customHeight="false" outlineLevel="0" collapsed="false">
      <c r="A17" s="907"/>
      <c r="B17" s="915" t="s">
        <v>54</v>
      </c>
      <c r="C17" s="908" t="s">
        <v>760</v>
      </c>
      <c r="D17" s="908" t="s">
        <v>761</v>
      </c>
      <c r="E17" s="909" t="n">
        <f aca="false">+'LOTE_I_-_Custo_M2'!K26+'LOTE_I_-_Custo_M2'!K53</f>
        <v>5164</v>
      </c>
      <c r="F17" s="910" t="n">
        <f aca="false">+'LOTE_I_-_Custo_M2'!K7</f>
        <v>0</v>
      </c>
      <c r="G17" s="911"/>
      <c r="H17" s="912" t="n">
        <f aca="false">+G17*F17</f>
        <v>0</v>
      </c>
    </row>
    <row r="18" customFormat="false" ht="15" hidden="false" customHeight="false" outlineLevel="0" collapsed="false">
      <c r="A18" s="907"/>
      <c r="B18" s="915" t="s">
        <v>58</v>
      </c>
      <c r="C18" s="908" t="s">
        <v>760</v>
      </c>
      <c r="D18" s="908" t="s">
        <v>761</v>
      </c>
      <c r="E18" s="909" t="n">
        <f aca="false">+'LOTE_I_-_Custo_M2'!L26+'LOTE_I_-_Custo_M2'!L53</f>
        <v>2601</v>
      </c>
      <c r="F18" s="910" t="n">
        <f aca="false">+'LOTE_I_-_Custo_M2'!L7</f>
        <v>0</v>
      </c>
      <c r="G18" s="911"/>
      <c r="H18" s="912" t="n">
        <f aca="false">+G18*F18</f>
        <v>0</v>
      </c>
    </row>
    <row r="19" customFormat="false" ht="15" hidden="false" customHeight="false" outlineLevel="0" collapsed="false">
      <c r="A19" s="907"/>
      <c r="B19" s="907" t="s">
        <v>62</v>
      </c>
      <c r="C19" s="908" t="s">
        <v>760</v>
      </c>
      <c r="D19" s="908" t="s">
        <v>761</v>
      </c>
      <c r="E19" s="909" t="n">
        <f aca="false">+'LOTE_I_-_Custo_M2'!M26-'LOTE_I_-_Custo_M2'!M11-'LOTE_I_-_Custo_M2'!M14-'LOTE_I_-_Custo_M2'!M21</f>
        <v>29343</v>
      </c>
      <c r="F19" s="910" t="n">
        <f aca="false">+'LOTE_I_-_Custo_M2'!M7</f>
        <v>0</v>
      </c>
      <c r="G19" s="911"/>
      <c r="H19" s="912" t="n">
        <f aca="false">+G19*F19</f>
        <v>0</v>
      </c>
    </row>
    <row r="20" customFormat="false" ht="15" hidden="false" customHeight="false" outlineLevel="0" collapsed="false">
      <c r="A20" s="907"/>
      <c r="B20" s="907"/>
      <c r="C20" s="908" t="s">
        <v>98</v>
      </c>
      <c r="D20" s="908" t="s">
        <v>761</v>
      </c>
      <c r="E20" s="909" t="n">
        <f aca="false">+'LOTE_I_-_Custo_M2'!M11+'LOTE_I_-_Custo_M2'!M14+'LOTE_I_-_Custo_M2'!M21</f>
        <v>1555</v>
      </c>
      <c r="F20" s="910" t="n">
        <f aca="false">+'LOTE_I_-_Custo_M2'!M7</f>
        <v>0</v>
      </c>
      <c r="G20" s="911"/>
      <c r="H20" s="912" t="n">
        <f aca="false">+G20*F20</f>
        <v>0</v>
      </c>
    </row>
    <row r="21" customFormat="false" ht="15" hidden="false" customHeight="false" outlineLevel="0" collapsed="false">
      <c r="A21" s="907"/>
      <c r="B21" s="915" t="s">
        <v>66</v>
      </c>
      <c r="C21" s="908" t="s">
        <v>760</v>
      </c>
      <c r="D21" s="908" t="s">
        <v>761</v>
      </c>
      <c r="E21" s="909" t="n">
        <f aca="false">+'LOTE_I_-_Custo_M2'!N26+'LOTE_I_-_Custo_M2'!N53</f>
        <v>93</v>
      </c>
      <c r="F21" s="910" t="n">
        <f aca="false">+'LOTE_I_-_Custo_M2'!N7</f>
        <v>0</v>
      </c>
      <c r="G21" s="911"/>
      <c r="H21" s="912" t="n">
        <f aca="false">+G21*F21</f>
        <v>0</v>
      </c>
    </row>
    <row r="22" customFormat="false" ht="15" hidden="false" customHeight="false" outlineLevel="0" collapsed="false">
      <c r="A22" s="907"/>
      <c r="B22" s="916" t="s">
        <v>70</v>
      </c>
      <c r="C22" s="908" t="s">
        <v>760</v>
      </c>
      <c r="D22" s="908" t="s">
        <v>761</v>
      </c>
      <c r="E22" s="909" t="n">
        <f aca="false">+'LOTE_I_-_Custo_M2'!O53+'LOTE_I_-_Custo_M2'!O26-'LOTE_I_-_Custo_M2'!O11-'LOTE_I_-_Custo_M2'!O14-'LOTE_I_-_Custo_M2'!O21</f>
        <v>1508</v>
      </c>
      <c r="F22" s="910" t="n">
        <f aca="false">+'LOTE_I_-_Custo_M2'!O8</f>
        <v>0.01</v>
      </c>
      <c r="G22" s="911"/>
      <c r="H22" s="912" t="n">
        <f aca="false">+G22*F22</f>
        <v>0</v>
      </c>
    </row>
    <row r="23" customFormat="false" ht="15" hidden="false" customHeight="false" outlineLevel="0" collapsed="false">
      <c r="A23" s="907"/>
      <c r="B23" s="907"/>
      <c r="C23" s="908" t="s">
        <v>98</v>
      </c>
      <c r="D23" s="908" t="s">
        <v>761</v>
      </c>
      <c r="E23" s="909" t="n">
        <f aca="false">+'LOTE_I_-_Custo_M2'!O11+'LOTE_I_-_Custo_M2'!O14+'LOTE_I_-_Custo_M2'!O21</f>
        <v>361</v>
      </c>
      <c r="F23" s="910" t="n">
        <f aca="false">+'LOTE_I_-_Custo_M2'!O8</f>
        <v>0.01</v>
      </c>
      <c r="G23" s="911"/>
      <c r="H23" s="912" t="n">
        <f aca="false">+G23*F23</f>
        <v>0</v>
      </c>
    </row>
    <row r="24" customFormat="false" ht="15" hidden="false" customHeight="false" outlineLevel="0" collapsed="false">
      <c r="A24" s="907"/>
      <c r="B24" s="917" t="s">
        <v>73</v>
      </c>
      <c r="C24" s="908" t="s">
        <v>760</v>
      </c>
      <c r="D24" s="908" t="s">
        <v>761</v>
      </c>
      <c r="E24" s="909" t="n">
        <f aca="false">+'LOTE_I_-_Custo_M2'!M53</f>
        <v>3265</v>
      </c>
      <c r="F24" s="910" t="n">
        <f aca="false">+'LOTE_I_-_Custo_M2'!M48</f>
        <v>0</v>
      </c>
      <c r="G24" s="911"/>
      <c r="H24" s="912" t="n">
        <f aca="false">+G24*F24</f>
        <v>0</v>
      </c>
    </row>
    <row r="25" customFormat="false" ht="15" hidden="false" customHeight="false" outlineLevel="0" collapsed="false">
      <c r="A25" s="907" t="s">
        <v>76</v>
      </c>
      <c r="B25" s="915" t="s">
        <v>77</v>
      </c>
      <c r="C25" s="908" t="s">
        <v>760</v>
      </c>
      <c r="D25" s="908" t="s">
        <v>761</v>
      </c>
      <c r="E25" s="909" t="n">
        <f aca="false">+'LOTE_I_-_Custo_M2'!P53+'LOTE_I_-_Custo_M2'!P26</f>
        <v>5179</v>
      </c>
      <c r="F25" s="910" t="n">
        <f aca="false">+'LOTE_I_-_Custo_M2'!P47</f>
        <v>0</v>
      </c>
      <c r="G25" s="911"/>
      <c r="H25" s="912" t="n">
        <f aca="false">+G25*F25</f>
        <v>0</v>
      </c>
    </row>
    <row r="26" customFormat="false" ht="15" hidden="false" customHeight="false" outlineLevel="0" collapsed="false">
      <c r="A26" s="907"/>
      <c r="B26" s="915" t="s">
        <v>91</v>
      </c>
      <c r="C26" s="908" t="s">
        <v>760</v>
      </c>
      <c r="D26" s="908" t="s">
        <v>761</v>
      </c>
      <c r="E26" s="909" t="n">
        <f aca="false">+'LOTE_I_-_Custo_M2'!Q26+'LOTE_I_-_Custo_M2'!Q53</f>
        <v>5044</v>
      </c>
      <c r="F26" s="910" t="n">
        <f aca="false">+'LOTE_I_-_Custo_M2'!Q47</f>
        <v>0</v>
      </c>
      <c r="G26" s="911"/>
      <c r="H26" s="912" t="n">
        <f aca="false">+G26*F26</f>
        <v>0</v>
      </c>
    </row>
    <row r="27" customFormat="false" ht="15" hidden="false" customHeight="false" outlineLevel="0" collapsed="false">
      <c r="A27" s="907" t="s">
        <v>762</v>
      </c>
      <c r="B27" s="907" t="s">
        <v>96</v>
      </c>
      <c r="C27" s="908" t="s">
        <v>760</v>
      </c>
      <c r="D27" s="908" t="s">
        <v>761</v>
      </c>
      <c r="E27" s="909" t="n">
        <f aca="false">+'LOTE_I_-_Custo_M2'!R53+'LOTE_I_-_Custo_M2'!R26-'LOTE_I_-_Custo_M2'!R14-'LOTE_I_-_Custo_M2'!R21</f>
        <v>11657</v>
      </c>
      <c r="F27" s="910" t="n">
        <f aca="false">+'LOTE_I_-_Custo_M2'!R7</f>
        <v>0</v>
      </c>
      <c r="G27" s="911"/>
      <c r="H27" s="912" t="n">
        <f aca="false">+G27*F27</f>
        <v>0</v>
      </c>
    </row>
    <row r="28" customFormat="false" ht="15" hidden="false" customHeight="false" outlineLevel="0" collapsed="false">
      <c r="A28" s="907"/>
      <c r="B28" s="907"/>
      <c r="C28" s="908" t="s">
        <v>98</v>
      </c>
      <c r="D28" s="908" t="s">
        <v>761</v>
      </c>
      <c r="E28" s="909" t="n">
        <f aca="false">+'LOTE_I_-_Custo_M2'!R14+'LOTE_I_-_Custo_M2'!R21</f>
        <v>1825</v>
      </c>
      <c r="F28" s="910" t="n">
        <f aca="false">+'LOTE_I_-_Custo_M2'!R7</f>
        <v>0</v>
      </c>
      <c r="G28" s="911"/>
      <c r="H28" s="912" t="n">
        <f aca="false">+G28*F28</f>
        <v>0</v>
      </c>
    </row>
    <row r="29" customFormat="false" ht="15" hidden="false" customHeight="false" outlineLevel="0" collapsed="false">
      <c r="A29" s="907"/>
      <c r="B29" s="907" t="s">
        <v>479</v>
      </c>
      <c r="C29" s="908" t="s">
        <v>760</v>
      </c>
      <c r="D29" s="908" t="s">
        <v>761</v>
      </c>
      <c r="E29" s="909" t="n">
        <f aca="false">+'LOTE_I_-_Custo_M2'!S26-'LOTE_I_-_Custo_M2'!S14-'LOTE_I_-_Custo_M2'!S21+'LOTE_I_-_Custo_M2'!S53</f>
        <v>10357</v>
      </c>
      <c r="F29" s="910" t="n">
        <f aca="false">+'LOTE_I_-_Custo_M2'!S7</f>
        <v>0</v>
      </c>
      <c r="G29" s="911"/>
      <c r="H29" s="912" t="n">
        <f aca="false">+G29*F29</f>
        <v>0</v>
      </c>
    </row>
    <row r="30" customFormat="false" ht="15" hidden="false" customHeight="false" outlineLevel="0" collapsed="false">
      <c r="A30" s="907"/>
      <c r="B30" s="907"/>
      <c r="C30" s="908" t="s">
        <v>98</v>
      </c>
      <c r="D30" s="908" t="s">
        <v>761</v>
      </c>
      <c r="E30" s="909" t="n">
        <f aca="false">+'LOTE_I_-_Custo_M2'!S14+'LOTE_I_-_Custo_M2'!S21</f>
        <v>1639</v>
      </c>
      <c r="F30" s="910" t="n">
        <f aca="false">+'LOTE_I_-_Custo_M2'!S7</f>
        <v>0</v>
      </c>
      <c r="G30" s="911"/>
      <c r="H30" s="912" t="n">
        <f aca="false">+G30*F30</f>
        <v>0</v>
      </c>
      <c r="I30" s="913"/>
    </row>
    <row r="31" customFormat="false" ht="15" hidden="false" customHeight="false" outlineLevel="0" collapsed="false">
      <c r="A31" s="918" t="s">
        <v>51</v>
      </c>
      <c r="B31" s="918" t="s">
        <v>52</v>
      </c>
      <c r="C31" s="919" t="s">
        <v>760</v>
      </c>
      <c r="D31" s="919" t="s">
        <v>763</v>
      </c>
      <c r="E31" s="920" t="n">
        <f aca="false">+'LOTE_I_-_Custo_M2'!J37</f>
        <v>34371</v>
      </c>
      <c r="F31" s="921" t="n">
        <f aca="false">+'LOTE_I_-_Custo_M2'!J34</f>
        <v>0</v>
      </c>
      <c r="G31" s="911"/>
      <c r="H31" s="922" t="n">
        <f aca="false">+G31*F31</f>
        <v>0</v>
      </c>
    </row>
    <row r="32" customFormat="false" ht="15" hidden="false" customHeight="false" outlineLevel="0" collapsed="false">
      <c r="A32" s="918"/>
      <c r="B32" s="918"/>
      <c r="C32" s="919" t="s">
        <v>98</v>
      </c>
      <c r="D32" s="919" t="s">
        <v>763</v>
      </c>
      <c r="E32" s="920" t="n">
        <f aca="false">+'LOTE_I_-_Custo_M2'!J38</f>
        <v>10000</v>
      </c>
      <c r="F32" s="921" t="n">
        <f aca="false">+'LOTE_I_-_Custo_M2'!J34</f>
        <v>0</v>
      </c>
      <c r="G32" s="911"/>
      <c r="H32" s="922" t="n">
        <f aca="false">+G32*F32</f>
        <v>0</v>
      </c>
    </row>
    <row r="33" customFormat="false" ht="15" hidden="false" customHeight="false" outlineLevel="0" collapsed="false">
      <c r="A33" s="918"/>
      <c r="B33" s="918" t="s">
        <v>54</v>
      </c>
      <c r="C33" s="919" t="s">
        <v>760</v>
      </c>
      <c r="D33" s="919" t="s">
        <v>763</v>
      </c>
      <c r="E33" s="920" t="n">
        <f aca="false">+'LOTE_I_-_Custo_M2'!K37</f>
        <v>15878</v>
      </c>
      <c r="F33" s="921" t="n">
        <f aca="false">+'LOTE_I_-_Custo_M2'!K34</f>
        <v>0</v>
      </c>
      <c r="G33" s="911"/>
      <c r="H33" s="922" t="n">
        <f aca="false">+G33*F33</f>
        <v>0</v>
      </c>
    </row>
    <row r="34" customFormat="false" ht="15" hidden="false" customHeight="false" outlineLevel="0" collapsed="false">
      <c r="A34" s="918"/>
      <c r="B34" s="918"/>
      <c r="C34" s="919" t="s">
        <v>98</v>
      </c>
      <c r="D34" s="919" t="s">
        <v>763</v>
      </c>
      <c r="E34" s="920" t="n">
        <f aca="false">+'LOTE_I_-_Custo_M2'!K38</f>
        <v>8546</v>
      </c>
      <c r="F34" s="921" t="n">
        <f aca="false">+'LOTE_I_-_Custo_M2'!K34</f>
        <v>0</v>
      </c>
      <c r="G34" s="911"/>
      <c r="H34" s="922" t="n">
        <f aca="false">+G34*F34</f>
        <v>0</v>
      </c>
    </row>
    <row r="35" customFormat="false" ht="15" hidden="false" customHeight="false" outlineLevel="0" collapsed="false">
      <c r="A35" s="918"/>
      <c r="B35" s="923" t="s">
        <v>58</v>
      </c>
      <c r="C35" s="919" t="s">
        <v>760</v>
      </c>
      <c r="D35" s="919" t="s">
        <v>763</v>
      </c>
      <c r="E35" s="920" t="n">
        <f aca="false">+'LOTE_I_-_Custo_M2'!L37</f>
        <v>2800</v>
      </c>
      <c r="F35" s="921" t="n">
        <f aca="false">+'LOTE_I_-_Custo_M2'!L34</f>
        <v>0</v>
      </c>
      <c r="G35" s="911"/>
      <c r="H35" s="922" t="n">
        <f aca="false">+G35*F35</f>
        <v>0</v>
      </c>
    </row>
    <row r="36" customFormat="false" ht="15" hidden="false" customHeight="false" outlineLevel="0" collapsed="false">
      <c r="A36" s="918"/>
      <c r="B36" s="923" t="s">
        <v>62</v>
      </c>
      <c r="C36" s="919" t="s">
        <v>760</v>
      </c>
      <c r="D36" s="919" t="s">
        <v>763</v>
      </c>
      <c r="E36" s="920" t="n">
        <f aca="false">+'LOTE_I_-_Custo_M2'!M37</f>
        <v>924</v>
      </c>
      <c r="F36" s="921" t="n">
        <f aca="false">+'LOTE_I_-_Custo_M2'!M34</f>
        <v>0</v>
      </c>
      <c r="G36" s="911"/>
      <c r="H36" s="922" t="n">
        <f aca="false">+G36*F36</f>
        <v>0</v>
      </c>
    </row>
    <row r="37" customFormat="false" ht="15" hidden="false" customHeight="false" outlineLevel="0" collapsed="false">
      <c r="A37" s="918"/>
      <c r="B37" s="923" t="s">
        <v>66</v>
      </c>
      <c r="C37" s="919" t="s">
        <v>760</v>
      </c>
      <c r="D37" s="919" t="s">
        <v>763</v>
      </c>
      <c r="E37" s="920" t="n">
        <f aca="false">+'LOTE_I_-_Custo_M2'!N37</f>
        <v>60</v>
      </c>
      <c r="F37" s="921" t="n">
        <f aca="false">+'LOTE_I_-_Custo_M2'!N34</f>
        <v>0</v>
      </c>
      <c r="G37" s="911"/>
      <c r="H37" s="922" t="n">
        <f aca="false">+G37*F37</f>
        <v>0</v>
      </c>
    </row>
    <row r="38" customFormat="false" ht="15" hidden="false" customHeight="false" outlineLevel="0" collapsed="false">
      <c r="A38" s="918"/>
      <c r="B38" s="924" t="s">
        <v>70</v>
      </c>
      <c r="C38" s="919" t="s">
        <v>760</v>
      </c>
      <c r="D38" s="919" t="s">
        <v>763</v>
      </c>
      <c r="E38" s="920" t="n">
        <f aca="false">+'LOTE_I_-_Custo_M2'!O37</f>
        <v>1110</v>
      </c>
      <c r="F38" s="921" t="n">
        <f aca="false">+'LOTE_I_-_Custo_M2'!O35</f>
        <v>0.01</v>
      </c>
      <c r="G38" s="911"/>
      <c r="H38" s="922" t="n">
        <f aca="false">+G38*F38</f>
        <v>0</v>
      </c>
    </row>
    <row r="39" customFormat="false" ht="15" hidden="false" customHeight="false" outlineLevel="0" collapsed="false">
      <c r="A39" s="918"/>
      <c r="B39" s="918"/>
      <c r="C39" s="919" t="s">
        <v>98</v>
      </c>
      <c r="D39" s="919" t="s">
        <v>763</v>
      </c>
      <c r="E39" s="920" t="n">
        <f aca="false">+'LOTE_I_-_Custo_M2'!O38</f>
        <v>1110</v>
      </c>
      <c r="F39" s="921" t="n">
        <f aca="false">+'LOTE_I_-_Custo_M2'!O35</f>
        <v>0.01</v>
      </c>
      <c r="G39" s="911"/>
      <c r="H39" s="922" t="n">
        <f aca="false">+G39*F39</f>
        <v>0</v>
      </c>
    </row>
    <row r="40" customFormat="false" ht="15" hidden="false" customHeight="false" outlineLevel="0" collapsed="false">
      <c r="A40" s="918" t="s">
        <v>76</v>
      </c>
      <c r="B40" s="923" t="s">
        <v>77</v>
      </c>
      <c r="C40" s="919" t="s">
        <v>760</v>
      </c>
      <c r="D40" s="919" t="s">
        <v>763</v>
      </c>
      <c r="E40" s="920" t="n">
        <f aca="false">+'LOTE_I_-_Custo_M2'!P37</f>
        <v>35000</v>
      </c>
      <c r="F40" s="921" t="n">
        <f aca="false">+'LOTE_I_-_Custo_M2'!P34</f>
        <v>0</v>
      </c>
      <c r="G40" s="911"/>
      <c r="H40" s="922" t="n">
        <f aca="false">+G40*F40</f>
        <v>0</v>
      </c>
    </row>
    <row r="41" customFormat="false" ht="15" hidden="false" customHeight="false" outlineLevel="0" collapsed="false">
      <c r="A41" s="918"/>
      <c r="B41" s="923" t="s">
        <v>91</v>
      </c>
      <c r="C41" s="919" t="s">
        <v>760</v>
      </c>
      <c r="D41" s="919" t="s">
        <v>763</v>
      </c>
      <c r="E41" s="920" t="n">
        <f aca="false">+'LOTE_I_-_Custo_M2'!Q37</f>
        <v>32683</v>
      </c>
      <c r="F41" s="921" t="n">
        <f aca="false">+'LOTE_I_-_Custo_M2'!Q34</f>
        <v>0</v>
      </c>
      <c r="G41" s="911"/>
      <c r="H41" s="922" t="n">
        <f aca="false">+G41*F41</f>
        <v>0</v>
      </c>
    </row>
    <row r="42" customFormat="false" ht="15" hidden="false" customHeight="false" outlineLevel="0" collapsed="false">
      <c r="A42" s="918" t="s">
        <v>762</v>
      </c>
      <c r="B42" s="918" t="s">
        <v>96</v>
      </c>
      <c r="C42" s="919" t="s">
        <v>760</v>
      </c>
      <c r="D42" s="919" t="s">
        <v>763</v>
      </c>
      <c r="E42" s="920" t="n">
        <f aca="false">+'LOTE_I_-_Custo_M2'!R37</f>
        <v>1829</v>
      </c>
      <c r="F42" s="921" t="n">
        <f aca="false">+'LOTE_I_-_Custo_M2'!R34</f>
        <v>0</v>
      </c>
      <c r="G42" s="911"/>
      <c r="H42" s="922" t="n">
        <f aca="false">+G42*F42</f>
        <v>0</v>
      </c>
    </row>
    <row r="43" customFormat="false" ht="15" hidden="false" customHeight="false" outlineLevel="0" collapsed="false">
      <c r="A43" s="918"/>
      <c r="B43" s="918" t="s">
        <v>479</v>
      </c>
      <c r="C43" s="919" t="s">
        <v>760</v>
      </c>
      <c r="D43" s="919" t="s">
        <v>763</v>
      </c>
      <c r="E43" s="920" t="n">
        <f aca="false">+'LOTE_I_-_Custo_M2'!S37</f>
        <v>1698</v>
      </c>
      <c r="F43" s="921" t="n">
        <f aca="false">+'LOTE_I_-_Custo_M2'!S34</f>
        <v>0</v>
      </c>
      <c r="G43" s="911"/>
      <c r="H43" s="922" t="n">
        <f aca="false">+G43*F43</f>
        <v>0</v>
      </c>
    </row>
    <row r="44" customFormat="false" ht="15" hidden="false" customHeight="false" outlineLevel="0" collapsed="false">
      <c r="A44" s="925"/>
      <c r="B44" s="925"/>
      <c r="C44" s="925"/>
      <c r="D44" s="925"/>
      <c r="E44" s="926" t="n">
        <f aca="false">SUM(E15:E43)</f>
        <v>249232</v>
      </c>
      <c r="F44" s="927" t="n">
        <f aca="false">+E15*F15+E16*F16+E17*F17+E18*F18+E19*F19+E20*F20+E21*F21+E22*F22+E23*F23+E24*F24+E25*F25+E26*F26+E27*F27+E28*F28+E29*F29+E30*F30+E31*F31+E32*F32+E33*F33+E34*F34+E35*F35+E36*F36+E37*F37+E38*F38+E39*F39+E40*F40+E41*F41+E42*F42+E43*F43</f>
        <v>40.89</v>
      </c>
      <c r="G44" s="911"/>
      <c r="H44" s="928" t="n">
        <f aca="false">SUM(H15:H43)</f>
        <v>0</v>
      </c>
      <c r="I44" s="913"/>
    </row>
    <row r="45" customFormat="false" ht="15" hidden="false" customHeight="false" outlineLevel="0" collapsed="false">
      <c r="A45" s="1"/>
      <c r="B45" s="1"/>
      <c r="C45" s="1"/>
      <c r="D45" s="1"/>
      <c r="E45" s="902"/>
      <c r="F45" s="1"/>
      <c r="G45" s="902"/>
      <c r="H45" s="929"/>
    </row>
    <row r="46" customFormat="false" ht="15" hidden="false" customHeight="false" outlineLevel="0" collapsed="false">
      <c r="A46" s="930" t="s">
        <v>764</v>
      </c>
      <c r="B46" s="1"/>
      <c r="C46" s="1"/>
      <c r="D46" s="1"/>
      <c r="E46" s="902"/>
      <c r="F46" s="1"/>
      <c r="G46" s="902"/>
      <c r="H46" s="1"/>
    </row>
    <row r="47" customFormat="false" ht="15" hidden="false" customHeight="false" outlineLevel="0" collapsed="false">
      <c r="A47" s="1"/>
      <c r="B47" s="1"/>
      <c r="C47" s="1"/>
      <c r="D47" s="1"/>
      <c r="E47" s="902"/>
      <c r="F47" s="1"/>
      <c r="G47" s="902"/>
      <c r="H47" s="1"/>
    </row>
    <row r="48" customFormat="false" ht="15" hidden="false" customHeight="false" outlineLevel="0" collapsed="false">
      <c r="A48" s="931" t="s">
        <v>765</v>
      </c>
      <c r="B48" s="931"/>
      <c r="C48" s="931"/>
      <c r="D48" s="931"/>
      <c r="E48" s="931"/>
      <c r="F48" s="931" t="s">
        <v>766</v>
      </c>
      <c r="G48" s="931"/>
      <c r="H48" s="931"/>
    </row>
    <row r="49" customFormat="false" ht="15" hidden="false" customHeight="false" outlineLevel="0" collapsed="false">
      <c r="A49" s="932" t="s">
        <v>607</v>
      </c>
      <c r="B49" s="932"/>
      <c r="C49" s="932"/>
      <c r="D49" s="932"/>
      <c r="E49" s="932"/>
      <c r="F49" s="932" t="s">
        <v>607</v>
      </c>
      <c r="G49" s="932"/>
      <c r="H49" s="932"/>
    </row>
  </sheetData>
  <mergeCells count="31">
    <mergeCell ref="A1:A2"/>
    <mergeCell ref="B1:H1"/>
    <mergeCell ref="B2:H2"/>
    <mergeCell ref="A4:H4"/>
    <mergeCell ref="A6:B6"/>
    <mergeCell ref="C6:H6"/>
    <mergeCell ref="A8:B8"/>
    <mergeCell ref="C8:H8"/>
    <mergeCell ref="A10:B10"/>
    <mergeCell ref="A13:F13"/>
    <mergeCell ref="H13:H14"/>
    <mergeCell ref="A14:B14"/>
    <mergeCell ref="C14:D14"/>
    <mergeCell ref="A15:A24"/>
    <mergeCell ref="B15:B16"/>
    <mergeCell ref="B19:B20"/>
    <mergeCell ref="B22:B23"/>
    <mergeCell ref="A25:A26"/>
    <mergeCell ref="A27:A30"/>
    <mergeCell ref="B27:B28"/>
    <mergeCell ref="B29:B30"/>
    <mergeCell ref="A31:A39"/>
    <mergeCell ref="B31:B32"/>
    <mergeCell ref="B33:B34"/>
    <mergeCell ref="B38:B39"/>
    <mergeCell ref="A40:A41"/>
    <mergeCell ref="A42:A43"/>
    <mergeCell ref="A48:E48"/>
    <mergeCell ref="F48:H48"/>
    <mergeCell ref="A49:E51"/>
    <mergeCell ref="F49:H51"/>
  </mergeCells>
  <printOptions headings="false" gridLines="false" gridLinesSet="true" horizontalCentered="false" verticalCentered="false"/>
  <pageMargins left="0.511805555555555" right="0.511805555555555" top="0.315277777777778" bottom="0.315277777777778" header="0.315277777777778" footer="0.31527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sheetPr filterMode="false">
    <pageSetUpPr fitToPage="false"/>
  </sheetPr>
  <dimension ref="A1:Q104"/>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1.25" zeroHeight="false" outlineLevelRow="0" outlineLevelCol="0"/>
  <cols>
    <col collapsed="false" customWidth="true" hidden="false" outlineLevel="0" max="1" min="1" style="59" width="8.64"/>
    <col collapsed="false" customWidth="true" hidden="false" outlineLevel="0" max="2" min="2" style="59" width="55.62"/>
    <col collapsed="false" customWidth="true" hidden="false" outlineLevel="0" max="3" min="3" style="59" width="8.64"/>
    <col collapsed="false" customWidth="true" hidden="false" outlineLevel="0" max="4" min="4" style="59" width="13.77"/>
    <col collapsed="false" customWidth="true" hidden="true" outlineLevel="0" max="6" min="5" style="59" width="13.77"/>
    <col collapsed="false" customWidth="true" hidden="true" outlineLevel="0" max="9" min="7" style="59" width="8.64"/>
    <col collapsed="false" customWidth="true" hidden="false" outlineLevel="0" max="10" min="10" style="205" width="14.85"/>
    <col collapsed="false" customWidth="true" hidden="true" outlineLevel="0" max="15" min="11" style="205" width="14.85"/>
    <col collapsed="false" customWidth="true" hidden="false" outlineLevel="0" max="1025" min="16" style="59" width="8.64"/>
  </cols>
  <sheetData>
    <row r="1" customFormat="false" ht="15" hidden="false" customHeight="true" outlineLevel="0" collapsed="false">
      <c r="A1" s="315"/>
      <c r="B1" s="316" t="s">
        <v>214</v>
      </c>
      <c r="C1" s="317"/>
      <c r="D1" s="317" t="s">
        <v>215</v>
      </c>
      <c r="E1" s="317"/>
      <c r="F1" s="317"/>
      <c r="G1" s="317"/>
      <c r="H1" s="317"/>
      <c r="I1" s="317"/>
      <c r="J1" s="318" t="s">
        <v>216</v>
      </c>
      <c r="K1" s="318"/>
      <c r="L1" s="318"/>
      <c r="M1" s="318"/>
      <c r="N1" s="318"/>
      <c r="O1" s="318"/>
    </row>
    <row r="2" s="279" customFormat="true" ht="23.25" hidden="false" customHeight="true" outlineLevel="0" collapsed="false">
      <c r="A2" s="319"/>
      <c r="B2" s="316"/>
      <c r="C2" s="320" t="s">
        <v>217</v>
      </c>
      <c r="D2" s="321" t="s">
        <v>218</v>
      </c>
      <c r="E2" s="322"/>
      <c r="F2" s="322"/>
      <c r="G2" s="322"/>
      <c r="H2" s="322"/>
      <c r="I2" s="323"/>
      <c r="J2" s="321" t="str">
        <f aca="false">+D2</f>
        <v>CCS</v>
      </c>
      <c r="K2" s="321"/>
      <c r="L2" s="321"/>
      <c r="M2" s="321"/>
      <c r="N2" s="321"/>
      <c r="O2" s="324"/>
    </row>
    <row r="3" customFormat="false" ht="11.25" hidden="false" customHeight="false" outlineLevel="0" collapsed="false">
      <c r="A3" s="325" t="s">
        <v>219</v>
      </c>
      <c r="B3" s="326" t="s">
        <v>220</v>
      </c>
      <c r="C3" s="327" t="s">
        <v>221</v>
      </c>
      <c r="D3" s="328"/>
      <c r="E3" s="329"/>
      <c r="F3" s="329"/>
      <c r="G3" s="329"/>
      <c r="H3" s="330"/>
      <c r="I3" s="331"/>
      <c r="J3" s="332" t="n">
        <f aca="false">+D3*Insumos_Cotação!$O11</f>
        <v>0</v>
      </c>
      <c r="K3" s="333" t="n">
        <f aca="false">+E3*Insumos_Cotação!$O11</f>
        <v>0</v>
      </c>
      <c r="L3" s="333" t="n">
        <f aca="false">+F3*Insumos_Cotação!$O11</f>
        <v>0</v>
      </c>
      <c r="M3" s="334" t="n">
        <f aca="false">+G3*Insumos_Cotação!$O11</f>
        <v>0</v>
      </c>
      <c r="N3" s="334" t="n">
        <f aca="false">+H3*Insumos_Cotação!$O11</f>
        <v>0</v>
      </c>
      <c r="O3" s="335" t="n">
        <f aca="false">+I3*Insumos_Cotação!$O11</f>
        <v>0</v>
      </c>
      <c r="Q3" s="336" t="s">
        <v>222</v>
      </c>
    </row>
    <row r="4" customFormat="false" ht="11.25" hidden="false" customHeight="false" outlineLevel="0" collapsed="false">
      <c r="A4" s="325"/>
      <c r="B4" s="337" t="s">
        <v>223</v>
      </c>
      <c r="C4" s="338" t="s">
        <v>221</v>
      </c>
      <c r="D4" s="339"/>
      <c r="E4" s="340"/>
      <c r="F4" s="340"/>
      <c r="G4" s="340"/>
      <c r="H4" s="341"/>
      <c r="I4" s="342"/>
      <c r="J4" s="343" t="n">
        <f aca="false">+D4*Insumos_Cotação!$O12</f>
        <v>0</v>
      </c>
      <c r="K4" s="344" t="n">
        <f aca="false">+E4*Insumos_Cotação!$O12</f>
        <v>0</v>
      </c>
      <c r="L4" s="344" t="n">
        <f aca="false">+F4*Insumos_Cotação!$O12</f>
        <v>0</v>
      </c>
      <c r="M4" s="345" t="n">
        <f aca="false">+G4*Insumos_Cotação!$O12</f>
        <v>0</v>
      </c>
      <c r="N4" s="345" t="n">
        <f aca="false">+H4*Insumos_Cotação!$O12</f>
        <v>0</v>
      </c>
      <c r="O4" s="346" t="n">
        <f aca="false">+I4*Insumos_Cotação!$O12</f>
        <v>0</v>
      </c>
      <c r="Q4" s="336"/>
    </row>
    <row r="5" customFormat="false" ht="11.25" hidden="false" customHeight="false" outlineLevel="0" collapsed="false">
      <c r="A5" s="325"/>
      <c r="B5" s="337" t="s">
        <v>224</v>
      </c>
      <c r="C5" s="338" t="s">
        <v>221</v>
      </c>
      <c r="D5" s="339" t="n">
        <v>100</v>
      </c>
      <c r="E5" s="340"/>
      <c r="F5" s="340"/>
      <c r="G5" s="340"/>
      <c r="H5" s="341"/>
      <c r="I5" s="342"/>
      <c r="J5" s="343" t="n">
        <f aca="false">+D5*Insumos_Cotação!$O13</f>
        <v>0</v>
      </c>
      <c r="K5" s="344" t="n">
        <f aca="false">+E5*Insumos_Cotação!$O13</f>
        <v>0</v>
      </c>
      <c r="L5" s="344" t="n">
        <f aca="false">+F5*Insumos_Cotação!$O13</f>
        <v>0</v>
      </c>
      <c r="M5" s="345" t="n">
        <f aca="false">+G5*Insumos_Cotação!$O13</f>
        <v>0</v>
      </c>
      <c r="N5" s="345" t="n">
        <f aca="false">+H5*Insumos_Cotação!$O13</f>
        <v>0</v>
      </c>
      <c r="O5" s="346" t="n">
        <f aca="false">+I5*Insumos_Cotação!$O13</f>
        <v>0</v>
      </c>
      <c r="Q5" s="336"/>
    </row>
    <row r="6" customFormat="false" ht="11.25" hidden="false" customHeight="false" outlineLevel="0" collapsed="false">
      <c r="A6" s="325"/>
      <c r="B6" s="347" t="s">
        <v>225</v>
      </c>
      <c r="C6" s="338" t="s">
        <v>217</v>
      </c>
      <c r="D6" s="339"/>
      <c r="E6" s="340"/>
      <c r="F6" s="340"/>
      <c r="G6" s="340"/>
      <c r="H6" s="341"/>
      <c r="I6" s="342"/>
      <c r="J6" s="343" t="n">
        <f aca="false">+D6*Insumos_Cotação!$O14</f>
        <v>0</v>
      </c>
      <c r="K6" s="344" t="n">
        <f aca="false">+E6*Insumos_Cotação!$O14</f>
        <v>0</v>
      </c>
      <c r="L6" s="344" t="n">
        <f aca="false">+F6*Insumos_Cotação!$O14</f>
        <v>0</v>
      </c>
      <c r="M6" s="345" t="n">
        <f aca="false">+G6*Insumos_Cotação!$O14</f>
        <v>0</v>
      </c>
      <c r="N6" s="345" t="n">
        <f aca="false">+H6*Insumos_Cotação!$O14</f>
        <v>0</v>
      </c>
      <c r="O6" s="346" t="n">
        <f aca="false">+I6*Insumos_Cotação!$O14</f>
        <v>0</v>
      </c>
      <c r="Q6" s="336"/>
    </row>
    <row r="7" customFormat="false" ht="11.25" hidden="false" customHeight="false" outlineLevel="0" collapsed="false">
      <c r="A7" s="325"/>
      <c r="B7" s="347" t="s">
        <v>226</v>
      </c>
      <c r="C7" s="338" t="s">
        <v>217</v>
      </c>
      <c r="D7" s="339" t="n">
        <v>15</v>
      </c>
      <c r="E7" s="340"/>
      <c r="F7" s="340"/>
      <c r="G7" s="340"/>
      <c r="H7" s="341"/>
      <c r="I7" s="342"/>
      <c r="J7" s="343" t="n">
        <f aca="false">+D7*Insumos_Cotação!$O15</f>
        <v>0</v>
      </c>
      <c r="K7" s="344" t="n">
        <f aca="false">+E7*Insumos_Cotação!$O15</f>
        <v>0</v>
      </c>
      <c r="L7" s="344" t="n">
        <f aca="false">+F7*Insumos_Cotação!$O15</f>
        <v>0</v>
      </c>
      <c r="M7" s="345" t="n">
        <f aca="false">+G7*Insumos_Cotação!$O15</f>
        <v>0</v>
      </c>
      <c r="N7" s="345" t="n">
        <f aca="false">+H7*Insumos_Cotação!$O15</f>
        <v>0</v>
      </c>
      <c r="O7" s="346" t="n">
        <f aca="false">+I7*Insumos_Cotação!$O15</f>
        <v>0</v>
      </c>
      <c r="Q7" s="336"/>
    </row>
    <row r="8" customFormat="false" ht="11.25" hidden="false" customHeight="false" outlineLevel="0" collapsed="false">
      <c r="A8" s="325"/>
      <c r="B8" s="347" t="s">
        <v>227</v>
      </c>
      <c r="C8" s="338" t="s">
        <v>217</v>
      </c>
      <c r="D8" s="339" t="n">
        <v>2</v>
      </c>
      <c r="E8" s="340"/>
      <c r="F8" s="340"/>
      <c r="G8" s="340"/>
      <c r="H8" s="341"/>
      <c r="I8" s="342"/>
      <c r="J8" s="343" t="n">
        <f aca="false">+D8*Insumos_Cotação!$O16</f>
        <v>0</v>
      </c>
      <c r="K8" s="344" t="n">
        <f aca="false">+E8*Insumos_Cotação!$O16</f>
        <v>0</v>
      </c>
      <c r="L8" s="344" t="n">
        <f aca="false">+F8*Insumos_Cotação!$O16</f>
        <v>0</v>
      </c>
      <c r="M8" s="345" t="n">
        <f aca="false">+G8*Insumos_Cotação!$O16</f>
        <v>0</v>
      </c>
      <c r="N8" s="345" t="n">
        <f aca="false">+H8*Insumos_Cotação!$O16</f>
        <v>0</v>
      </c>
      <c r="O8" s="346" t="n">
        <f aca="false">+I8*Insumos_Cotação!$O16</f>
        <v>0</v>
      </c>
      <c r="Q8" s="336"/>
    </row>
    <row r="9" customFormat="false" ht="11.25" hidden="false" customHeight="false" outlineLevel="0" collapsed="false">
      <c r="A9" s="325"/>
      <c r="B9" s="347" t="s">
        <v>228</v>
      </c>
      <c r="C9" s="338" t="s">
        <v>217</v>
      </c>
      <c r="D9" s="339"/>
      <c r="E9" s="340"/>
      <c r="F9" s="340"/>
      <c r="G9" s="340"/>
      <c r="H9" s="341"/>
      <c r="I9" s="342"/>
      <c r="J9" s="343" t="n">
        <f aca="false">+D9*Insumos_Cotação!$O17</f>
        <v>0</v>
      </c>
      <c r="K9" s="344" t="n">
        <f aca="false">+E9*Insumos_Cotação!$O17</f>
        <v>0</v>
      </c>
      <c r="L9" s="344" t="n">
        <f aca="false">+F9*Insumos_Cotação!$O17</f>
        <v>0</v>
      </c>
      <c r="M9" s="345" t="n">
        <f aca="false">+G9*Insumos_Cotação!$O17</f>
        <v>0</v>
      </c>
      <c r="N9" s="345" t="n">
        <f aca="false">+H9*Insumos_Cotação!$O17</f>
        <v>0</v>
      </c>
      <c r="O9" s="346" t="n">
        <f aca="false">+I9*Insumos_Cotação!$O17</f>
        <v>0</v>
      </c>
      <c r="Q9" s="336"/>
    </row>
    <row r="10" customFormat="false" ht="11.25" hidden="false" customHeight="false" outlineLevel="0" collapsed="false">
      <c r="A10" s="325"/>
      <c r="B10" s="347" t="s">
        <v>229</v>
      </c>
      <c r="C10" s="338" t="s">
        <v>217</v>
      </c>
      <c r="D10" s="339" t="n">
        <v>5</v>
      </c>
      <c r="E10" s="340"/>
      <c r="F10" s="340"/>
      <c r="G10" s="340"/>
      <c r="H10" s="341"/>
      <c r="I10" s="342"/>
      <c r="J10" s="343" t="n">
        <f aca="false">+D10*Insumos_Cotação!$O18</f>
        <v>0</v>
      </c>
      <c r="K10" s="344" t="n">
        <f aca="false">+E10*Insumos_Cotação!$O18</f>
        <v>0</v>
      </c>
      <c r="L10" s="344" t="n">
        <f aca="false">+F10*Insumos_Cotação!$O18</f>
        <v>0</v>
      </c>
      <c r="M10" s="345" t="n">
        <f aca="false">+G10*Insumos_Cotação!$O18</f>
        <v>0</v>
      </c>
      <c r="N10" s="345" t="n">
        <f aca="false">+H10*Insumos_Cotação!$O18</f>
        <v>0</v>
      </c>
      <c r="O10" s="346" t="n">
        <f aca="false">+I10*Insumos_Cotação!$O18</f>
        <v>0</v>
      </c>
      <c r="Q10" s="336"/>
    </row>
    <row r="11" customFormat="false" ht="11.25" hidden="false" customHeight="false" outlineLevel="0" collapsed="false">
      <c r="A11" s="325"/>
      <c r="B11" s="347" t="s">
        <v>230</v>
      </c>
      <c r="C11" s="338" t="s">
        <v>217</v>
      </c>
      <c r="D11" s="339"/>
      <c r="E11" s="340"/>
      <c r="F11" s="340"/>
      <c r="G11" s="340"/>
      <c r="H11" s="341"/>
      <c r="I11" s="342"/>
      <c r="J11" s="343" t="n">
        <f aca="false">+D11*Insumos_Cotação!$O19</f>
        <v>0</v>
      </c>
      <c r="K11" s="344" t="n">
        <f aca="false">+E11*Insumos_Cotação!$O19</f>
        <v>0</v>
      </c>
      <c r="L11" s="344" t="n">
        <f aca="false">+F11*Insumos_Cotação!$O19</f>
        <v>0</v>
      </c>
      <c r="M11" s="345" t="n">
        <f aca="false">+G11*Insumos_Cotação!$O19</f>
        <v>0</v>
      </c>
      <c r="N11" s="345" t="n">
        <f aca="false">+H11*Insumos_Cotação!$O19</f>
        <v>0</v>
      </c>
      <c r="O11" s="346" t="n">
        <f aca="false">+I11*Insumos_Cotação!$O19</f>
        <v>0</v>
      </c>
      <c r="Q11" s="336"/>
    </row>
    <row r="12" customFormat="false" ht="11.25" hidden="false" customHeight="false" outlineLevel="0" collapsed="false">
      <c r="A12" s="325"/>
      <c r="B12" s="347" t="s">
        <v>231</v>
      </c>
      <c r="C12" s="338" t="s">
        <v>217</v>
      </c>
      <c r="D12" s="339" t="n">
        <v>30</v>
      </c>
      <c r="E12" s="340"/>
      <c r="F12" s="340"/>
      <c r="G12" s="340"/>
      <c r="H12" s="341"/>
      <c r="I12" s="342"/>
      <c r="J12" s="343" t="n">
        <f aca="false">+D12*Insumos_Cotação!$O20</f>
        <v>0</v>
      </c>
      <c r="K12" s="344"/>
      <c r="L12" s="344"/>
      <c r="M12" s="345"/>
      <c r="N12" s="345"/>
      <c r="O12" s="346"/>
      <c r="Q12" s="336"/>
    </row>
    <row r="13" customFormat="false" ht="11.25" hidden="false" customHeight="false" outlineLevel="0" collapsed="false">
      <c r="A13" s="325"/>
      <c r="B13" s="347" t="s">
        <v>232</v>
      </c>
      <c r="C13" s="338" t="s">
        <v>217</v>
      </c>
      <c r="D13" s="339" t="n">
        <v>25</v>
      </c>
      <c r="E13" s="340"/>
      <c r="F13" s="340"/>
      <c r="G13" s="340"/>
      <c r="H13" s="341"/>
      <c r="I13" s="342"/>
      <c r="J13" s="343" t="n">
        <f aca="false">+D13*Insumos_Cotação!$O21</f>
        <v>0</v>
      </c>
      <c r="K13" s="344" t="n">
        <f aca="false">+E13*Insumos_Cotação!$O21</f>
        <v>0</v>
      </c>
      <c r="L13" s="344" t="n">
        <f aca="false">+F13*Insumos_Cotação!$O21</f>
        <v>0</v>
      </c>
      <c r="M13" s="345" t="n">
        <f aca="false">+G13*Insumos_Cotação!$O21</f>
        <v>0</v>
      </c>
      <c r="N13" s="345" t="n">
        <f aca="false">+H13*Insumos_Cotação!$O21</f>
        <v>0</v>
      </c>
      <c r="O13" s="346" t="n">
        <f aca="false">+I13*Insumos_Cotação!$O21</f>
        <v>0</v>
      </c>
      <c r="Q13" s="336"/>
    </row>
    <row r="14" customFormat="false" ht="11.25" hidden="false" customHeight="false" outlineLevel="0" collapsed="false">
      <c r="A14" s="325"/>
      <c r="B14" s="347" t="s">
        <v>233</v>
      </c>
      <c r="C14" s="338" t="s">
        <v>217</v>
      </c>
      <c r="D14" s="339" t="n">
        <v>12</v>
      </c>
      <c r="E14" s="340"/>
      <c r="F14" s="340"/>
      <c r="G14" s="340"/>
      <c r="H14" s="341"/>
      <c r="I14" s="342"/>
      <c r="J14" s="343" t="n">
        <f aca="false">+D14*Insumos_Cotação!$O22</f>
        <v>0</v>
      </c>
      <c r="K14" s="344" t="n">
        <f aca="false">+E14*Insumos_Cotação!$O22</f>
        <v>0</v>
      </c>
      <c r="L14" s="344" t="n">
        <f aca="false">+F14*Insumos_Cotação!$O22</f>
        <v>0</v>
      </c>
      <c r="M14" s="345" t="n">
        <f aca="false">+G14*Insumos_Cotação!$O22</f>
        <v>0</v>
      </c>
      <c r="N14" s="345" t="n">
        <f aca="false">+H14*Insumos_Cotação!$O22</f>
        <v>0</v>
      </c>
      <c r="O14" s="346" t="n">
        <f aca="false">+I14*Insumos_Cotação!$O22</f>
        <v>0</v>
      </c>
      <c r="Q14" s="336"/>
    </row>
    <row r="15" customFormat="false" ht="11.25" hidden="false" customHeight="false" outlineLevel="0" collapsed="false">
      <c r="A15" s="325"/>
      <c r="B15" s="347" t="s">
        <v>234</v>
      </c>
      <c r="C15" s="338" t="s">
        <v>217</v>
      </c>
      <c r="D15" s="339" t="n">
        <v>100</v>
      </c>
      <c r="E15" s="340"/>
      <c r="F15" s="340"/>
      <c r="G15" s="340"/>
      <c r="H15" s="341"/>
      <c r="I15" s="342"/>
      <c r="J15" s="343" t="n">
        <f aca="false">+D15*Insumos_Cotação!$O23</f>
        <v>0</v>
      </c>
      <c r="K15" s="344" t="n">
        <f aca="false">+E15*Insumos_Cotação!$O23</f>
        <v>0</v>
      </c>
      <c r="L15" s="344" t="n">
        <f aca="false">+F15*Insumos_Cotação!$O23</f>
        <v>0</v>
      </c>
      <c r="M15" s="345" t="n">
        <f aca="false">+G15*Insumos_Cotação!$O23</f>
        <v>0</v>
      </c>
      <c r="N15" s="345" t="n">
        <f aca="false">+H15*Insumos_Cotação!$O23</f>
        <v>0</v>
      </c>
      <c r="O15" s="346" t="n">
        <f aca="false">+I15*Insumos_Cotação!$O23</f>
        <v>0</v>
      </c>
      <c r="Q15" s="336"/>
    </row>
    <row r="16" customFormat="false" ht="11.25" hidden="false" customHeight="false" outlineLevel="0" collapsed="false">
      <c r="A16" s="325"/>
      <c r="B16" s="347" t="s">
        <v>235</v>
      </c>
      <c r="C16" s="338" t="s">
        <v>217</v>
      </c>
      <c r="D16" s="339" t="n">
        <v>10</v>
      </c>
      <c r="E16" s="340"/>
      <c r="F16" s="340"/>
      <c r="G16" s="340"/>
      <c r="H16" s="341"/>
      <c r="I16" s="342"/>
      <c r="J16" s="343" t="n">
        <f aca="false">+D16*Insumos_Cotação!$O24</f>
        <v>0</v>
      </c>
      <c r="K16" s="344" t="n">
        <f aca="false">+E16*Insumos_Cotação!$O24</f>
        <v>0</v>
      </c>
      <c r="L16" s="344" t="n">
        <f aca="false">+F16*Insumos_Cotação!$O24</f>
        <v>0</v>
      </c>
      <c r="M16" s="345" t="n">
        <f aca="false">+G16*Insumos_Cotação!$O24</f>
        <v>0</v>
      </c>
      <c r="N16" s="345" t="n">
        <f aca="false">+H16*Insumos_Cotação!$O24</f>
        <v>0</v>
      </c>
      <c r="O16" s="346" t="n">
        <f aca="false">+I16*Insumos_Cotação!$O24</f>
        <v>0</v>
      </c>
      <c r="Q16" s="336"/>
    </row>
    <row r="17" customFormat="false" ht="11.25" hidden="false" customHeight="false" outlineLevel="0" collapsed="false">
      <c r="A17" s="325"/>
      <c r="B17" s="347" t="s">
        <v>236</v>
      </c>
      <c r="C17" s="338" t="s">
        <v>217</v>
      </c>
      <c r="D17" s="339" t="n">
        <v>50</v>
      </c>
      <c r="E17" s="340"/>
      <c r="F17" s="340"/>
      <c r="G17" s="340"/>
      <c r="H17" s="341"/>
      <c r="I17" s="342"/>
      <c r="J17" s="343" t="n">
        <f aca="false">+D17*Insumos_Cotação!$O25</f>
        <v>0</v>
      </c>
      <c r="K17" s="344"/>
      <c r="L17" s="344"/>
      <c r="M17" s="345"/>
      <c r="N17" s="345"/>
      <c r="O17" s="346"/>
      <c r="Q17" s="336"/>
    </row>
    <row r="18" customFormat="false" ht="11.25" hidden="false" customHeight="false" outlineLevel="0" collapsed="false">
      <c r="A18" s="325"/>
      <c r="B18" s="347" t="s">
        <v>237</v>
      </c>
      <c r="C18" s="338" t="s">
        <v>217</v>
      </c>
      <c r="D18" s="339" t="n">
        <v>80</v>
      </c>
      <c r="E18" s="340"/>
      <c r="F18" s="340"/>
      <c r="G18" s="340"/>
      <c r="H18" s="341"/>
      <c r="I18" s="342"/>
      <c r="J18" s="343" t="n">
        <f aca="false">+D18*Insumos_Cotação!$O26</f>
        <v>0</v>
      </c>
      <c r="K18" s="344" t="n">
        <f aca="false">+E18*Insumos_Cotação!$O26</f>
        <v>0</v>
      </c>
      <c r="L18" s="344" t="n">
        <f aca="false">+F18*Insumos_Cotação!$O26</f>
        <v>0</v>
      </c>
      <c r="M18" s="345" t="n">
        <f aca="false">+G18*Insumos_Cotação!$O26</f>
        <v>0</v>
      </c>
      <c r="N18" s="345" t="n">
        <f aca="false">+H18*Insumos_Cotação!$O26</f>
        <v>0</v>
      </c>
      <c r="O18" s="346" t="n">
        <f aca="false">+I18*Insumos_Cotação!$O26</f>
        <v>0</v>
      </c>
      <c r="Q18" s="336"/>
    </row>
    <row r="19" customFormat="false" ht="11.25" hidden="false" customHeight="false" outlineLevel="0" collapsed="false">
      <c r="A19" s="325"/>
      <c r="B19" s="347" t="s">
        <v>238</v>
      </c>
      <c r="C19" s="338" t="s">
        <v>217</v>
      </c>
      <c r="D19" s="339" t="n">
        <v>10</v>
      </c>
      <c r="E19" s="340"/>
      <c r="F19" s="340"/>
      <c r="G19" s="340"/>
      <c r="H19" s="341"/>
      <c r="I19" s="342"/>
      <c r="J19" s="343" t="n">
        <f aca="false">+D19*Insumos_Cotação!$O27</f>
        <v>0</v>
      </c>
      <c r="K19" s="344" t="n">
        <f aca="false">+E19*Insumos_Cotação!$O27</f>
        <v>0</v>
      </c>
      <c r="L19" s="344" t="n">
        <f aca="false">+F19*Insumos_Cotação!$O27</f>
        <v>0</v>
      </c>
      <c r="M19" s="345" t="n">
        <f aca="false">+G19*Insumos_Cotação!$O27</f>
        <v>0</v>
      </c>
      <c r="N19" s="345" t="n">
        <f aca="false">+H19*Insumos_Cotação!$O27</f>
        <v>0</v>
      </c>
      <c r="O19" s="346" t="n">
        <f aca="false">+I19*Insumos_Cotação!$O27</f>
        <v>0</v>
      </c>
      <c r="Q19" s="336"/>
    </row>
    <row r="20" customFormat="false" ht="11.25" hidden="false" customHeight="false" outlineLevel="0" collapsed="false">
      <c r="A20" s="325"/>
      <c r="B20" s="347" t="s">
        <v>239</v>
      </c>
      <c r="C20" s="338" t="s">
        <v>217</v>
      </c>
      <c r="D20" s="339"/>
      <c r="E20" s="340"/>
      <c r="F20" s="340"/>
      <c r="G20" s="340"/>
      <c r="H20" s="341"/>
      <c r="I20" s="342"/>
      <c r="J20" s="343" t="n">
        <f aca="false">+D20*Insumos_Cotação!$O28</f>
        <v>0</v>
      </c>
      <c r="K20" s="344" t="n">
        <f aca="false">+E20*Insumos_Cotação!$O28</f>
        <v>0</v>
      </c>
      <c r="L20" s="344" t="n">
        <f aca="false">+F20*Insumos_Cotação!$O28</f>
        <v>0</v>
      </c>
      <c r="M20" s="345" t="n">
        <f aca="false">+G20*Insumos_Cotação!$O28</f>
        <v>0</v>
      </c>
      <c r="N20" s="345" t="n">
        <f aca="false">+H20*Insumos_Cotação!$O28</f>
        <v>0</v>
      </c>
      <c r="O20" s="346" t="n">
        <f aca="false">+I20*Insumos_Cotação!$O28</f>
        <v>0</v>
      </c>
      <c r="Q20" s="336"/>
    </row>
    <row r="21" customFormat="false" ht="11.25" hidden="false" customHeight="false" outlineLevel="0" collapsed="false">
      <c r="A21" s="325"/>
      <c r="B21" s="347" t="s">
        <v>240</v>
      </c>
      <c r="C21" s="338" t="s">
        <v>217</v>
      </c>
      <c r="D21" s="339" t="n">
        <v>200</v>
      </c>
      <c r="E21" s="340"/>
      <c r="F21" s="340"/>
      <c r="G21" s="340"/>
      <c r="H21" s="341"/>
      <c r="I21" s="342"/>
      <c r="J21" s="343" t="n">
        <f aca="false">+D21*Insumos_Cotação!$O29</f>
        <v>0</v>
      </c>
      <c r="K21" s="344" t="n">
        <f aca="false">+E21*Insumos_Cotação!$O29</f>
        <v>0</v>
      </c>
      <c r="L21" s="344" t="n">
        <f aca="false">+F21*Insumos_Cotação!$O29</f>
        <v>0</v>
      </c>
      <c r="M21" s="345" t="n">
        <f aca="false">+G21*Insumos_Cotação!$O29</f>
        <v>0</v>
      </c>
      <c r="N21" s="345" t="n">
        <f aca="false">+H21*Insumos_Cotação!$O29</f>
        <v>0</v>
      </c>
      <c r="O21" s="346" t="n">
        <f aca="false">+I21*Insumos_Cotação!$O29</f>
        <v>0</v>
      </c>
      <c r="Q21" s="336"/>
    </row>
    <row r="22" customFormat="false" ht="11.25" hidden="false" customHeight="false" outlineLevel="0" collapsed="false">
      <c r="A22" s="325"/>
      <c r="B22" s="337" t="s">
        <v>241</v>
      </c>
      <c r="C22" s="338" t="s">
        <v>217</v>
      </c>
      <c r="D22" s="339" t="n">
        <v>200</v>
      </c>
      <c r="E22" s="340"/>
      <c r="F22" s="340"/>
      <c r="G22" s="340"/>
      <c r="H22" s="341"/>
      <c r="I22" s="342"/>
      <c r="J22" s="343" t="n">
        <f aca="false">+D22*Insumos_Cotação!$O30</f>
        <v>0</v>
      </c>
      <c r="K22" s="344" t="n">
        <f aca="false">+E22*Insumos_Cotação!$O30</f>
        <v>0</v>
      </c>
      <c r="L22" s="344" t="n">
        <f aca="false">+F22*Insumos_Cotação!$O30</f>
        <v>0</v>
      </c>
      <c r="M22" s="345" t="n">
        <f aca="false">+G22*Insumos_Cotação!$O30</f>
        <v>0</v>
      </c>
      <c r="N22" s="345" t="n">
        <f aca="false">+H22*Insumos_Cotação!$O30</f>
        <v>0</v>
      </c>
      <c r="O22" s="346" t="n">
        <f aca="false">+I22*Insumos_Cotação!$O30</f>
        <v>0</v>
      </c>
      <c r="Q22" s="336"/>
    </row>
    <row r="23" customFormat="false" ht="11.25" hidden="false" customHeight="false" outlineLevel="0" collapsed="false">
      <c r="A23" s="325"/>
      <c r="B23" s="337" t="s">
        <v>242</v>
      </c>
      <c r="C23" s="338" t="s">
        <v>217</v>
      </c>
      <c r="D23" s="339" t="n">
        <v>90</v>
      </c>
      <c r="E23" s="340"/>
      <c r="F23" s="340"/>
      <c r="G23" s="340"/>
      <c r="H23" s="341"/>
      <c r="I23" s="342"/>
      <c r="J23" s="343" t="n">
        <f aca="false">+D23*Insumos_Cotação!$O31</f>
        <v>0</v>
      </c>
      <c r="K23" s="344" t="n">
        <f aca="false">+E23*Insumos_Cotação!$O31</f>
        <v>0</v>
      </c>
      <c r="L23" s="344" t="n">
        <f aca="false">+F23*Insumos_Cotação!$O31</f>
        <v>0</v>
      </c>
      <c r="M23" s="345" t="n">
        <f aca="false">+G23*Insumos_Cotação!$O31</f>
        <v>0</v>
      </c>
      <c r="N23" s="345" t="n">
        <f aca="false">+H23*Insumos_Cotação!$O31</f>
        <v>0</v>
      </c>
      <c r="O23" s="346" t="n">
        <f aca="false">+I23*Insumos_Cotação!$O31</f>
        <v>0</v>
      </c>
      <c r="Q23" s="336"/>
    </row>
    <row r="24" customFormat="false" ht="11.25" hidden="false" customHeight="false" outlineLevel="0" collapsed="false">
      <c r="A24" s="325"/>
      <c r="B24" s="337" t="s">
        <v>243</v>
      </c>
      <c r="C24" s="338" t="s">
        <v>217</v>
      </c>
      <c r="D24" s="339" t="n">
        <v>50</v>
      </c>
      <c r="E24" s="340"/>
      <c r="F24" s="340"/>
      <c r="G24" s="340"/>
      <c r="H24" s="341"/>
      <c r="I24" s="342"/>
      <c r="J24" s="343" t="n">
        <f aca="false">+D24*Insumos_Cotação!$O32</f>
        <v>0</v>
      </c>
      <c r="K24" s="344" t="n">
        <f aca="false">+E24*Insumos_Cotação!$O32</f>
        <v>0</v>
      </c>
      <c r="L24" s="344" t="n">
        <f aca="false">+F24*Insumos_Cotação!$O32</f>
        <v>0</v>
      </c>
      <c r="M24" s="345" t="n">
        <f aca="false">+G24*Insumos_Cotação!$O32</f>
        <v>0</v>
      </c>
      <c r="N24" s="345" t="n">
        <f aca="false">+H24*Insumos_Cotação!$O32</f>
        <v>0</v>
      </c>
      <c r="O24" s="346" t="n">
        <f aca="false">+I24*Insumos_Cotação!$O32</f>
        <v>0</v>
      </c>
      <c r="Q24" s="336"/>
    </row>
    <row r="25" customFormat="false" ht="11.25" hidden="false" customHeight="false" outlineLevel="0" collapsed="false">
      <c r="A25" s="325"/>
      <c r="B25" s="337" t="s">
        <v>244</v>
      </c>
      <c r="C25" s="338" t="s">
        <v>217</v>
      </c>
      <c r="D25" s="339" t="n">
        <v>10</v>
      </c>
      <c r="E25" s="340"/>
      <c r="F25" s="340"/>
      <c r="G25" s="340"/>
      <c r="H25" s="341"/>
      <c r="I25" s="342"/>
      <c r="J25" s="343" t="n">
        <f aca="false">+D25*Insumos_Cotação!$O33</f>
        <v>0</v>
      </c>
      <c r="K25" s="344" t="n">
        <f aca="false">+E25*Insumos_Cotação!$O33</f>
        <v>0</v>
      </c>
      <c r="L25" s="344" t="n">
        <f aca="false">+F25*Insumos_Cotação!$O33</f>
        <v>0</v>
      </c>
      <c r="M25" s="345" t="n">
        <f aca="false">+G25*Insumos_Cotação!$O33</f>
        <v>0</v>
      </c>
      <c r="N25" s="345" t="n">
        <f aca="false">+H25*Insumos_Cotação!$O33</f>
        <v>0</v>
      </c>
      <c r="O25" s="346" t="n">
        <f aca="false">+I25*Insumos_Cotação!$O33</f>
        <v>0</v>
      </c>
      <c r="Q25" s="336"/>
    </row>
    <row r="26" customFormat="false" ht="11.25" hidden="false" customHeight="false" outlineLevel="0" collapsed="false">
      <c r="A26" s="325"/>
      <c r="B26" s="337" t="s">
        <v>245</v>
      </c>
      <c r="C26" s="338" t="s">
        <v>217</v>
      </c>
      <c r="D26" s="339" t="n">
        <v>100</v>
      </c>
      <c r="E26" s="340"/>
      <c r="F26" s="340"/>
      <c r="G26" s="340"/>
      <c r="H26" s="341"/>
      <c r="I26" s="342"/>
      <c r="J26" s="343" t="n">
        <f aca="false">+D26*Insumos_Cotação!$O34</f>
        <v>0</v>
      </c>
      <c r="K26" s="344" t="n">
        <f aca="false">+E26*Insumos_Cotação!$O34</f>
        <v>0</v>
      </c>
      <c r="L26" s="344" t="n">
        <f aca="false">+F26*Insumos_Cotação!$O34</f>
        <v>0</v>
      </c>
      <c r="M26" s="345" t="n">
        <f aca="false">+G26*Insumos_Cotação!$O34</f>
        <v>0</v>
      </c>
      <c r="N26" s="345" t="n">
        <f aca="false">+H26*Insumos_Cotação!$O34</f>
        <v>0</v>
      </c>
      <c r="O26" s="346" t="n">
        <f aca="false">+I26*Insumos_Cotação!$O34</f>
        <v>0</v>
      </c>
      <c r="Q26" s="336"/>
    </row>
    <row r="27" customFormat="false" ht="11.25" hidden="false" customHeight="false" outlineLevel="0" collapsed="false">
      <c r="A27" s="325"/>
      <c r="B27" s="337" t="s">
        <v>246</v>
      </c>
      <c r="C27" s="338" t="s">
        <v>217</v>
      </c>
      <c r="D27" s="339" t="n">
        <v>90</v>
      </c>
      <c r="E27" s="340"/>
      <c r="F27" s="340"/>
      <c r="G27" s="340"/>
      <c r="H27" s="341"/>
      <c r="I27" s="342"/>
      <c r="J27" s="343" t="n">
        <f aca="false">+D27*Insumos_Cotação!$O35</f>
        <v>0</v>
      </c>
      <c r="K27" s="344" t="n">
        <f aca="false">+E27*Insumos_Cotação!$O35</f>
        <v>0</v>
      </c>
      <c r="L27" s="344" t="n">
        <f aca="false">+F27*Insumos_Cotação!$O35</f>
        <v>0</v>
      </c>
      <c r="M27" s="345" t="n">
        <f aca="false">+G27*Insumos_Cotação!$O35</f>
        <v>0</v>
      </c>
      <c r="N27" s="345" t="n">
        <f aca="false">+H27*Insumos_Cotação!$O35</f>
        <v>0</v>
      </c>
      <c r="O27" s="346" t="n">
        <f aca="false">+I27*Insumos_Cotação!$O35</f>
        <v>0</v>
      </c>
      <c r="Q27" s="336"/>
    </row>
    <row r="28" customFormat="false" ht="11.25" hidden="false" customHeight="false" outlineLevel="0" collapsed="false">
      <c r="A28" s="325"/>
      <c r="B28" s="337" t="s">
        <v>247</v>
      </c>
      <c r="C28" s="338" t="s">
        <v>248</v>
      </c>
      <c r="D28" s="339" t="n">
        <v>30</v>
      </c>
      <c r="E28" s="340"/>
      <c r="F28" s="340"/>
      <c r="G28" s="340"/>
      <c r="H28" s="341"/>
      <c r="I28" s="342"/>
      <c r="J28" s="343" t="n">
        <f aca="false">+D28*Insumos_Cotação!$O36</f>
        <v>0</v>
      </c>
      <c r="K28" s="344" t="n">
        <f aca="false">+E28*Insumos_Cotação!$O36</f>
        <v>0</v>
      </c>
      <c r="L28" s="344" t="n">
        <f aca="false">+F28*Insumos_Cotação!$O36</f>
        <v>0</v>
      </c>
      <c r="M28" s="345" t="n">
        <f aca="false">+G28*Insumos_Cotação!$O36</f>
        <v>0</v>
      </c>
      <c r="N28" s="345" t="n">
        <f aca="false">+H28*Insumos_Cotação!$O36</f>
        <v>0</v>
      </c>
      <c r="O28" s="346" t="n">
        <f aca="false">+I28*Insumos_Cotação!$O36</f>
        <v>0</v>
      </c>
      <c r="Q28" s="336"/>
    </row>
    <row r="29" customFormat="false" ht="11.25" hidden="false" customHeight="false" outlineLevel="0" collapsed="false">
      <c r="A29" s="325"/>
      <c r="B29" s="337" t="s">
        <v>249</v>
      </c>
      <c r="C29" s="338" t="s">
        <v>217</v>
      </c>
      <c r="D29" s="339" t="n">
        <v>500</v>
      </c>
      <c r="E29" s="340"/>
      <c r="F29" s="340"/>
      <c r="G29" s="340"/>
      <c r="H29" s="341"/>
      <c r="I29" s="342"/>
      <c r="J29" s="343" t="n">
        <f aca="false">+D29*Insumos_Cotação!$O37</f>
        <v>0</v>
      </c>
      <c r="K29" s="344" t="n">
        <f aca="false">+E29*Insumos_Cotação!$O37</f>
        <v>0</v>
      </c>
      <c r="L29" s="344" t="n">
        <f aca="false">+F29*Insumos_Cotação!$O37</f>
        <v>0</v>
      </c>
      <c r="M29" s="345" t="n">
        <f aca="false">+G29*Insumos_Cotação!$O37</f>
        <v>0</v>
      </c>
      <c r="N29" s="345" t="n">
        <f aca="false">+H29*Insumos_Cotação!$O37</f>
        <v>0</v>
      </c>
      <c r="O29" s="346" t="n">
        <f aca="false">+I29*Insumos_Cotação!$O37</f>
        <v>0</v>
      </c>
      <c r="Q29" s="336"/>
    </row>
    <row r="30" customFormat="false" ht="11.25" hidden="false" customHeight="false" outlineLevel="0" collapsed="false">
      <c r="A30" s="325"/>
      <c r="B30" s="337" t="s">
        <v>250</v>
      </c>
      <c r="C30" s="338" t="s">
        <v>248</v>
      </c>
      <c r="D30" s="339" t="n">
        <v>50</v>
      </c>
      <c r="E30" s="340"/>
      <c r="F30" s="340"/>
      <c r="G30" s="340"/>
      <c r="H30" s="341"/>
      <c r="I30" s="342"/>
      <c r="J30" s="343" t="n">
        <f aca="false">+D30*Insumos_Cotação!$O38</f>
        <v>0</v>
      </c>
      <c r="K30" s="344" t="n">
        <f aca="false">+E30*Insumos_Cotação!$O38</f>
        <v>0</v>
      </c>
      <c r="L30" s="344" t="n">
        <f aca="false">+F30*Insumos_Cotação!$O38</f>
        <v>0</v>
      </c>
      <c r="M30" s="345" t="n">
        <f aca="false">+G30*Insumos_Cotação!$O38</f>
        <v>0</v>
      </c>
      <c r="N30" s="345" t="n">
        <f aca="false">+H30*Insumos_Cotação!$O38</f>
        <v>0</v>
      </c>
      <c r="O30" s="346" t="n">
        <f aca="false">+I30*Insumos_Cotação!$O38</f>
        <v>0</v>
      </c>
      <c r="Q30" s="336"/>
    </row>
    <row r="31" customFormat="false" ht="11.25" hidden="false" customHeight="false" outlineLevel="0" collapsed="false">
      <c r="A31" s="325"/>
      <c r="B31" s="337" t="s">
        <v>251</v>
      </c>
      <c r="C31" s="338" t="s">
        <v>248</v>
      </c>
      <c r="D31" s="339" t="n">
        <v>20</v>
      </c>
      <c r="E31" s="340"/>
      <c r="F31" s="340"/>
      <c r="G31" s="340"/>
      <c r="H31" s="341"/>
      <c r="I31" s="342"/>
      <c r="J31" s="343" t="n">
        <f aca="false">+D31*Insumos_Cotação!$O39</f>
        <v>0</v>
      </c>
      <c r="K31" s="344" t="n">
        <f aca="false">+E31*Insumos_Cotação!$O39</f>
        <v>0</v>
      </c>
      <c r="L31" s="344" t="n">
        <f aca="false">+F31*Insumos_Cotação!$O39</f>
        <v>0</v>
      </c>
      <c r="M31" s="345" t="n">
        <f aca="false">+G31*Insumos_Cotação!$O39</f>
        <v>0</v>
      </c>
      <c r="N31" s="345" t="n">
        <f aca="false">+H31*Insumos_Cotação!$O39</f>
        <v>0</v>
      </c>
      <c r="O31" s="346" t="n">
        <f aca="false">+I31*Insumos_Cotação!$O39</f>
        <v>0</v>
      </c>
      <c r="Q31" s="336"/>
    </row>
    <row r="32" customFormat="false" ht="11.25" hidden="false" customHeight="false" outlineLevel="0" collapsed="false">
      <c r="A32" s="325"/>
      <c r="B32" s="337" t="s">
        <v>252</v>
      </c>
      <c r="C32" s="338" t="s">
        <v>217</v>
      </c>
      <c r="D32" s="339" t="n">
        <v>70</v>
      </c>
      <c r="E32" s="340"/>
      <c r="F32" s="340"/>
      <c r="G32" s="340"/>
      <c r="H32" s="341"/>
      <c r="I32" s="342"/>
      <c r="J32" s="343" t="n">
        <f aca="false">+D32*Insumos_Cotação!$O40</f>
        <v>0</v>
      </c>
      <c r="K32" s="344" t="n">
        <f aca="false">+E32*Insumos_Cotação!$O40</f>
        <v>0</v>
      </c>
      <c r="L32" s="344" t="n">
        <f aca="false">+F32*Insumos_Cotação!$O40</f>
        <v>0</v>
      </c>
      <c r="M32" s="345" t="n">
        <f aca="false">+G32*Insumos_Cotação!$O40</f>
        <v>0</v>
      </c>
      <c r="N32" s="345" t="n">
        <f aca="false">+H32*Insumos_Cotação!$O40</f>
        <v>0</v>
      </c>
      <c r="O32" s="346" t="n">
        <f aca="false">+I32*Insumos_Cotação!$O40</f>
        <v>0</v>
      </c>
      <c r="Q32" s="336"/>
    </row>
    <row r="33" customFormat="false" ht="11.25" hidden="false" customHeight="false" outlineLevel="0" collapsed="false">
      <c r="A33" s="325"/>
      <c r="B33" s="337" t="s">
        <v>253</v>
      </c>
      <c r="C33" s="338" t="s">
        <v>254</v>
      </c>
      <c r="D33" s="339" t="n">
        <v>50</v>
      </c>
      <c r="E33" s="340"/>
      <c r="F33" s="340"/>
      <c r="G33" s="340"/>
      <c r="H33" s="341"/>
      <c r="I33" s="342"/>
      <c r="J33" s="343" t="n">
        <f aca="false">+D33*Insumos_Cotação!$O41</f>
        <v>0</v>
      </c>
      <c r="K33" s="344" t="n">
        <f aca="false">+E33*Insumos_Cotação!$O41</f>
        <v>0</v>
      </c>
      <c r="L33" s="344" t="n">
        <f aca="false">+F33*Insumos_Cotação!$O41</f>
        <v>0</v>
      </c>
      <c r="M33" s="345" t="n">
        <f aca="false">+G33*Insumos_Cotação!$O41</f>
        <v>0</v>
      </c>
      <c r="N33" s="345" t="n">
        <f aca="false">+H33*Insumos_Cotação!$O41</f>
        <v>0</v>
      </c>
      <c r="O33" s="346" t="n">
        <f aca="false">+I33*Insumos_Cotação!$O41</f>
        <v>0</v>
      </c>
      <c r="Q33" s="336"/>
    </row>
    <row r="34" customFormat="false" ht="11.25" hidden="false" customHeight="false" outlineLevel="0" collapsed="false">
      <c r="A34" s="325"/>
      <c r="B34" s="337" t="s">
        <v>255</v>
      </c>
      <c r="C34" s="338" t="s">
        <v>217</v>
      </c>
      <c r="D34" s="339" t="n">
        <v>400</v>
      </c>
      <c r="E34" s="340"/>
      <c r="F34" s="340"/>
      <c r="G34" s="340"/>
      <c r="H34" s="340"/>
      <c r="I34" s="348"/>
      <c r="J34" s="343" t="n">
        <f aca="false">+D34*Insumos_Cotação!$O42</f>
        <v>0</v>
      </c>
      <c r="K34" s="344" t="n">
        <f aca="false">+E34*Insumos_Cotação!$O42</f>
        <v>0</v>
      </c>
      <c r="L34" s="344" t="n">
        <f aca="false">+F34*Insumos_Cotação!$O42</f>
        <v>0</v>
      </c>
      <c r="M34" s="345" t="n">
        <f aca="false">+G34*Insumos_Cotação!$O42</f>
        <v>0</v>
      </c>
      <c r="N34" s="345" t="n">
        <f aca="false">+H34*Insumos_Cotação!$O42</f>
        <v>0</v>
      </c>
      <c r="O34" s="346" t="n">
        <f aca="false">+I34*Insumos_Cotação!$O42</f>
        <v>0</v>
      </c>
      <c r="Q34" s="336"/>
    </row>
    <row r="35" customFormat="false" ht="11.25" hidden="false" customHeight="false" outlineLevel="0" collapsed="false">
      <c r="A35" s="325"/>
      <c r="B35" s="337" t="s">
        <v>256</v>
      </c>
      <c r="C35" s="338" t="s">
        <v>217</v>
      </c>
      <c r="D35" s="339" t="n">
        <v>20</v>
      </c>
      <c r="E35" s="340"/>
      <c r="F35" s="340"/>
      <c r="G35" s="340"/>
      <c r="H35" s="341"/>
      <c r="I35" s="342"/>
      <c r="J35" s="343" t="n">
        <f aca="false">+D35*Insumos_Cotação!$O43</f>
        <v>0</v>
      </c>
      <c r="K35" s="344" t="n">
        <f aca="false">+E35*Insumos_Cotação!$O43</f>
        <v>0</v>
      </c>
      <c r="L35" s="344" t="n">
        <f aca="false">+F35*Insumos_Cotação!$O43</f>
        <v>0</v>
      </c>
      <c r="M35" s="345" t="n">
        <f aca="false">+G35*Insumos_Cotação!$O43</f>
        <v>0</v>
      </c>
      <c r="N35" s="345" t="n">
        <f aca="false">+H35*Insumos_Cotação!$O43</f>
        <v>0</v>
      </c>
      <c r="O35" s="346" t="n">
        <f aca="false">+I35*Insumos_Cotação!$O43</f>
        <v>0</v>
      </c>
      <c r="Q35" s="336"/>
    </row>
    <row r="36" customFormat="false" ht="11.25" hidden="false" customHeight="false" outlineLevel="0" collapsed="false">
      <c r="A36" s="325"/>
      <c r="B36" s="337" t="s">
        <v>257</v>
      </c>
      <c r="C36" s="338" t="s">
        <v>221</v>
      </c>
      <c r="D36" s="339"/>
      <c r="E36" s="340"/>
      <c r="F36" s="340"/>
      <c r="G36" s="340"/>
      <c r="H36" s="341"/>
      <c r="I36" s="342"/>
      <c r="J36" s="343" t="n">
        <f aca="false">+D36*Insumos_Cotação!$O44</f>
        <v>0</v>
      </c>
      <c r="K36" s="344" t="n">
        <f aca="false">+E36*Insumos_Cotação!$O44</f>
        <v>0</v>
      </c>
      <c r="L36" s="344" t="n">
        <f aca="false">+F36*Insumos_Cotação!$O44</f>
        <v>0</v>
      </c>
      <c r="M36" s="345" t="n">
        <f aca="false">+G36*Insumos_Cotação!$O44</f>
        <v>0</v>
      </c>
      <c r="N36" s="345" t="n">
        <f aca="false">+H36*Insumos_Cotação!$O44</f>
        <v>0</v>
      </c>
      <c r="O36" s="346" t="n">
        <f aca="false">+I36*Insumos_Cotação!$O44</f>
        <v>0</v>
      </c>
      <c r="Q36" s="336"/>
    </row>
    <row r="37" customFormat="false" ht="11.25" hidden="false" customHeight="false" outlineLevel="0" collapsed="false">
      <c r="A37" s="325"/>
      <c r="B37" s="337" t="s">
        <v>258</v>
      </c>
      <c r="C37" s="338" t="s">
        <v>221</v>
      </c>
      <c r="D37" s="339" t="n">
        <v>8</v>
      </c>
      <c r="E37" s="340"/>
      <c r="F37" s="340"/>
      <c r="G37" s="340"/>
      <c r="H37" s="341"/>
      <c r="I37" s="342"/>
      <c r="J37" s="343" t="n">
        <f aca="false">+D37*Insumos_Cotação!$O45</f>
        <v>0</v>
      </c>
      <c r="K37" s="344" t="n">
        <f aca="false">+E37*Insumos_Cotação!$O45</f>
        <v>0</v>
      </c>
      <c r="L37" s="344" t="n">
        <f aca="false">+F37*Insumos_Cotação!$O45</f>
        <v>0</v>
      </c>
      <c r="M37" s="345" t="n">
        <f aca="false">+G37*Insumos_Cotação!$O45</f>
        <v>0</v>
      </c>
      <c r="N37" s="345" t="n">
        <f aca="false">+H37*Insumos_Cotação!$O45</f>
        <v>0</v>
      </c>
      <c r="O37" s="346" t="n">
        <f aca="false">+I37*Insumos_Cotação!$O45</f>
        <v>0</v>
      </c>
      <c r="Q37" s="336"/>
    </row>
    <row r="38" customFormat="false" ht="11.25" hidden="false" customHeight="false" outlineLevel="0" collapsed="false">
      <c r="A38" s="325"/>
      <c r="B38" s="337" t="s">
        <v>259</v>
      </c>
      <c r="C38" s="338" t="s">
        <v>254</v>
      </c>
      <c r="D38" s="339"/>
      <c r="E38" s="340"/>
      <c r="F38" s="340"/>
      <c r="G38" s="340"/>
      <c r="H38" s="341"/>
      <c r="I38" s="342"/>
      <c r="J38" s="343" t="n">
        <f aca="false">+D38*Insumos_Cotação!$O46</f>
        <v>0</v>
      </c>
      <c r="K38" s="344" t="n">
        <f aca="false">+E38*Insumos_Cotação!$O46</f>
        <v>0</v>
      </c>
      <c r="L38" s="344" t="n">
        <f aca="false">+F38*Insumos_Cotação!$O46</f>
        <v>0</v>
      </c>
      <c r="M38" s="345" t="n">
        <f aca="false">+G38*Insumos_Cotação!$O46</f>
        <v>0</v>
      </c>
      <c r="N38" s="345" t="n">
        <f aca="false">+H38*Insumos_Cotação!$O46</f>
        <v>0</v>
      </c>
      <c r="O38" s="346" t="n">
        <f aca="false">+I38*Insumos_Cotação!$O46</f>
        <v>0</v>
      </c>
      <c r="Q38" s="336"/>
    </row>
    <row r="39" customFormat="false" ht="11.25" hidden="false" customHeight="false" outlineLevel="0" collapsed="false">
      <c r="A39" s="325"/>
      <c r="B39" s="337" t="s">
        <v>260</v>
      </c>
      <c r="C39" s="338" t="s">
        <v>217</v>
      </c>
      <c r="D39" s="339"/>
      <c r="E39" s="340"/>
      <c r="F39" s="340"/>
      <c r="G39" s="340"/>
      <c r="H39" s="341"/>
      <c r="I39" s="342"/>
      <c r="J39" s="343" t="n">
        <f aca="false">+D39*Insumos_Cotação!$O47</f>
        <v>0</v>
      </c>
      <c r="K39" s="344" t="n">
        <f aca="false">+E39*Insumos_Cotação!$O47</f>
        <v>0</v>
      </c>
      <c r="L39" s="344" t="n">
        <f aca="false">+F39*Insumos_Cotação!$O47</f>
        <v>0</v>
      </c>
      <c r="M39" s="345" t="n">
        <f aca="false">+G39*Insumos_Cotação!$O47</f>
        <v>0</v>
      </c>
      <c r="N39" s="345" t="n">
        <f aca="false">+H39*Insumos_Cotação!$O47</f>
        <v>0</v>
      </c>
      <c r="O39" s="346" t="n">
        <f aca="false">+I39*Insumos_Cotação!$O47</f>
        <v>0</v>
      </c>
      <c r="Q39" s="336"/>
    </row>
    <row r="40" customFormat="false" ht="11.25" hidden="false" customHeight="false" outlineLevel="0" collapsed="false">
      <c r="A40" s="325"/>
      <c r="B40" s="337" t="s">
        <v>261</v>
      </c>
      <c r="C40" s="338" t="s">
        <v>248</v>
      </c>
      <c r="D40" s="339"/>
      <c r="E40" s="340"/>
      <c r="F40" s="340"/>
      <c r="G40" s="340"/>
      <c r="H40" s="341"/>
      <c r="I40" s="342"/>
      <c r="J40" s="343" t="n">
        <f aca="false">+D40*Insumos_Cotação!$O48</f>
        <v>0</v>
      </c>
      <c r="K40" s="344" t="n">
        <f aca="false">+E40*Insumos_Cotação!$O48</f>
        <v>0</v>
      </c>
      <c r="L40" s="344" t="n">
        <f aca="false">+F40*Insumos_Cotação!$O48</f>
        <v>0</v>
      </c>
      <c r="M40" s="345" t="n">
        <f aca="false">+G40*Insumos_Cotação!$O48</f>
        <v>0</v>
      </c>
      <c r="N40" s="345" t="n">
        <f aca="false">+H40*Insumos_Cotação!$O48</f>
        <v>0</v>
      </c>
      <c r="O40" s="346" t="n">
        <f aca="false">+I40*Insumos_Cotação!$O48</f>
        <v>0</v>
      </c>
      <c r="Q40" s="336"/>
    </row>
    <row r="41" customFormat="false" ht="11.25" hidden="false" customHeight="false" outlineLevel="0" collapsed="false">
      <c r="A41" s="325"/>
      <c r="B41" s="337" t="s">
        <v>262</v>
      </c>
      <c r="C41" s="338" t="s">
        <v>217</v>
      </c>
      <c r="D41" s="339" t="n">
        <v>20</v>
      </c>
      <c r="E41" s="340"/>
      <c r="F41" s="340"/>
      <c r="G41" s="340"/>
      <c r="H41" s="341"/>
      <c r="I41" s="342"/>
      <c r="J41" s="343" t="n">
        <f aca="false">+D41*Insumos_Cotação!$O49</f>
        <v>0</v>
      </c>
      <c r="K41" s="344" t="n">
        <f aca="false">+E41*Insumos_Cotação!$O49</f>
        <v>0</v>
      </c>
      <c r="L41" s="344" t="n">
        <f aca="false">+F41*Insumos_Cotação!$O49</f>
        <v>0</v>
      </c>
      <c r="M41" s="345" t="n">
        <f aca="false">+G41*Insumos_Cotação!$O49</f>
        <v>0</v>
      </c>
      <c r="N41" s="345" t="n">
        <f aca="false">+H41*Insumos_Cotação!$O49</f>
        <v>0</v>
      </c>
      <c r="O41" s="346" t="n">
        <f aca="false">+I41*Insumos_Cotação!$O49</f>
        <v>0</v>
      </c>
      <c r="Q41" s="336"/>
    </row>
    <row r="42" customFormat="false" ht="22.5" hidden="false" customHeight="false" outlineLevel="0" collapsed="false">
      <c r="A42" s="325"/>
      <c r="B42" s="337" t="s">
        <v>263</v>
      </c>
      <c r="C42" s="338" t="s">
        <v>248</v>
      </c>
      <c r="D42" s="339" t="n">
        <v>1</v>
      </c>
      <c r="E42" s="340"/>
      <c r="F42" s="340"/>
      <c r="G42" s="340"/>
      <c r="H42" s="341"/>
      <c r="I42" s="342"/>
      <c r="J42" s="343" t="n">
        <f aca="false">+D42*Insumos_Cotação!$O50</f>
        <v>0</v>
      </c>
      <c r="K42" s="344" t="n">
        <f aca="false">+E42*Insumos_Cotação!$O50</f>
        <v>0</v>
      </c>
      <c r="L42" s="344" t="n">
        <f aca="false">+F42*Insumos_Cotação!$O50</f>
        <v>0</v>
      </c>
      <c r="M42" s="345" t="n">
        <f aca="false">+G42*Insumos_Cotação!$O50</f>
        <v>0</v>
      </c>
      <c r="N42" s="345" t="n">
        <f aca="false">+H42*Insumos_Cotação!$O50</f>
        <v>0</v>
      </c>
      <c r="O42" s="346" t="n">
        <f aca="false">+I42*Insumos_Cotação!$O50</f>
        <v>0</v>
      </c>
      <c r="Q42" s="336"/>
    </row>
    <row r="43" customFormat="false" ht="22.5" hidden="false" customHeight="false" outlineLevel="0" collapsed="false">
      <c r="A43" s="325"/>
      <c r="B43" s="337" t="s">
        <v>264</v>
      </c>
      <c r="C43" s="338" t="s">
        <v>217</v>
      </c>
      <c r="D43" s="339" t="n">
        <v>1</v>
      </c>
      <c r="E43" s="340"/>
      <c r="F43" s="340"/>
      <c r="G43" s="340"/>
      <c r="H43" s="341"/>
      <c r="I43" s="342"/>
      <c r="J43" s="343" t="n">
        <f aca="false">+D43*Insumos_Cotação!$O51</f>
        <v>0</v>
      </c>
      <c r="K43" s="344" t="n">
        <f aca="false">+E43*Insumos_Cotação!$O51</f>
        <v>0</v>
      </c>
      <c r="L43" s="344" t="n">
        <f aca="false">+F43*Insumos_Cotação!$O51</f>
        <v>0</v>
      </c>
      <c r="M43" s="345" t="n">
        <f aca="false">+G43*Insumos_Cotação!$O51</f>
        <v>0</v>
      </c>
      <c r="N43" s="345" t="n">
        <f aca="false">+H43*Insumos_Cotação!$O51</f>
        <v>0</v>
      </c>
      <c r="O43" s="346" t="n">
        <f aca="false">+I43*Insumos_Cotação!$O51</f>
        <v>0</v>
      </c>
      <c r="Q43" s="336"/>
    </row>
    <row r="44" customFormat="false" ht="11.25" hidden="false" customHeight="false" outlineLevel="0" collapsed="false">
      <c r="A44" s="325"/>
      <c r="B44" s="337" t="s">
        <v>265</v>
      </c>
      <c r="C44" s="338" t="s">
        <v>248</v>
      </c>
      <c r="D44" s="339" t="n">
        <v>20</v>
      </c>
      <c r="E44" s="340"/>
      <c r="F44" s="340"/>
      <c r="G44" s="340"/>
      <c r="H44" s="341"/>
      <c r="I44" s="342"/>
      <c r="J44" s="343" t="n">
        <f aca="false">+D44*Insumos_Cotação!$O52</f>
        <v>0</v>
      </c>
      <c r="K44" s="344" t="n">
        <f aca="false">+E44*Insumos_Cotação!$O52</f>
        <v>0</v>
      </c>
      <c r="L44" s="344" t="n">
        <f aca="false">+F44*Insumos_Cotação!$O52</f>
        <v>0</v>
      </c>
      <c r="M44" s="345" t="n">
        <f aca="false">+G44*Insumos_Cotação!$O52</f>
        <v>0</v>
      </c>
      <c r="N44" s="345" t="n">
        <f aca="false">+H44*Insumos_Cotação!$O52</f>
        <v>0</v>
      </c>
      <c r="O44" s="346" t="n">
        <f aca="false">+I44*Insumos_Cotação!$O52</f>
        <v>0</v>
      </c>
      <c r="Q44" s="336"/>
    </row>
    <row r="45" customFormat="false" ht="11.25" hidden="false" customHeight="false" outlineLevel="0" collapsed="false">
      <c r="A45" s="325"/>
      <c r="B45" s="337" t="s">
        <v>266</v>
      </c>
      <c r="C45" s="338" t="s">
        <v>248</v>
      </c>
      <c r="D45" s="339" t="n">
        <v>15</v>
      </c>
      <c r="E45" s="340"/>
      <c r="F45" s="340"/>
      <c r="G45" s="340"/>
      <c r="H45" s="341"/>
      <c r="I45" s="342"/>
      <c r="J45" s="343" t="n">
        <f aca="false">+D45*Insumos_Cotação!$O53</f>
        <v>0</v>
      </c>
      <c r="K45" s="344" t="n">
        <f aca="false">+E45*Insumos_Cotação!$O53</f>
        <v>0</v>
      </c>
      <c r="L45" s="344" t="n">
        <f aca="false">+F45*Insumos_Cotação!$O53</f>
        <v>0</v>
      </c>
      <c r="M45" s="345" t="n">
        <f aca="false">+G45*Insumos_Cotação!$O53</f>
        <v>0</v>
      </c>
      <c r="N45" s="345" t="n">
        <f aca="false">+H45*Insumos_Cotação!$O53</f>
        <v>0</v>
      </c>
      <c r="O45" s="346" t="n">
        <f aca="false">+I45*Insumos_Cotação!$O53</f>
        <v>0</v>
      </c>
      <c r="Q45" s="336"/>
    </row>
    <row r="46" customFormat="false" ht="11.25" hidden="false" customHeight="false" outlineLevel="0" collapsed="false">
      <c r="A46" s="325"/>
      <c r="B46" s="337" t="s">
        <v>267</v>
      </c>
      <c r="C46" s="338" t="s">
        <v>248</v>
      </c>
      <c r="D46" s="339" t="n">
        <v>45</v>
      </c>
      <c r="E46" s="340"/>
      <c r="F46" s="340"/>
      <c r="G46" s="340"/>
      <c r="H46" s="341"/>
      <c r="I46" s="342"/>
      <c r="J46" s="343" t="n">
        <f aca="false">+D46*Insumos_Cotação!$O54</f>
        <v>0</v>
      </c>
      <c r="K46" s="344" t="n">
        <f aca="false">+E46*Insumos_Cotação!$O54</f>
        <v>0</v>
      </c>
      <c r="L46" s="344" t="n">
        <f aca="false">+F46*Insumos_Cotação!$O54</f>
        <v>0</v>
      </c>
      <c r="M46" s="345" t="n">
        <f aca="false">+G46*Insumos_Cotação!$O54</f>
        <v>0</v>
      </c>
      <c r="N46" s="345" t="n">
        <f aca="false">+H46*Insumos_Cotação!$O54</f>
        <v>0</v>
      </c>
      <c r="O46" s="346" t="n">
        <f aca="false">+I46*Insumos_Cotação!$O54</f>
        <v>0</v>
      </c>
      <c r="Q46" s="336"/>
    </row>
    <row r="47" customFormat="false" ht="11.25" hidden="false" customHeight="false" outlineLevel="0" collapsed="false">
      <c r="A47" s="325"/>
      <c r="B47" s="337" t="s">
        <v>268</v>
      </c>
      <c r="C47" s="338" t="s">
        <v>248</v>
      </c>
      <c r="D47" s="339" t="n">
        <v>45</v>
      </c>
      <c r="E47" s="340"/>
      <c r="F47" s="340"/>
      <c r="G47" s="340"/>
      <c r="H47" s="341"/>
      <c r="I47" s="342"/>
      <c r="J47" s="343" t="n">
        <f aca="false">+D47*Insumos_Cotação!$O55</f>
        <v>0</v>
      </c>
      <c r="K47" s="344" t="n">
        <f aca="false">+E47*Insumos_Cotação!$O55</f>
        <v>0</v>
      </c>
      <c r="L47" s="344" t="n">
        <f aca="false">+F47*Insumos_Cotação!$O55</f>
        <v>0</v>
      </c>
      <c r="M47" s="345" t="n">
        <f aca="false">+G47*Insumos_Cotação!$O55</f>
        <v>0</v>
      </c>
      <c r="N47" s="345" t="n">
        <f aca="false">+H47*Insumos_Cotação!$O55</f>
        <v>0</v>
      </c>
      <c r="O47" s="346" t="n">
        <f aca="false">+I47*Insumos_Cotação!$O55</f>
        <v>0</v>
      </c>
      <c r="Q47" s="336"/>
    </row>
    <row r="48" customFormat="false" ht="11.25" hidden="false" customHeight="false" outlineLevel="0" collapsed="false">
      <c r="A48" s="325"/>
      <c r="B48" s="337" t="s">
        <v>269</v>
      </c>
      <c r="C48" s="338" t="s">
        <v>248</v>
      </c>
      <c r="D48" s="339" t="n">
        <v>10</v>
      </c>
      <c r="E48" s="340"/>
      <c r="F48" s="340"/>
      <c r="G48" s="340"/>
      <c r="H48" s="341"/>
      <c r="I48" s="342"/>
      <c r="J48" s="343" t="n">
        <f aca="false">+D48*Insumos_Cotação!$O56</f>
        <v>0</v>
      </c>
      <c r="K48" s="344" t="n">
        <f aca="false">+E48*Insumos_Cotação!$O56</f>
        <v>0</v>
      </c>
      <c r="L48" s="344" t="n">
        <f aca="false">+F48*Insumos_Cotação!$O56</f>
        <v>0</v>
      </c>
      <c r="M48" s="345" t="n">
        <f aca="false">+G48*Insumos_Cotação!$O56</f>
        <v>0</v>
      </c>
      <c r="N48" s="345" t="n">
        <f aca="false">+H48*Insumos_Cotação!$O56</f>
        <v>0</v>
      </c>
      <c r="O48" s="346" t="n">
        <f aca="false">+I48*Insumos_Cotação!$O56</f>
        <v>0</v>
      </c>
      <c r="Q48" s="336"/>
    </row>
    <row r="49" customFormat="false" ht="11.25" hidden="false" customHeight="false" outlineLevel="0" collapsed="false">
      <c r="A49" s="325"/>
      <c r="B49" s="337" t="s">
        <v>270</v>
      </c>
      <c r="C49" s="349" t="s">
        <v>248</v>
      </c>
      <c r="D49" s="339"/>
      <c r="E49" s="340"/>
      <c r="F49" s="340"/>
      <c r="G49" s="340"/>
      <c r="H49" s="341"/>
      <c r="I49" s="342"/>
      <c r="J49" s="343" t="n">
        <f aca="false">+D49*Insumos_Cotação!$O57</f>
        <v>0</v>
      </c>
      <c r="K49" s="344"/>
      <c r="L49" s="344"/>
      <c r="M49" s="345"/>
      <c r="N49" s="345"/>
      <c r="O49" s="346"/>
      <c r="Q49" s="336"/>
    </row>
    <row r="50" customFormat="false" ht="11.25" hidden="false" customHeight="false" outlineLevel="0" collapsed="false">
      <c r="A50" s="325"/>
      <c r="B50" s="337" t="s">
        <v>271</v>
      </c>
      <c r="C50" s="349" t="s">
        <v>248</v>
      </c>
      <c r="D50" s="339"/>
      <c r="E50" s="340"/>
      <c r="F50" s="340"/>
      <c r="G50" s="340"/>
      <c r="H50" s="341"/>
      <c r="I50" s="342"/>
      <c r="J50" s="343" t="n">
        <f aca="false">+D50*Insumos_Cotação!$O58</f>
        <v>0</v>
      </c>
      <c r="K50" s="344"/>
      <c r="L50" s="344"/>
      <c r="M50" s="345"/>
      <c r="N50" s="345"/>
      <c r="O50" s="346"/>
      <c r="Q50" s="336"/>
    </row>
    <row r="51" customFormat="false" ht="11.25" hidden="false" customHeight="false" outlineLevel="0" collapsed="false">
      <c r="A51" s="325"/>
      <c r="B51" s="337" t="s">
        <v>272</v>
      </c>
      <c r="C51" s="349" t="s">
        <v>248</v>
      </c>
      <c r="D51" s="339" t="n">
        <v>1</v>
      </c>
      <c r="E51" s="340"/>
      <c r="F51" s="340"/>
      <c r="G51" s="340"/>
      <c r="H51" s="341"/>
      <c r="I51" s="342"/>
      <c r="J51" s="343" t="n">
        <f aca="false">+D51*Insumos_Cotação!$O59</f>
        <v>0</v>
      </c>
      <c r="K51" s="344"/>
      <c r="L51" s="344"/>
      <c r="M51" s="345"/>
      <c r="N51" s="345"/>
      <c r="O51" s="346"/>
      <c r="Q51" s="336"/>
    </row>
    <row r="52" customFormat="false" ht="11.25" hidden="false" customHeight="false" outlineLevel="0" collapsed="false">
      <c r="A52" s="325"/>
      <c r="B52" s="337" t="s">
        <v>273</v>
      </c>
      <c r="C52" s="349" t="s">
        <v>248</v>
      </c>
      <c r="D52" s="339"/>
      <c r="E52" s="340"/>
      <c r="F52" s="340"/>
      <c r="G52" s="340"/>
      <c r="H52" s="341"/>
      <c r="I52" s="342"/>
      <c r="J52" s="343" t="n">
        <f aca="false">+D52*Insumos_Cotação!$O60</f>
        <v>0</v>
      </c>
      <c r="K52" s="344"/>
      <c r="L52" s="344"/>
      <c r="M52" s="345"/>
      <c r="N52" s="345"/>
      <c r="O52" s="346"/>
      <c r="Q52" s="336"/>
    </row>
    <row r="53" customFormat="false" ht="11.25" hidden="false" customHeight="false" outlineLevel="0" collapsed="false">
      <c r="A53" s="325"/>
      <c r="B53" s="337" t="s">
        <v>274</v>
      </c>
      <c r="C53" s="349" t="s">
        <v>248</v>
      </c>
      <c r="D53" s="339"/>
      <c r="E53" s="340"/>
      <c r="F53" s="340"/>
      <c r="G53" s="340"/>
      <c r="H53" s="341"/>
      <c r="I53" s="342"/>
      <c r="J53" s="343" t="n">
        <f aca="false">+D53*Insumos_Cotação!$O61</f>
        <v>0</v>
      </c>
      <c r="K53" s="344"/>
      <c r="L53" s="344"/>
      <c r="M53" s="345"/>
      <c r="N53" s="345"/>
      <c r="O53" s="346"/>
      <c r="Q53" s="336"/>
    </row>
    <row r="54" customFormat="false" ht="11.25" hidden="false" customHeight="false" outlineLevel="0" collapsed="false">
      <c r="A54" s="325"/>
      <c r="B54" s="337" t="s">
        <v>275</v>
      </c>
      <c r="C54" s="349" t="s">
        <v>248</v>
      </c>
      <c r="D54" s="339"/>
      <c r="E54" s="340"/>
      <c r="F54" s="340"/>
      <c r="G54" s="340"/>
      <c r="H54" s="341"/>
      <c r="I54" s="342"/>
      <c r="J54" s="343" t="n">
        <f aca="false">+D54*Insumos_Cotação!$O62</f>
        <v>0</v>
      </c>
      <c r="K54" s="344"/>
      <c r="L54" s="344"/>
      <c r="M54" s="345"/>
      <c r="N54" s="345"/>
      <c r="O54" s="346"/>
      <c r="Q54" s="336"/>
    </row>
    <row r="55" customFormat="false" ht="33.75" hidden="false" customHeight="false" outlineLevel="0" collapsed="false">
      <c r="A55" s="325"/>
      <c r="B55" s="337" t="s">
        <v>276</v>
      </c>
      <c r="C55" s="349" t="s">
        <v>217</v>
      </c>
      <c r="D55" s="339" t="n">
        <v>20</v>
      </c>
      <c r="E55" s="340"/>
      <c r="F55" s="340"/>
      <c r="G55" s="340"/>
      <c r="H55" s="341"/>
      <c r="I55" s="342"/>
      <c r="J55" s="343" t="n">
        <f aca="false">+D55*Insumos_Cotação!$O63</f>
        <v>0</v>
      </c>
      <c r="K55" s="344"/>
      <c r="L55" s="344"/>
      <c r="M55" s="345"/>
      <c r="N55" s="345"/>
      <c r="O55" s="346"/>
      <c r="Q55" s="336"/>
    </row>
    <row r="56" customFormat="false" ht="33.75" hidden="false" customHeight="false" outlineLevel="0" collapsed="false">
      <c r="A56" s="325"/>
      <c r="B56" s="337" t="s">
        <v>277</v>
      </c>
      <c r="C56" s="350" t="s">
        <v>217</v>
      </c>
      <c r="D56" s="339" t="n">
        <v>30</v>
      </c>
      <c r="E56" s="340"/>
      <c r="F56" s="340"/>
      <c r="G56" s="340"/>
      <c r="H56" s="341"/>
      <c r="I56" s="342"/>
      <c r="J56" s="343" t="n">
        <f aca="false">+D56*Insumos_Cotação!$O64</f>
        <v>0</v>
      </c>
      <c r="K56" s="344"/>
      <c r="L56" s="344"/>
      <c r="M56" s="345"/>
      <c r="N56" s="345"/>
      <c r="O56" s="346"/>
      <c r="Q56" s="336"/>
    </row>
    <row r="57" customFormat="false" ht="11.25" hidden="false" customHeight="false" outlineLevel="0" collapsed="false">
      <c r="A57" s="325"/>
      <c r="B57" s="337" t="s">
        <v>278</v>
      </c>
      <c r="C57" s="338" t="s">
        <v>254</v>
      </c>
      <c r="D57" s="339" t="n">
        <v>1</v>
      </c>
      <c r="E57" s="340"/>
      <c r="F57" s="340"/>
      <c r="G57" s="340"/>
      <c r="H57" s="341"/>
      <c r="I57" s="342"/>
      <c r="J57" s="343" t="n">
        <f aca="false">+D57*Insumos_Cotação!$O65</f>
        <v>0</v>
      </c>
      <c r="K57" s="344" t="n">
        <f aca="false">+E57*Insumos_Cotação!$O65</f>
        <v>0</v>
      </c>
      <c r="L57" s="344" t="n">
        <f aca="false">+F57*Insumos_Cotação!$O65</f>
        <v>0</v>
      </c>
      <c r="M57" s="345" t="n">
        <f aca="false">+G57*Insumos_Cotação!$O65</f>
        <v>0</v>
      </c>
      <c r="N57" s="345" t="n">
        <f aca="false">+H57*Insumos_Cotação!$O65</f>
        <v>0</v>
      </c>
      <c r="O57" s="346" t="n">
        <f aca="false">+I57*Insumos_Cotação!$O65</f>
        <v>0</v>
      </c>
      <c r="Q57" s="336"/>
    </row>
    <row r="58" customFormat="false" ht="12" hidden="false" customHeight="false" outlineLevel="0" collapsed="false">
      <c r="A58" s="325"/>
      <c r="B58" s="351" t="s">
        <v>279</v>
      </c>
      <c r="C58" s="352" t="s">
        <v>221</v>
      </c>
      <c r="D58" s="353" t="n">
        <v>15</v>
      </c>
      <c r="E58" s="354"/>
      <c r="F58" s="354"/>
      <c r="G58" s="354"/>
      <c r="H58" s="355"/>
      <c r="I58" s="356"/>
      <c r="J58" s="343" t="n">
        <f aca="false">+D58*Insumos_Cotação!$O66</f>
        <v>0</v>
      </c>
      <c r="K58" s="357" t="n">
        <f aca="false">+E58*Insumos_Cotação!$O66</f>
        <v>0</v>
      </c>
      <c r="L58" s="357" t="n">
        <f aca="false">+F58*Insumos_Cotação!$O66</f>
        <v>0</v>
      </c>
      <c r="M58" s="358" t="n">
        <f aca="false">+G58*Insumos_Cotação!$O66</f>
        <v>0</v>
      </c>
      <c r="N58" s="358" t="n">
        <f aca="false">+H58*Insumos_Cotação!$O66</f>
        <v>0</v>
      </c>
      <c r="O58" s="359" t="n">
        <f aca="false">+I58*Insumos_Cotação!$O66</f>
        <v>0</v>
      </c>
      <c r="Q58" s="336"/>
    </row>
    <row r="59" customFormat="false" ht="12" hidden="false" customHeight="true" outlineLevel="0" collapsed="false">
      <c r="A59" s="360" t="s">
        <v>280</v>
      </c>
      <c r="B59" s="361" t="s">
        <v>281</v>
      </c>
      <c r="C59" s="362" t="s">
        <v>217</v>
      </c>
      <c r="D59" s="363" t="n">
        <v>20</v>
      </c>
      <c r="E59" s="364"/>
      <c r="F59" s="364"/>
      <c r="G59" s="365"/>
      <c r="H59" s="366"/>
      <c r="I59" s="367"/>
      <c r="J59" s="368" t="n">
        <f aca="false">+D59*Insumos_Cotação!$O68</f>
        <v>0</v>
      </c>
      <c r="K59" s="369" t="n">
        <f aca="false">+E59*Insumos_Cotação!$O68</f>
        <v>0</v>
      </c>
      <c r="L59" s="369" t="n">
        <f aca="false">+F59*Insumos_Cotação!$O68</f>
        <v>0</v>
      </c>
      <c r="M59" s="370" t="n">
        <f aca="false">+G59*Insumos_Cotação!$O68</f>
        <v>0</v>
      </c>
      <c r="N59" s="370" t="n">
        <f aca="false">+H59*Insumos_Cotação!$O68</f>
        <v>0</v>
      </c>
      <c r="O59" s="371" t="n">
        <f aca="false">+I59*Insumos_Cotação!$O68</f>
        <v>0</v>
      </c>
    </row>
    <row r="60" customFormat="false" ht="12" hidden="false" customHeight="true" outlineLevel="0" collapsed="false">
      <c r="A60" s="360"/>
      <c r="B60" s="372" t="s">
        <v>282</v>
      </c>
      <c r="C60" s="373" t="s">
        <v>217</v>
      </c>
      <c r="D60" s="374" t="n">
        <v>60</v>
      </c>
      <c r="E60" s="375"/>
      <c r="F60" s="375"/>
      <c r="G60" s="376"/>
      <c r="H60" s="377"/>
      <c r="I60" s="378"/>
      <c r="J60" s="379" t="n">
        <f aca="false">+D60*Insumos_Cotação!$O69</f>
        <v>0</v>
      </c>
      <c r="K60" s="380" t="n">
        <f aca="false">+E60*Insumos_Cotação!$O69</f>
        <v>0</v>
      </c>
      <c r="L60" s="380" t="n">
        <f aca="false">+F60*Insumos_Cotação!$O69</f>
        <v>0</v>
      </c>
      <c r="M60" s="381" t="n">
        <f aca="false">+G60*Insumos_Cotação!$O69</f>
        <v>0</v>
      </c>
      <c r="N60" s="381" t="n">
        <f aca="false">+H60*Insumos_Cotação!$O69</f>
        <v>0</v>
      </c>
      <c r="O60" s="382" t="n">
        <f aca="false">+I60*Insumos_Cotação!$O69</f>
        <v>0</v>
      </c>
    </row>
    <row r="61" customFormat="false" ht="12" hidden="false" customHeight="true" outlineLevel="0" collapsed="false">
      <c r="A61" s="360"/>
      <c r="B61" s="372" t="s">
        <v>283</v>
      </c>
      <c r="C61" s="373"/>
      <c r="D61" s="374" t="n">
        <v>30</v>
      </c>
      <c r="E61" s="375"/>
      <c r="F61" s="375"/>
      <c r="G61" s="376"/>
      <c r="H61" s="377"/>
      <c r="I61" s="378"/>
      <c r="J61" s="379" t="n">
        <f aca="false">+D61*Insumos_Cotação!$O70</f>
        <v>0</v>
      </c>
      <c r="K61" s="380"/>
      <c r="L61" s="380"/>
      <c r="M61" s="381"/>
      <c r="N61" s="381"/>
      <c r="O61" s="382"/>
    </row>
    <row r="62" customFormat="false" ht="12" hidden="false" customHeight="true" outlineLevel="0" collapsed="false">
      <c r="A62" s="360"/>
      <c r="B62" s="372" t="s">
        <v>284</v>
      </c>
      <c r="C62" s="373"/>
      <c r="D62" s="374" t="n">
        <v>15</v>
      </c>
      <c r="E62" s="375"/>
      <c r="F62" s="375"/>
      <c r="G62" s="376"/>
      <c r="H62" s="377"/>
      <c r="I62" s="378"/>
      <c r="J62" s="379" t="n">
        <f aca="false">+D62*Insumos_Cotação!$O71</f>
        <v>0</v>
      </c>
      <c r="K62" s="380"/>
      <c r="L62" s="380"/>
      <c r="M62" s="381"/>
      <c r="N62" s="381"/>
      <c r="O62" s="382"/>
    </row>
    <row r="63" customFormat="false" ht="12" hidden="false" customHeight="true" outlineLevel="0" collapsed="false">
      <c r="A63" s="360"/>
      <c r="B63" s="372" t="s">
        <v>285</v>
      </c>
      <c r="C63" s="373" t="s">
        <v>217</v>
      </c>
      <c r="D63" s="374" t="n">
        <v>30</v>
      </c>
      <c r="E63" s="375"/>
      <c r="F63" s="375"/>
      <c r="G63" s="376"/>
      <c r="H63" s="377"/>
      <c r="I63" s="378"/>
      <c r="J63" s="379" t="n">
        <f aca="false">+D63*Insumos_Cotação!$O72</f>
        <v>0</v>
      </c>
      <c r="K63" s="380" t="n">
        <f aca="false">+E63*Insumos_Cotação!$O72</f>
        <v>0</v>
      </c>
      <c r="L63" s="380" t="n">
        <f aca="false">+F63*Insumos_Cotação!$O72</f>
        <v>0</v>
      </c>
      <c r="M63" s="381" t="n">
        <f aca="false">+G63*Insumos_Cotação!$O72</f>
        <v>0</v>
      </c>
      <c r="N63" s="381" t="n">
        <f aca="false">+H63*Insumos_Cotação!$O72</f>
        <v>0</v>
      </c>
      <c r="O63" s="382" t="n">
        <f aca="false">+I63*Insumos_Cotação!$O72</f>
        <v>0</v>
      </c>
    </row>
    <row r="64" customFormat="false" ht="12" hidden="false" customHeight="true" outlineLevel="0" collapsed="false">
      <c r="A64" s="360"/>
      <c r="B64" s="374" t="s">
        <v>286</v>
      </c>
      <c r="C64" s="373" t="s">
        <v>217</v>
      </c>
      <c r="D64" s="374" t="n">
        <v>20</v>
      </c>
      <c r="E64" s="375"/>
      <c r="F64" s="375"/>
      <c r="G64" s="376"/>
      <c r="H64" s="377"/>
      <c r="I64" s="378"/>
      <c r="J64" s="379" t="n">
        <f aca="false">+D64*Insumos_Cotação!$O73</f>
        <v>0</v>
      </c>
      <c r="K64" s="380" t="n">
        <f aca="false">+E64*Insumos_Cotação!$O73</f>
        <v>0</v>
      </c>
      <c r="L64" s="380" t="n">
        <f aca="false">+F64*Insumos_Cotação!$O73</f>
        <v>0</v>
      </c>
      <c r="M64" s="381" t="n">
        <f aca="false">+G64*Insumos_Cotação!$O73</f>
        <v>0</v>
      </c>
      <c r="N64" s="381" t="n">
        <f aca="false">+H64*Insumos_Cotação!$O73</f>
        <v>0</v>
      </c>
      <c r="O64" s="382" t="n">
        <f aca="false">+I64*Insumos_Cotação!$O73</f>
        <v>0</v>
      </c>
    </row>
    <row r="65" customFormat="false" ht="12" hidden="false" customHeight="true" outlineLevel="0" collapsed="false">
      <c r="A65" s="360"/>
      <c r="B65" s="374" t="s">
        <v>287</v>
      </c>
      <c r="C65" s="373" t="s">
        <v>217</v>
      </c>
      <c r="D65" s="374" t="n">
        <v>20</v>
      </c>
      <c r="E65" s="375"/>
      <c r="F65" s="375"/>
      <c r="G65" s="376"/>
      <c r="H65" s="377"/>
      <c r="I65" s="378"/>
      <c r="J65" s="379" t="n">
        <f aca="false">+D65*Insumos_Cotação!$O74</f>
        <v>0</v>
      </c>
      <c r="K65" s="380"/>
      <c r="L65" s="380"/>
      <c r="M65" s="381"/>
      <c r="N65" s="381"/>
      <c r="O65" s="382"/>
    </row>
    <row r="66" customFormat="false" ht="12" hidden="false" customHeight="true" outlineLevel="0" collapsed="false">
      <c r="A66" s="360"/>
      <c r="B66" s="374" t="s">
        <v>288</v>
      </c>
      <c r="C66" s="373" t="s">
        <v>217</v>
      </c>
      <c r="D66" s="374" t="n">
        <v>40</v>
      </c>
      <c r="E66" s="375"/>
      <c r="F66" s="375"/>
      <c r="G66" s="376"/>
      <c r="H66" s="377"/>
      <c r="I66" s="378"/>
      <c r="J66" s="379" t="n">
        <f aca="false">+D66*Insumos_Cotação!$O75</f>
        <v>0</v>
      </c>
      <c r="K66" s="380" t="n">
        <f aca="false">+E66*Insumos_Cotação!$O75</f>
        <v>0</v>
      </c>
      <c r="L66" s="380" t="n">
        <f aca="false">+F66*Insumos_Cotação!$O75</f>
        <v>0</v>
      </c>
      <c r="M66" s="381" t="n">
        <f aca="false">+G66*Insumos_Cotação!$O75</f>
        <v>0</v>
      </c>
      <c r="N66" s="381" t="n">
        <f aca="false">+H66*Insumos_Cotação!$O75</f>
        <v>0</v>
      </c>
      <c r="O66" s="382" t="n">
        <f aca="false">+I66*Insumos_Cotação!$O75</f>
        <v>0</v>
      </c>
    </row>
    <row r="67" customFormat="false" ht="12" hidden="false" customHeight="true" outlineLevel="0" collapsed="false">
      <c r="A67" s="360"/>
      <c r="B67" s="374" t="s">
        <v>289</v>
      </c>
      <c r="C67" s="373" t="s">
        <v>217</v>
      </c>
      <c r="D67" s="374" t="n">
        <v>40</v>
      </c>
      <c r="E67" s="375"/>
      <c r="F67" s="375"/>
      <c r="G67" s="376"/>
      <c r="H67" s="377"/>
      <c r="I67" s="378"/>
      <c r="J67" s="379" t="n">
        <f aca="false">+D67*Insumos_Cotação!$O76</f>
        <v>0</v>
      </c>
      <c r="K67" s="380" t="n">
        <f aca="false">+E67*Insumos_Cotação!$O76</f>
        <v>0</v>
      </c>
      <c r="L67" s="380" t="n">
        <f aca="false">+F67*Insumos_Cotação!$O76</f>
        <v>0</v>
      </c>
      <c r="M67" s="381" t="n">
        <f aca="false">+G67*Insumos_Cotação!$O76</f>
        <v>0</v>
      </c>
      <c r="N67" s="381" t="n">
        <f aca="false">+H67*Insumos_Cotação!$O76</f>
        <v>0</v>
      </c>
      <c r="O67" s="382" t="n">
        <f aca="false">+I67*Insumos_Cotação!$O76</f>
        <v>0</v>
      </c>
    </row>
    <row r="68" customFormat="false" ht="12" hidden="false" customHeight="true" outlineLevel="0" collapsed="false">
      <c r="A68" s="360"/>
      <c r="B68" s="383" t="s">
        <v>290</v>
      </c>
      <c r="C68" s="384" t="s">
        <v>217</v>
      </c>
      <c r="D68" s="383" t="n">
        <v>10</v>
      </c>
      <c r="E68" s="385"/>
      <c r="F68" s="385"/>
      <c r="G68" s="386"/>
      <c r="H68" s="387"/>
      <c r="I68" s="388"/>
      <c r="J68" s="389" t="n">
        <f aca="false">+D68*Insumos_Cotação!$O77</f>
        <v>0</v>
      </c>
      <c r="K68" s="390" t="n">
        <f aca="false">+E68*Insumos_Cotação!$O77</f>
        <v>0</v>
      </c>
      <c r="L68" s="390" t="n">
        <f aca="false">+F68*Insumos_Cotação!$O77</f>
        <v>0</v>
      </c>
      <c r="M68" s="391" t="n">
        <f aca="false">+G68*Insumos_Cotação!$O77</f>
        <v>0</v>
      </c>
      <c r="N68" s="391" t="n">
        <f aca="false">+H68*Insumos_Cotação!$O77</f>
        <v>0</v>
      </c>
      <c r="O68" s="392" t="n">
        <f aca="false">+I68*Insumos_Cotação!$O77</f>
        <v>0</v>
      </c>
    </row>
    <row r="69" customFormat="false" ht="12" hidden="false" customHeight="true" outlineLevel="0" collapsed="false">
      <c r="A69" s="393" t="s">
        <v>291</v>
      </c>
      <c r="B69" s="394" t="s">
        <v>292</v>
      </c>
      <c r="C69" s="395" t="s">
        <v>217</v>
      </c>
      <c r="D69" s="396" t="n">
        <v>40</v>
      </c>
      <c r="E69" s="397"/>
      <c r="F69" s="397"/>
      <c r="G69" s="398"/>
      <c r="H69" s="399"/>
      <c r="I69" s="400"/>
      <c r="J69" s="401" t="n">
        <f aca="false">+D69*Insumos_Cotação!$O79</f>
        <v>0</v>
      </c>
      <c r="K69" s="333" t="n">
        <f aca="false">+E69*Insumos_Cotação!$O79</f>
        <v>0</v>
      </c>
      <c r="L69" s="333" t="n">
        <f aca="false">+F69*Insumos_Cotação!$O79</f>
        <v>0</v>
      </c>
      <c r="M69" s="334" t="n">
        <f aca="false">+G69*Insumos_Cotação!$O79</f>
        <v>0</v>
      </c>
      <c r="N69" s="334" t="n">
        <f aca="false">+H69*Insumos_Cotação!$O79</f>
        <v>0</v>
      </c>
      <c r="O69" s="335" t="n">
        <f aca="false">+I69*Insumos_Cotação!$O79</f>
        <v>0</v>
      </c>
    </row>
    <row r="70" customFormat="false" ht="12" hidden="false" customHeight="true" outlineLevel="0" collapsed="false">
      <c r="A70" s="393"/>
      <c r="B70" s="337" t="s">
        <v>293</v>
      </c>
      <c r="C70" s="402" t="s">
        <v>217</v>
      </c>
      <c r="D70" s="347" t="n">
        <v>40</v>
      </c>
      <c r="E70" s="403"/>
      <c r="F70" s="403"/>
      <c r="G70" s="404"/>
      <c r="H70" s="405"/>
      <c r="I70" s="406"/>
      <c r="J70" s="407" t="n">
        <f aca="false">+D70*Insumos_Cotação!$O80</f>
        <v>0</v>
      </c>
      <c r="K70" s="344" t="n">
        <f aca="false">+E70*Insumos_Cotação!$O80</f>
        <v>0</v>
      </c>
      <c r="L70" s="344" t="n">
        <f aca="false">+F70*Insumos_Cotação!$O80</f>
        <v>0</v>
      </c>
      <c r="M70" s="345" t="n">
        <f aca="false">+G70*Insumos_Cotação!$O80</f>
        <v>0</v>
      </c>
      <c r="N70" s="345" t="n">
        <f aca="false">+H70*Insumos_Cotação!$O80</f>
        <v>0</v>
      </c>
      <c r="O70" s="346" t="n">
        <f aca="false">+I70*Insumos_Cotação!$O80</f>
        <v>0</v>
      </c>
    </row>
    <row r="71" customFormat="false" ht="12" hidden="false" customHeight="true" outlineLevel="0" collapsed="false">
      <c r="A71" s="393"/>
      <c r="B71" s="337" t="s">
        <v>294</v>
      </c>
      <c r="C71" s="402" t="s">
        <v>217</v>
      </c>
      <c r="D71" s="347" t="n">
        <v>10</v>
      </c>
      <c r="E71" s="403"/>
      <c r="F71" s="403"/>
      <c r="G71" s="404"/>
      <c r="H71" s="405"/>
      <c r="I71" s="406"/>
      <c r="J71" s="407" t="n">
        <f aca="false">+D71*Insumos_Cotação!$O81</f>
        <v>0</v>
      </c>
      <c r="K71" s="344" t="n">
        <f aca="false">+E71*Insumos_Cotação!$O81</f>
        <v>0</v>
      </c>
      <c r="L71" s="344" t="n">
        <f aca="false">+F71*Insumos_Cotação!$O81</f>
        <v>0</v>
      </c>
      <c r="M71" s="345" t="n">
        <f aca="false">+G71*Insumos_Cotação!$O81</f>
        <v>0</v>
      </c>
      <c r="N71" s="345" t="n">
        <f aca="false">+H71*Insumos_Cotação!$O81</f>
        <v>0</v>
      </c>
      <c r="O71" s="346" t="n">
        <f aca="false">+I71*Insumos_Cotação!$O81</f>
        <v>0</v>
      </c>
    </row>
    <row r="72" customFormat="false" ht="12" hidden="false" customHeight="true" outlineLevel="0" collapsed="false">
      <c r="A72" s="393"/>
      <c r="B72" s="337" t="s">
        <v>295</v>
      </c>
      <c r="C72" s="402" t="s">
        <v>217</v>
      </c>
      <c r="D72" s="347" t="n">
        <v>15</v>
      </c>
      <c r="E72" s="403"/>
      <c r="F72" s="403"/>
      <c r="G72" s="404"/>
      <c r="H72" s="405"/>
      <c r="I72" s="406"/>
      <c r="J72" s="407" t="n">
        <f aca="false">+D72*Insumos_Cotação!$O82</f>
        <v>0</v>
      </c>
      <c r="K72" s="344" t="n">
        <f aca="false">+E72*Insumos_Cotação!$O82</f>
        <v>0</v>
      </c>
      <c r="L72" s="344" t="n">
        <f aca="false">+F72*Insumos_Cotação!$O82</f>
        <v>0</v>
      </c>
      <c r="M72" s="345" t="n">
        <f aca="false">+G72*Insumos_Cotação!$O82</f>
        <v>0</v>
      </c>
      <c r="N72" s="345" t="n">
        <f aca="false">+H72*Insumos_Cotação!$O82</f>
        <v>0</v>
      </c>
      <c r="O72" s="346" t="n">
        <f aca="false">+I72*Insumos_Cotação!$O82</f>
        <v>0</v>
      </c>
    </row>
    <row r="73" customFormat="false" ht="12" hidden="false" customHeight="true" outlineLevel="0" collapsed="false">
      <c r="A73" s="393"/>
      <c r="B73" s="347" t="s">
        <v>296</v>
      </c>
      <c r="C73" s="402" t="s">
        <v>217</v>
      </c>
      <c r="D73" s="347" t="n">
        <v>15</v>
      </c>
      <c r="E73" s="403"/>
      <c r="F73" s="403"/>
      <c r="G73" s="404"/>
      <c r="H73" s="405"/>
      <c r="I73" s="406"/>
      <c r="J73" s="407" t="n">
        <f aca="false">+D73*Insumos_Cotação!$O83</f>
        <v>0</v>
      </c>
      <c r="K73" s="344" t="n">
        <f aca="false">+E73*Insumos_Cotação!$O83</f>
        <v>0</v>
      </c>
      <c r="L73" s="344" t="n">
        <f aca="false">+F73*Insumos_Cotação!$O83</f>
        <v>0</v>
      </c>
      <c r="M73" s="345" t="n">
        <f aca="false">+G73*Insumos_Cotação!$O83</f>
        <v>0</v>
      </c>
      <c r="N73" s="345" t="n">
        <f aca="false">+H73*Insumos_Cotação!$O83</f>
        <v>0</v>
      </c>
      <c r="O73" s="346" t="n">
        <f aca="false">+I73*Insumos_Cotação!$O83</f>
        <v>0</v>
      </c>
    </row>
    <row r="74" customFormat="false" ht="12" hidden="false" customHeight="true" outlineLevel="0" collapsed="false">
      <c r="A74" s="393"/>
      <c r="B74" s="347" t="s">
        <v>297</v>
      </c>
      <c r="C74" s="402" t="s">
        <v>217</v>
      </c>
      <c r="D74" s="347" t="n">
        <v>20</v>
      </c>
      <c r="E74" s="403"/>
      <c r="F74" s="403"/>
      <c r="G74" s="404"/>
      <c r="H74" s="405"/>
      <c r="I74" s="406"/>
      <c r="J74" s="407" t="n">
        <f aca="false">+D74*Insumos_Cotação!$O84</f>
        <v>0</v>
      </c>
      <c r="K74" s="344" t="n">
        <f aca="false">+E74*Insumos_Cotação!$O84</f>
        <v>0</v>
      </c>
      <c r="L74" s="344" t="n">
        <f aca="false">+F74*Insumos_Cotação!$O84</f>
        <v>0</v>
      </c>
      <c r="M74" s="345" t="n">
        <f aca="false">+G74*Insumos_Cotação!$O84</f>
        <v>0</v>
      </c>
      <c r="N74" s="345" t="n">
        <f aca="false">+H74*Insumos_Cotação!$O84</f>
        <v>0</v>
      </c>
      <c r="O74" s="346" t="n">
        <f aca="false">+I74*Insumos_Cotação!$O84</f>
        <v>0</v>
      </c>
    </row>
    <row r="75" customFormat="false" ht="12" hidden="false" customHeight="true" outlineLevel="0" collapsed="false">
      <c r="A75" s="393"/>
      <c r="B75" s="408" t="s">
        <v>298</v>
      </c>
      <c r="C75" s="409" t="s">
        <v>217</v>
      </c>
      <c r="D75" s="408" t="n">
        <v>10</v>
      </c>
      <c r="E75" s="410"/>
      <c r="F75" s="410"/>
      <c r="G75" s="411"/>
      <c r="H75" s="412"/>
      <c r="I75" s="413"/>
      <c r="J75" s="414" t="n">
        <f aca="false">+D75*Insumos_Cotação!$O85</f>
        <v>0</v>
      </c>
      <c r="K75" s="357" t="n">
        <f aca="false">+E75*Insumos_Cotação!$O85</f>
        <v>0</v>
      </c>
      <c r="L75" s="357" t="n">
        <f aca="false">+F75*Insumos_Cotação!$O85</f>
        <v>0</v>
      </c>
      <c r="M75" s="358" t="n">
        <f aca="false">+G75*Insumos_Cotação!$O85</f>
        <v>0</v>
      </c>
      <c r="N75" s="358" t="n">
        <f aca="false">+H75*Insumos_Cotação!$O85</f>
        <v>0</v>
      </c>
      <c r="O75" s="359" t="n">
        <f aca="false">+I75*Insumos_Cotação!$O85</f>
        <v>0</v>
      </c>
    </row>
    <row r="76" customFormat="false" ht="17.1" hidden="false" customHeight="true" outlineLevel="0" collapsed="false">
      <c r="A76" s="360" t="s">
        <v>299</v>
      </c>
      <c r="B76" s="361" t="s">
        <v>300</v>
      </c>
      <c r="C76" s="362" t="s">
        <v>217</v>
      </c>
      <c r="D76" s="415" t="n">
        <v>15</v>
      </c>
      <c r="E76" s="416"/>
      <c r="F76" s="416"/>
      <c r="G76" s="417"/>
      <c r="H76" s="418"/>
      <c r="I76" s="419"/>
      <c r="J76" s="368" t="n">
        <f aca="false">+D76*Insumos_Cotação!$O87</f>
        <v>0</v>
      </c>
      <c r="K76" s="369" t="n">
        <f aca="false">+E76*Insumos_Cotação!$O87</f>
        <v>0</v>
      </c>
      <c r="L76" s="369" t="n">
        <f aca="false">+F76*Insumos_Cotação!$O87</f>
        <v>0</v>
      </c>
      <c r="M76" s="370" t="n">
        <f aca="false">+G76*Insumos_Cotação!$O87</f>
        <v>0</v>
      </c>
      <c r="N76" s="370" t="n">
        <f aca="false">+H76*Insumos_Cotação!$O87</f>
        <v>0</v>
      </c>
      <c r="O76" s="371" t="n">
        <f aca="false">+I76*Insumos_Cotação!$O87</f>
        <v>0</v>
      </c>
    </row>
    <row r="77" customFormat="false" ht="17.1" hidden="false" customHeight="true" outlineLevel="0" collapsed="false">
      <c r="A77" s="360"/>
      <c r="B77" s="372" t="s">
        <v>301</v>
      </c>
      <c r="C77" s="373" t="s">
        <v>217</v>
      </c>
      <c r="D77" s="374" t="n">
        <v>30</v>
      </c>
      <c r="E77" s="375"/>
      <c r="F77" s="375"/>
      <c r="G77" s="376"/>
      <c r="H77" s="377"/>
      <c r="I77" s="378"/>
      <c r="J77" s="379" t="n">
        <f aca="false">+D77*Insumos_Cotação!$O88</f>
        <v>0</v>
      </c>
      <c r="K77" s="380" t="n">
        <f aca="false">+E77*Insumos_Cotação!$O88</f>
        <v>0</v>
      </c>
      <c r="L77" s="380" t="n">
        <f aca="false">+F77*Insumos_Cotação!$O88</f>
        <v>0</v>
      </c>
      <c r="M77" s="381" t="n">
        <f aca="false">+G77*Insumos_Cotação!$O88</f>
        <v>0</v>
      </c>
      <c r="N77" s="381" t="n">
        <f aca="false">+H77*Insumos_Cotação!$O88</f>
        <v>0</v>
      </c>
      <c r="O77" s="382" t="n">
        <f aca="false">+I77*Insumos_Cotação!$O88</f>
        <v>0</v>
      </c>
    </row>
    <row r="78" customFormat="false" ht="17.1" hidden="false" customHeight="true" outlineLevel="0" collapsed="false">
      <c r="A78" s="360"/>
      <c r="B78" s="372" t="s">
        <v>302</v>
      </c>
      <c r="C78" s="373" t="s">
        <v>217</v>
      </c>
      <c r="D78" s="374" t="n">
        <v>30</v>
      </c>
      <c r="E78" s="375"/>
      <c r="F78" s="375"/>
      <c r="G78" s="376"/>
      <c r="H78" s="377"/>
      <c r="I78" s="378"/>
      <c r="J78" s="379" t="n">
        <f aca="false">+D78*Insumos_Cotação!$O89</f>
        <v>0</v>
      </c>
      <c r="K78" s="380" t="n">
        <f aca="false">+E78*Insumos_Cotação!$O89</f>
        <v>0</v>
      </c>
      <c r="L78" s="380" t="n">
        <f aca="false">+F78*Insumos_Cotação!$O89</f>
        <v>0</v>
      </c>
      <c r="M78" s="381" t="n">
        <f aca="false">+G78*Insumos_Cotação!$O89</f>
        <v>0</v>
      </c>
      <c r="N78" s="381" t="n">
        <f aca="false">+H78*Insumos_Cotação!$O89</f>
        <v>0</v>
      </c>
      <c r="O78" s="382" t="n">
        <f aca="false">+I78*Insumos_Cotação!$O89</f>
        <v>0</v>
      </c>
    </row>
    <row r="79" customFormat="false" ht="17.1" hidden="false" customHeight="true" outlineLevel="0" collapsed="false">
      <c r="A79" s="360"/>
      <c r="B79" s="372" t="s">
        <v>303</v>
      </c>
      <c r="C79" s="373" t="s">
        <v>217</v>
      </c>
      <c r="D79" s="374" t="n">
        <v>15</v>
      </c>
      <c r="E79" s="375"/>
      <c r="F79" s="375"/>
      <c r="G79" s="376"/>
      <c r="H79" s="377"/>
      <c r="I79" s="378"/>
      <c r="J79" s="379" t="n">
        <f aca="false">+D79*Insumos_Cotação!$O90</f>
        <v>0</v>
      </c>
      <c r="K79" s="380" t="n">
        <f aca="false">+E79*Insumos_Cotação!$O90</f>
        <v>0</v>
      </c>
      <c r="L79" s="380" t="n">
        <f aca="false">+F79*Insumos_Cotação!$O90</f>
        <v>0</v>
      </c>
      <c r="M79" s="381" t="n">
        <f aca="false">+G79*Insumos_Cotação!$O90</f>
        <v>0</v>
      </c>
      <c r="N79" s="381" t="n">
        <f aca="false">+H79*Insumos_Cotação!$O90</f>
        <v>0</v>
      </c>
      <c r="O79" s="382" t="n">
        <f aca="false">+I79*Insumos_Cotação!$O90</f>
        <v>0</v>
      </c>
    </row>
    <row r="80" customFormat="false" ht="17.1" hidden="false" customHeight="true" outlineLevel="0" collapsed="false">
      <c r="A80" s="360"/>
      <c r="B80" s="420" t="s">
        <v>304</v>
      </c>
      <c r="C80" s="421" t="s">
        <v>217</v>
      </c>
      <c r="D80" s="420" t="n">
        <v>20</v>
      </c>
      <c r="E80" s="422"/>
      <c r="F80" s="422"/>
      <c r="G80" s="423"/>
      <c r="H80" s="424"/>
      <c r="I80" s="425"/>
      <c r="J80" s="426" t="n">
        <f aca="false">+D80*Insumos_Cotação!$O91</f>
        <v>0</v>
      </c>
      <c r="K80" s="390" t="n">
        <f aca="false">+E80*Insumos_Cotação!$O91</f>
        <v>0</v>
      </c>
      <c r="L80" s="390" t="n">
        <f aca="false">+F80*Insumos_Cotação!$O91</f>
        <v>0</v>
      </c>
      <c r="M80" s="391" t="n">
        <f aca="false">+G80*Insumos_Cotação!$O91</f>
        <v>0</v>
      </c>
      <c r="N80" s="391" t="n">
        <f aca="false">+H80*Insumos_Cotação!$O91</f>
        <v>0</v>
      </c>
      <c r="O80" s="392" t="n">
        <f aca="false">+I80*Insumos_Cotação!$O91</f>
        <v>0</v>
      </c>
    </row>
    <row r="81" customFormat="false" ht="12" hidden="false" customHeight="true" outlineLevel="0" collapsed="false">
      <c r="A81" s="393" t="s">
        <v>305</v>
      </c>
      <c r="B81" s="394" t="s">
        <v>306</v>
      </c>
      <c r="C81" s="395" t="s">
        <v>217</v>
      </c>
      <c r="D81" s="427" t="n">
        <v>5</v>
      </c>
      <c r="E81" s="397"/>
      <c r="F81" s="397"/>
      <c r="G81" s="398"/>
      <c r="H81" s="399"/>
      <c r="I81" s="399"/>
      <c r="J81" s="428" t="n">
        <f aca="false">+D81*Insumos_Cotação!$S93</f>
        <v>0</v>
      </c>
      <c r="K81" s="333" t="n">
        <f aca="false">+E81*Insumos_Cotação!$S93</f>
        <v>0</v>
      </c>
      <c r="L81" s="333" t="n">
        <f aca="false">+F81*Insumos_Cotação!$S93</f>
        <v>0</v>
      </c>
      <c r="M81" s="334" t="n">
        <f aca="false">+G81*Insumos_Cotação!$S93</f>
        <v>0</v>
      </c>
      <c r="N81" s="334" t="n">
        <f aca="false">+H81*Insumos_Cotação!$S93</f>
        <v>0</v>
      </c>
      <c r="O81" s="335" t="n">
        <f aca="false">+I81*Insumos_Cotação!$S93</f>
        <v>0</v>
      </c>
    </row>
    <row r="82" customFormat="false" ht="12" hidden="false" customHeight="true" outlineLevel="0" collapsed="false">
      <c r="A82" s="393"/>
      <c r="B82" s="429" t="s">
        <v>307</v>
      </c>
      <c r="C82" s="430" t="s">
        <v>217</v>
      </c>
      <c r="D82" s="431" t="n">
        <v>3</v>
      </c>
      <c r="E82" s="432"/>
      <c r="F82" s="432"/>
      <c r="G82" s="433"/>
      <c r="H82" s="434"/>
      <c r="I82" s="434"/>
      <c r="J82" s="435" t="n">
        <f aca="false">+D82*Insumos_Cotação!$S94</f>
        <v>0</v>
      </c>
      <c r="K82" s="436"/>
      <c r="L82" s="436"/>
      <c r="M82" s="437"/>
      <c r="N82" s="437"/>
      <c r="O82" s="438"/>
    </row>
    <row r="83" customFormat="false" ht="12" hidden="false" customHeight="true" outlineLevel="0" collapsed="false">
      <c r="A83" s="393"/>
      <c r="B83" s="337" t="s">
        <v>308</v>
      </c>
      <c r="C83" s="402" t="s">
        <v>217</v>
      </c>
      <c r="D83" s="439"/>
      <c r="E83" s="403"/>
      <c r="F83" s="403"/>
      <c r="G83" s="404"/>
      <c r="H83" s="405"/>
      <c r="I83" s="405"/>
      <c r="J83" s="435" t="n">
        <f aca="false">+D83*Insumos_Cotação!$S95</f>
        <v>0</v>
      </c>
      <c r="K83" s="344" t="n">
        <f aca="false">+E83*Insumos_Cotação!$S95</f>
        <v>0</v>
      </c>
      <c r="L83" s="344" t="n">
        <f aca="false">+F83*Insumos_Cotação!$S95</f>
        <v>0</v>
      </c>
      <c r="M83" s="345" t="n">
        <f aca="false">+G83*Insumos_Cotação!$S95</f>
        <v>0</v>
      </c>
      <c r="N83" s="345" t="n">
        <f aca="false">+H83*Insumos_Cotação!$S95</f>
        <v>0</v>
      </c>
      <c r="O83" s="346" t="n">
        <f aca="false">+I83*Insumos_Cotação!$S95</f>
        <v>0</v>
      </c>
    </row>
    <row r="84" customFormat="false" ht="12" hidden="false" customHeight="true" outlineLevel="0" collapsed="false">
      <c r="A84" s="393"/>
      <c r="B84" s="337" t="s">
        <v>309</v>
      </c>
      <c r="C84" s="402" t="s">
        <v>217</v>
      </c>
      <c r="D84" s="439" t="n">
        <v>20</v>
      </c>
      <c r="E84" s="403"/>
      <c r="F84" s="403"/>
      <c r="G84" s="404"/>
      <c r="H84" s="405"/>
      <c r="I84" s="405"/>
      <c r="J84" s="435" t="n">
        <f aca="false">+D84*Insumos_Cotação!$S96</f>
        <v>0</v>
      </c>
      <c r="K84" s="344" t="n">
        <f aca="false">+E84*Insumos_Cotação!$S96</f>
        <v>0</v>
      </c>
      <c r="L84" s="344" t="n">
        <f aca="false">+F84*Insumos_Cotação!$S96</f>
        <v>0</v>
      </c>
      <c r="M84" s="345" t="n">
        <f aca="false">+G84*Insumos_Cotação!$S96</f>
        <v>0</v>
      </c>
      <c r="N84" s="345" t="n">
        <f aca="false">+H84*Insumos_Cotação!$S96</f>
        <v>0</v>
      </c>
      <c r="O84" s="346" t="n">
        <f aca="false">+I84*Insumos_Cotação!$S96</f>
        <v>0</v>
      </c>
    </row>
    <row r="85" customFormat="false" ht="12" hidden="false" customHeight="true" outlineLevel="0" collapsed="false">
      <c r="A85" s="393"/>
      <c r="B85" s="337" t="s">
        <v>310</v>
      </c>
      <c r="C85" s="402" t="s">
        <v>217</v>
      </c>
      <c r="D85" s="439"/>
      <c r="E85" s="403"/>
      <c r="F85" s="403"/>
      <c r="G85" s="404"/>
      <c r="H85" s="405"/>
      <c r="I85" s="405"/>
      <c r="J85" s="435" t="n">
        <f aca="false">+D85*Insumos_Cotação!$S97</f>
        <v>0</v>
      </c>
      <c r="K85" s="344" t="n">
        <f aca="false">+E85*Insumos_Cotação!$S97</f>
        <v>0</v>
      </c>
      <c r="L85" s="344" t="n">
        <f aca="false">+F85*Insumos_Cotação!$S97</f>
        <v>0</v>
      </c>
      <c r="M85" s="345" t="n">
        <f aca="false">+G85*Insumos_Cotação!$S97</f>
        <v>0</v>
      </c>
      <c r="N85" s="345" t="n">
        <f aca="false">+H85*Insumos_Cotação!$S97</f>
        <v>0</v>
      </c>
      <c r="O85" s="346" t="n">
        <f aca="false">+I85*Insumos_Cotação!$S97</f>
        <v>0</v>
      </c>
    </row>
    <row r="86" customFormat="false" ht="12" hidden="false" customHeight="true" outlineLevel="0" collapsed="false">
      <c r="A86" s="393"/>
      <c r="B86" s="337" t="s">
        <v>311</v>
      </c>
      <c r="C86" s="402" t="s">
        <v>217</v>
      </c>
      <c r="D86" s="439" t="n">
        <v>10</v>
      </c>
      <c r="E86" s="403"/>
      <c r="F86" s="403"/>
      <c r="G86" s="404"/>
      <c r="H86" s="405"/>
      <c r="I86" s="405"/>
      <c r="J86" s="435" t="n">
        <f aca="false">+D86*Insumos_Cotação!$S98</f>
        <v>0</v>
      </c>
      <c r="K86" s="344"/>
      <c r="L86" s="344"/>
      <c r="M86" s="345"/>
      <c r="N86" s="345"/>
      <c r="O86" s="346"/>
    </row>
    <row r="87" customFormat="false" ht="12" hidden="false" customHeight="true" outlineLevel="0" collapsed="false">
      <c r="A87" s="393"/>
      <c r="B87" s="337" t="s">
        <v>312</v>
      </c>
      <c r="C87" s="402" t="s">
        <v>217</v>
      </c>
      <c r="D87" s="439" t="n">
        <v>3</v>
      </c>
      <c r="E87" s="403"/>
      <c r="F87" s="403"/>
      <c r="G87" s="404"/>
      <c r="H87" s="405"/>
      <c r="I87" s="405"/>
      <c r="J87" s="435" t="n">
        <f aca="false">+D87*Insumos_Cotação!$S99</f>
        <v>0</v>
      </c>
      <c r="K87" s="344"/>
      <c r="L87" s="344"/>
      <c r="M87" s="345"/>
      <c r="N87" s="345"/>
      <c r="O87" s="346"/>
    </row>
    <row r="88" customFormat="false" ht="12" hidden="false" customHeight="true" outlineLevel="0" collapsed="false">
      <c r="A88" s="393"/>
      <c r="B88" s="337" t="s">
        <v>313</v>
      </c>
      <c r="C88" s="402" t="s">
        <v>217</v>
      </c>
      <c r="D88" s="439" t="n">
        <v>16</v>
      </c>
      <c r="E88" s="403"/>
      <c r="F88" s="403"/>
      <c r="G88" s="404"/>
      <c r="H88" s="405"/>
      <c r="I88" s="405"/>
      <c r="J88" s="435" t="n">
        <f aca="false">+D88*Insumos_Cotação!$S100</f>
        <v>0</v>
      </c>
      <c r="K88" s="344"/>
      <c r="L88" s="344"/>
      <c r="M88" s="345"/>
      <c r="N88" s="345"/>
      <c r="O88" s="346"/>
    </row>
    <row r="89" customFormat="false" ht="12" hidden="false" customHeight="true" outlineLevel="0" collapsed="false">
      <c r="A89" s="393"/>
      <c r="B89" s="337" t="s">
        <v>314</v>
      </c>
      <c r="C89" s="402" t="s">
        <v>217</v>
      </c>
      <c r="D89" s="439" t="n">
        <v>2</v>
      </c>
      <c r="E89" s="403"/>
      <c r="F89" s="403"/>
      <c r="G89" s="404"/>
      <c r="H89" s="405"/>
      <c r="I89" s="405"/>
      <c r="J89" s="435" t="n">
        <f aca="false">+D89*Insumos_Cotação!$S101</f>
        <v>0</v>
      </c>
      <c r="K89" s="344"/>
      <c r="L89" s="344"/>
      <c r="M89" s="345"/>
      <c r="N89" s="345"/>
      <c r="O89" s="346"/>
    </row>
    <row r="90" customFormat="false" ht="12" hidden="false" customHeight="true" outlineLevel="0" collapsed="false">
      <c r="A90" s="393"/>
      <c r="B90" s="337" t="s">
        <v>315</v>
      </c>
      <c r="C90" s="402" t="s">
        <v>217</v>
      </c>
      <c r="D90" s="439" t="n">
        <v>20</v>
      </c>
      <c r="E90" s="403"/>
      <c r="F90" s="403"/>
      <c r="G90" s="404"/>
      <c r="H90" s="405"/>
      <c r="I90" s="405"/>
      <c r="J90" s="435" t="n">
        <f aca="false">+D90*Insumos_Cotação!$S102</f>
        <v>0</v>
      </c>
      <c r="K90" s="344" t="n">
        <f aca="false">+E90*Insumos_Cotação!$S102</f>
        <v>0</v>
      </c>
      <c r="L90" s="344" t="n">
        <f aca="false">+F90*Insumos_Cotação!$S102</f>
        <v>0</v>
      </c>
      <c r="M90" s="345" t="n">
        <f aca="false">+G90*Insumos_Cotação!$S102</f>
        <v>0</v>
      </c>
      <c r="N90" s="345" t="n">
        <f aca="false">+H90*Insumos_Cotação!$S102</f>
        <v>0</v>
      </c>
      <c r="O90" s="346" t="n">
        <f aca="false">+I90*Insumos_Cotação!$S102</f>
        <v>0</v>
      </c>
    </row>
    <row r="91" customFormat="false" ht="12" hidden="false" customHeight="true" outlineLevel="0" collapsed="false">
      <c r="A91" s="393"/>
      <c r="B91" s="337" t="s">
        <v>316</v>
      </c>
      <c r="C91" s="402" t="s">
        <v>217</v>
      </c>
      <c r="D91" s="439" t="n">
        <v>10</v>
      </c>
      <c r="E91" s="403"/>
      <c r="F91" s="403"/>
      <c r="G91" s="404"/>
      <c r="H91" s="405"/>
      <c r="I91" s="405"/>
      <c r="J91" s="435" t="n">
        <f aca="false">+D91*Insumos_Cotação!$S103</f>
        <v>0</v>
      </c>
      <c r="K91" s="344" t="n">
        <f aca="false">+E91*Insumos_Cotação!$S103</f>
        <v>0</v>
      </c>
      <c r="L91" s="344" t="n">
        <f aca="false">+F91*Insumos_Cotação!$S103</f>
        <v>0</v>
      </c>
      <c r="M91" s="345" t="n">
        <f aca="false">+G91*Insumos_Cotação!$S103</f>
        <v>0</v>
      </c>
      <c r="N91" s="345" t="n">
        <f aca="false">+H91*Insumos_Cotação!$S103</f>
        <v>0</v>
      </c>
      <c r="O91" s="346" t="n">
        <f aca="false">+I91*Insumos_Cotação!$S103</f>
        <v>0</v>
      </c>
    </row>
    <row r="92" customFormat="false" ht="12" hidden="false" customHeight="true" outlineLevel="0" collapsed="false">
      <c r="A92" s="393"/>
      <c r="B92" s="337" t="s">
        <v>317</v>
      </c>
      <c r="C92" s="402" t="s">
        <v>217</v>
      </c>
      <c r="D92" s="439" t="n">
        <v>2</v>
      </c>
      <c r="E92" s="403"/>
      <c r="F92" s="403"/>
      <c r="G92" s="404"/>
      <c r="H92" s="405"/>
      <c r="I92" s="405"/>
      <c r="J92" s="435" t="n">
        <f aca="false">+D92*Insumos_Cotação!$S104</f>
        <v>0</v>
      </c>
      <c r="K92" s="344" t="n">
        <f aca="false">+E92*Insumos_Cotação!$S104</f>
        <v>0</v>
      </c>
      <c r="L92" s="344" t="n">
        <f aca="false">+F92*Insumos_Cotação!$S104</f>
        <v>0</v>
      </c>
      <c r="M92" s="345" t="n">
        <f aca="false">+G92*Insumos_Cotação!$S104</f>
        <v>0</v>
      </c>
      <c r="N92" s="345" t="n">
        <f aca="false">+H92*Insumos_Cotação!$S104</f>
        <v>0</v>
      </c>
      <c r="O92" s="346" t="n">
        <f aca="false">+I92*Insumos_Cotação!$S104</f>
        <v>0</v>
      </c>
    </row>
    <row r="93" customFormat="false" ht="12" hidden="false" customHeight="true" outlineLevel="0" collapsed="false">
      <c r="A93" s="393"/>
      <c r="B93" s="337" t="s">
        <v>318</v>
      </c>
      <c r="C93" s="402" t="s">
        <v>217</v>
      </c>
      <c r="D93" s="439" t="n">
        <v>1</v>
      </c>
      <c r="E93" s="403"/>
      <c r="F93" s="403"/>
      <c r="G93" s="404"/>
      <c r="H93" s="405"/>
      <c r="I93" s="405"/>
      <c r="J93" s="435" t="n">
        <f aca="false">+D93*Insumos_Cotação!$S105</f>
        <v>0</v>
      </c>
      <c r="K93" s="344" t="n">
        <f aca="false">+E93*Insumos_Cotação!$S105</f>
        <v>0</v>
      </c>
      <c r="L93" s="344" t="n">
        <f aca="false">+F93*Insumos_Cotação!$S105</f>
        <v>0</v>
      </c>
      <c r="M93" s="345" t="n">
        <f aca="false">+G93*Insumos_Cotação!$S105</f>
        <v>0</v>
      </c>
      <c r="N93" s="345" t="n">
        <f aca="false">+H93*Insumos_Cotação!$S105</f>
        <v>0</v>
      </c>
      <c r="O93" s="346" t="n">
        <f aca="false">+I93*Insumos_Cotação!$S105</f>
        <v>0</v>
      </c>
    </row>
    <row r="94" customFormat="false" ht="12" hidden="false" customHeight="true" outlineLevel="0" collapsed="false">
      <c r="A94" s="393"/>
      <c r="B94" s="347" t="s">
        <v>319</v>
      </c>
      <c r="C94" s="402" t="s">
        <v>217</v>
      </c>
      <c r="D94" s="439" t="n">
        <v>6</v>
      </c>
      <c r="E94" s="403"/>
      <c r="F94" s="403"/>
      <c r="G94" s="404"/>
      <c r="H94" s="405"/>
      <c r="I94" s="405"/>
      <c r="J94" s="435" t="n">
        <f aca="false">+D94*Insumos_Cotação!$S106</f>
        <v>0</v>
      </c>
      <c r="K94" s="344" t="n">
        <f aca="false">+E94*Insumos_Cotação!$S106</f>
        <v>0</v>
      </c>
      <c r="L94" s="344" t="n">
        <f aca="false">+F94*Insumos_Cotação!$S106</f>
        <v>0</v>
      </c>
      <c r="M94" s="345" t="n">
        <f aca="false">+G94*Insumos_Cotação!$S106</f>
        <v>0</v>
      </c>
      <c r="N94" s="345" t="n">
        <f aca="false">+H94*Insumos_Cotação!$S106</f>
        <v>0</v>
      </c>
      <c r="O94" s="346" t="n">
        <f aca="false">+I94*Insumos_Cotação!$S106</f>
        <v>0</v>
      </c>
    </row>
    <row r="95" customFormat="false" ht="12" hidden="false" customHeight="true" outlineLevel="0" collapsed="false">
      <c r="A95" s="393"/>
      <c r="B95" s="347" t="s">
        <v>320</v>
      </c>
      <c r="C95" s="402" t="s">
        <v>217</v>
      </c>
      <c r="D95" s="439" t="n">
        <v>1</v>
      </c>
      <c r="E95" s="403"/>
      <c r="F95" s="403"/>
      <c r="G95" s="404"/>
      <c r="H95" s="405"/>
      <c r="I95" s="405"/>
      <c r="J95" s="435" t="n">
        <f aca="false">+D95*Insumos_Cotação!$S107</f>
        <v>0</v>
      </c>
      <c r="K95" s="344" t="n">
        <f aca="false">+E95*Insumos_Cotação!$S107</f>
        <v>0</v>
      </c>
      <c r="L95" s="344" t="n">
        <f aca="false">+F95*Insumos_Cotação!$S107</f>
        <v>0</v>
      </c>
      <c r="M95" s="345" t="n">
        <f aca="false">+G95*Insumos_Cotação!$S107</f>
        <v>0</v>
      </c>
      <c r="N95" s="345" t="n">
        <f aca="false">+H95*Insumos_Cotação!$S107</f>
        <v>0</v>
      </c>
      <c r="O95" s="346" t="n">
        <f aca="false">+I95*Insumos_Cotação!$S107</f>
        <v>0</v>
      </c>
    </row>
    <row r="96" customFormat="false" ht="12" hidden="false" customHeight="true" outlineLevel="0" collapsed="false">
      <c r="A96" s="393"/>
      <c r="B96" s="347" t="s">
        <v>321</v>
      </c>
      <c r="C96" s="402" t="s">
        <v>217</v>
      </c>
      <c r="D96" s="439" t="n">
        <v>4</v>
      </c>
      <c r="E96" s="403"/>
      <c r="F96" s="403"/>
      <c r="G96" s="404"/>
      <c r="H96" s="405"/>
      <c r="I96" s="405"/>
      <c r="J96" s="435" t="n">
        <f aca="false">+D96*Insumos_Cotação!$S108</f>
        <v>0</v>
      </c>
      <c r="K96" s="344"/>
      <c r="L96" s="344"/>
      <c r="M96" s="345"/>
      <c r="N96" s="345"/>
      <c r="O96" s="346"/>
    </row>
    <row r="97" customFormat="false" ht="12" hidden="false" customHeight="true" outlineLevel="0" collapsed="false">
      <c r="A97" s="393"/>
      <c r="B97" s="347" t="s">
        <v>322</v>
      </c>
      <c r="C97" s="402" t="s">
        <v>217</v>
      </c>
      <c r="D97" s="439" t="n">
        <v>4</v>
      </c>
      <c r="E97" s="403"/>
      <c r="F97" s="403"/>
      <c r="G97" s="404"/>
      <c r="H97" s="405"/>
      <c r="I97" s="405"/>
      <c r="J97" s="435" t="n">
        <f aca="false">+D97*Insumos_Cotação!$S109</f>
        <v>0</v>
      </c>
      <c r="K97" s="344" t="n">
        <f aca="false">+E97*Insumos_Cotação!$S109</f>
        <v>0</v>
      </c>
      <c r="L97" s="344" t="n">
        <f aca="false">+F97*Insumos_Cotação!$S109</f>
        <v>0</v>
      </c>
      <c r="M97" s="345" t="n">
        <f aca="false">+G97*Insumos_Cotação!$S109</f>
        <v>0</v>
      </c>
      <c r="N97" s="345" t="n">
        <f aca="false">+H97*Insumos_Cotação!$S109</f>
        <v>0</v>
      </c>
      <c r="O97" s="346" t="n">
        <f aca="false">+I97*Insumos_Cotação!$S109</f>
        <v>0</v>
      </c>
    </row>
    <row r="98" customFormat="false" ht="12" hidden="false" customHeight="true" outlineLevel="0" collapsed="false">
      <c r="A98" s="393"/>
      <c r="B98" s="347" t="s">
        <v>323</v>
      </c>
      <c r="C98" s="402" t="s">
        <v>217</v>
      </c>
      <c r="D98" s="439" t="n">
        <v>16</v>
      </c>
      <c r="E98" s="403"/>
      <c r="F98" s="403"/>
      <c r="G98" s="404"/>
      <c r="H98" s="405"/>
      <c r="I98" s="405"/>
      <c r="J98" s="435" t="n">
        <f aca="false">+D98*Insumos_Cotação!$S110</f>
        <v>0</v>
      </c>
      <c r="K98" s="344" t="n">
        <f aca="false">+E98*Insumos_Cotação!$S110</f>
        <v>0</v>
      </c>
      <c r="L98" s="344" t="n">
        <f aca="false">+F98*Insumos_Cotação!$S110</f>
        <v>0</v>
      </c>
      <c r="M98" s="345" t="n">
        <f aca="false">+G98*Insumos_Cotação!$S110</f>
        <v>0</v>
      </c>
      <c r="N98" s="345" t="n">
        <f aca="false">+H98*Insumos_Cotação!$S110</f>
        <v>0</v>
      </c>
      <c r="O98" s="346" t="n">
        <f aca="false">+I98*Insumos_Cotação!$S110</f>
        <v>0</v>
      </c>
    </row>
    <row r="99" customFormat="false" ht="12" hidden="false" customHeight="true" outlineLevel="0" collapsed="false">
      <c r="A99" s="393"/>
      <c r="B99" s="347" t="s">
        <v>324</v>
      </c>
      <c r="C99" s="402" t="s">
        <v>217</v>
      </c>
      <c r="D99" s="439" t="n">
        <v>16</v>
      </c>
      <c r="E99" s="403"/>
      <c r="F99" s="403"/>
      <c r="G99" s="404"/>
      <c r="H99" s="405"/>
      <c r="I99" s="405"/>
      <c r="J99" s="435" t="n">
        <f aca="false">+D99*Insumos_Cotação!$S111</f>
        <v>0</v>
      </c>
      <c r="K99" s="344" t="n">
        <f aca="false">+E99*Insumos_Cotação!$S111</f>
        <v>0</v>
      </c>
      <c r="L99" s="344" t="n">
        <f aca="false">+F99*Insumos_Cotação!$S111</f>
        <v>0</v>
      </c>
      <c r="M99" s="345" t="n">
        <f aca="false">+G99*Insumos_Cotação!$S111</f>
        <v>0</v>
      </c>
      <c r="N99" s="345" t="n">
        <f aca="false">+H99*Insumos_Cotação!$S111</f>
        <v>0</v>
      </c>
      <c r="O99" s="346" t="n">
        <f aca="false">+I99*Insumos_Cotação!$S111</f>
        <v>0</v>
      </c>
    </row>
    <row r="100" customFormat="false" ht="12" hidden="false" customHeight="true" outlineLevel="0" collapsed="false">
      <c r="A100" s="393"/>
      <c r="B100" s="440" t="s">
        <v>325</v>
      </c>
      <c r="C100" s="402" t="s">
        <v>217</v>
      </c>
      <c r="D100" s="441" t="n">
        <v>10</v>
      </c>
      <c r="E100" s="442"/>
      <c r="F100" s="442"/>
      <c r="G100" s="443"/>
      <c r="H100" s="444"/>
      <c r="I100" s="444"/>
      <c r="J100" s="435" t="n">
        <f aca="false">+D100*Insumos_Cotação!$S112</f>
        <v>0</v>
      </c>
      <c r="K100" s="445"/>
      <c r="L100" s="445"/>
      <c r="M100" s="446"/>
      <c r="N100" s="446"/>
      <c r="O100" s="447"/>
    </row>
    <row r="101" customFormat="false" ht="12" hidden="false" customHeight="true" outlineLevel="0" collapsed="false">
      <c r="A101" s="393"/>
      <c r="B101" s="440" t="s">
        <v>326</v>
      </c>
      <c r="C101" s="402" t="s">
        <v>217</v>
      </c>
      <c r="D101" s="441" t="n">
        <v>10</v>
      </c>
      <c r="E101" s="442"/>
      <c r="F101" s="442"/>
      <c r="G101" s="443"/>
      <c r="H101" s="444"/>
      <c r="I101" s="444"/>
      <c r="J101" s="435" t="n">
        <f aca="false">+D101*Insumos_Cotação!$S113</f>
        <v>0</v>
      </c>
      <c r="K101" s="445"/>
      <c r="L101" s="445"/>
      <c r="M101" s="446"/>
      <c r="N101" s="446"/>
      <c r="O101" s="447"/>
    </row>
    <row r="102" customFormat="false" ht="12" hidden="false" customHeight="true" outlineLevel="0" collapsed="false">
      <c r="A102" s="393"/>
      <c r="B102" s="408" t="s">
        <v>327</v>
      </c>
      <c r="C102" s="409" t="s">
        <v>217</v>
      </c>
      <c r="D102" s="448" t="n">
        <v>40</v>
      </c>
      <c r="E102" s="410"/>
      <c r="F102" s="410"/>
      <c r="G102" s="411"/>
      <c r="H102" s="412"/>
      <c r="I102" s="412"/>
      <c r="J102" s="449" t="n">
        <f aca="false">+D102*Insumos_Cotação!$S114</f>
        <v>0</v>
      </c>
      <c r="K102" s="357" t="n">
        <f aca="false">+E102*Insumos_Cotação!$S114</f>
        <v>0</v>
      </c>
      <c r="L102" s="357" t="n">
        <f aca="false">+F102*Insumos_Cotação!$S114</f>
        <v>0</v>
      </c>
      <c r="M102" s="358" t="n">
        <f aca="false">+G102*Insumos_Cotação!$S114</f>
        <v>0</v>
      </c>
      <c r="N102" s="358" t="n">
        <f aca="false">+H102*Insumos_Cotação!$S114</f>
        <v>0</v>
      </c>
      <c r="O102" s="359" t="n">
        <f aca="false">+I102*Insumos_Cotação!$S114</f>
        <v>0</v>
      </c>
    </row>
    <row r="103" customFormat="false" ht="12" hidden="false" customHeight="true" outlineLevel="0" collapsed="false">
      <c r="J103" s="450" t="n">
        <f aca="false">SUM(J3:J102)</f>
        <v>0</v>
      </c>
      <c r="K103" s="451" t="n">
        <f aca="false">SUM(K3:K102)</f>
        <v>0</v>
      </c>
      <c r="L103" s="451" t="n">
        <f aca="false">SUM(L3:L102)</f>
        <v>0</v>
      </c>
      <c r="M103" s="452" t="n">
        <f aca="false">SUM(M3:M102)</f>
        <v>0</v>
      </c>
      <c r="N103" s="452" t="n">
        <f aca="false">SUM(N3:N102)</f>
        <v>0</v>
      </c>
      <c r="O103" s="453" t="n">
        <f aca="false">SUM(O3:O102)</f>
        <v>0</v>
      </c>
    </row>
    <row r="104" customFormat="false" ht="11.25" hidden="false" customHeight="false" outlineLevel="0" collapsed="false">
      <c r="O104" s="454" t="n">
        <f aca="false">SUM(J103:O103)</f>
        <v>0</v>
      </c>
    </row>
  </sheetData>
  <mergeCells count="9">
    <mergeCell ref="B1:B2"/>
    <mergeCell ref="D1:I1"/>
    <mergeCell ref="J1:O1"/>
    <mergeCell ref="A3:A58"/>
    <mergeCell ref="Q3:Q58"/>
    <mergeCell ref="A59:A68"/>
    <mergeCell ref="A69:A75"/>
    <mergeCell ref="A76:A80"/>
    <mergeCell ref="A81:A102"/>
  </mergeCells>
  <printOptions headings="false" gridLines="false" gridLinesSet="true" horizontalCentered="false" verticalCentered="false"/>
  <pageMargins left="1.18125" right="0.118055555555556" top="0.3" bottom="0.454166666666667" header="0.3" footer="0.315277777777778"/>
  <pageSetup paperSize="9" scale="64"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S117"/>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1.25" zeroHeight="false" outlineLevelRow="0" outlineLevelCol="0"/>
  <cols>
    <col collapsed="false" customWidth="true" hidden="false" outlineLevel="0" max="1" min="1" style="59" width="46.98"/>
    <col collapsed="false" customWidth="true" hidden="false" outlineLevel="0" max="2" min="2" style="59" width="6.75"/>
    <col collapsed="false" customWidth="true" hidden="false" outlineLevel="0" max="3" min="3" style="59" width="7.96"/>
    <col collapsed="false" customWidth="false" hidden="false" outlineLevel="0" max="4" min="4" style="59" width="11.47"/>
    <col collapsed="false" customWidth="true" hidden="false" outlineLevel="0" max="5" min="5" style="59" width="8.78"/>
    <col collapsed="false" customWidth="true" hidden="false" outlineLevel="0" max="6" min="6" style="59" width="9.72"/>
    <col collapsed="false" customWidth="true" hidden="false" outlineLevel="0" max="7" min="7" style="59" width="8.64"/>
    <col collapsed="false" customWidth="true" hidden="false" outlineLevel="0" max="19" min="8" style="59" width="10.12"/>
    <col collapsed="false" customWidth="true" hidden="false" outlineLevel="0" max="1025" min="20" style="59" width="8.64"/>
  </cols>
  <sheetData>
    <row r="1" customFormat="false" ht="11.25" hidden="false" customHeight="false" outlineLevel="0" collapsed="false">
      <c r="A1" s="270" t="s">
        <v>328</v>
      </c>
      <c r="B1" s="455" t="n">
        <f aca="false">+Servente_44_seg_a_sex!C125</f>
        <v>0.03</v>
      </c>
      <c r="C1" s="456"/>
    </row>
    <row r="2" customFormat="false" ht="11.25" hidden="false" customHeight="false" outlineLevel="0" collapsed="false">
      <c r="A2" s="270" t="s">
        <v>329</v>
      </c>
      <c r="B2" s="455" t="n">
        <f aca="false">+Servente_44_seg_a_sex!C126</f>
        <v>0.03</v>
      </c>
      <c r="C2" s="456"/>
    </row>
    <row r="3" customFormat="false" ht="11.25" hidden="false" customHeight="false" outlineLevel="0" collapsed="false">
      <c r="A3" s="270" t="s">
        <v>330</v>
      </c>
      <c r="B3" s="455" t="n">
        <f aca="false">+Servente_44_seg_a_sex!C131</f>
        <v>0.0165</v>
      </c>
      <c r="C3" s="456"/>
    </row>
    <row r="4" customFormat="false" ht="11.25" hidden="false" customHeight="false" outlineLevel="0" collapsed="false">
      <c r="A4" s="270" t="s">
        <v>331</v>
      </c>
      <c r="B4" s="455" t="n">
        <f aca="false">+Servente_44_seg_a_sex!C132</f>
        <v>0.076</v>
      </c>
      <c r="C4" s="456"/>
    </row>
    <row r="5" customFormat="false" ht="11.25" hidden="false" customHeight="false" outlineLevel="0" collapsed="false">
      <c r="A5" s="270" t="s">
        <v>332</v>
      </c>
      <c r="B5" s="455" t="n">
        <f aca="false">+Servente_44_seg_a_sex!C136</f>
        <v>0.05</v>
      </c>
      <c r="C5" s="456"/>
    </row>
    <row r="8" customFormat="false" ht="11.25" hidden="false" customHeight="true" outlineLevel="0" collapsed="false">
      <c r="A8" s="457" t="s">
        <v>333</v>
      </c>
      <c r="B8" s="458"/>
      <c r="C8" s="459"/>
      <c r="D8" s="460"/>
      <c r="E8" s="461"/>
      <c r="F8" s="461"/>
      <c r="G8" s="462"/>
      <c r="H8" s="461"/>
      <c r="I8" s="462"/>
      <c r="J8" s="461"/>
      <c r="K8" s="462"/>
      <c r="L8" s="462"/>
      <c r="M8" s="462"/>
      <c r="N8" s="462"/>
      <c r="O8" s="461"/>
    </row>
    <row r="9" customFormat="false" ht="11.25" hidden="false" customHeight="false" outlineLevel="0" collapsed="false">
      <c r="A9" s="457"/>
      <c r="B9" s="457"/>
      <c r="C9" s="463"/>
      <c r="D9" s="464"/>
      <c r="E9" s="461"/>
      <c r="F9" s="461"/>
      <c r="G9" s="465" t="n">
        <f aca="false">+B1</f>
        <v>0.03</v>
      </c>
      <c r="H9" s="461"/>
      <c r="I9" s="465" t="n">
        <f aca="false">+B2</f>
        <v>0.03</v>
      </c>
      <c r="J9" s="461"/>
      <c r="K9" s="465" t="n">
        <f aca="false">+B3</f>
        <v>0.0165</v>
      </c>
      <c r="L9" s="465" t="n">
        <f aca="false">+B4</f>
        <v>0.076</v>
      </c>
      <c r="M9" s="465" t="n">
        <f aca="false">+B5</f>
        <v>0.05</v>
      </c>
      <c r="N9" s="465" t="n">
        <f aca="false">+M9+L9+K9</f>
        <v>0.1425</v>
      </c>
      <c r="O9" s="461"/>
    </row>
    <row r="10" customFormat="false" ht="56.25" hidden="false" customHeight="false" outlineLevel="0" collapsed="false">
      <c r="A10" s="457"/>
      <c r="B10" s="466" t="s">
        <v>217</v>
      </c>
      <c r="C10" s="458" t="s">
        <v>334</v>
      </c>
      <c r="D10" s="467" t="s">
        <v>335</v>
      </c>
      <c r="E10" s="468" t="s">
        <v>336</v>
      </c>
      <c r="F10" s="468" t="s">
        <v>337</v>
      </c>
      <c r="G10" s="468" t="s">
        <v>328</v>
      </c>
      <c r="H10" s="468" t="s">
        <v>338</v>
      </c>
      <c r="I10" s="468" t="s">
        <v>329</v>
      </c>
      <c r="J10" s="468" t="s">
        <v>338</v>
      </c>
      <c r="K10" s="468" t="s">
        <v>330</v>
      </c>
      <c r="L10" s="468" t="s">
        <v>331</v>
      </c>
      <c r="M10" s="468" t="s">
        <v>332</v>
      </c>
      <c r="N10" s="468" t="s">
        <v>339</v>
      </c>
      <c r="O10" s="468" t="s">
        <v>340</v>
      </c>
    </row>
    <row r="11" customFormat="false" ht="11.25" hidden="false" customHeight="false" outlineLevel="0" collapsed="false">
      <c r="A11" s="469" t="s">
        <v>220</v>
      </c>
      <c r="B11" s="470" t="s">
        <v>221</v>
      </c>
      <c r="C11" s="471"/>
      <c r="D11" s="472"/>
      <c r="E11" s="280" t="n">
        <f aca="false">D11*($K$9+$L$9)*-1</f>
        <v>0</v>
      </c>
      <c r="F11" s="286" t="n">
        <f aca="false">+E11+D11</f>
        <v>0</v>
      </c>
      <c r="G11" s="280" t="n">
        <f aca="false">+F11*$G$9</f>
        <v>0</v>
      </c>
      <c r="H11" s="286" t="n">
        <f aca="false">+F11+G11</f>
        <v>0</v>
      </c>
      <c r="I11" s="280" t="n">
        <f aca="false">+H11*$I$9</f>
        <v>0</v>
      </c>
      <c r="J11" s="286" t="n">
        <f aca="false">+I11+H11</f>
        <v>0</v>
      </c>
      <c r="K11" s="280" t="n">
        <f aca="false">+N11*$K$9</f>
        <v>0</v>
      </c>
      <c r="L11" s="280" t="n">
        <f aca="false">+N11*$L$9</f>
        <v>0</v>
      </c>
      <c r="M11" s="280" t="n">
        <f aca="false">+N11*$M$9</f>
        <v>0</v>
      </c>
      <c r="N11" s="280" t="n">
        <f aca="false">+J11/(1-$N$9)</f>
        <v>0</v>
      </c>
      <c r="O11" s="286" t="n">
        <f aca="false">ROUND(+N11,2)</f>
        <v>0</v>
      </c>
    </row>
    <row r="12" customFormat="false" ht="11.25" hidden="false" customHeight="false" outlineLevel="0" collapsed="false">
      <c r="A12" s="469" t="s">
        <v>223</v>
      </c>
      <c r="B12" s="470" t="s">
        <v>221</v>
      </c>
      <c r="C12" s="473"/>
      <c r="D12" s="474"/>
      <c r="E12" s="280" t="n">
        <f aca="false">D12*($K$9+$L$9)*-1</f>
        <v>0</v>
      </c>
      <c r="F12" s="286" t="n">
        <f aca="false">+E12+D12</f>
        <v>0</v>
      </c>
      <c r="G12" s="280" t="n">
        <f aca="false">+F12*$G$9</f>
        <v>0</v>
      </c>
      <c r="H12" s="286" t="n">
        <f aca="false">+F12+G12</f>
        <v>0</v>
      </c>
      <c r="I12" s="280" t="n">
        <f aca="false">+H12*$I$9</f>
        <v>0</v>
      </c>
      <c r="J12" s="286" t="n">
        <f aca="false">+I12+H12</f>
        <v>0</v>
      </c>
      <c r="K12" s="280" t="n">
        <f aca="false">+N12*$K$9</f>
        <v>0</v>
      </c>
      <c r="L12" s="280" t="n">
        <f aca="false">+N12*$L$9</f>
        <v>0</v>
      </c>
      <c r="M12" s="280" t="n">
        <f aca="false">+N12*$M$9</f>
        <v>0</v>
      </c>
      <c r="N12" s="280" t="n">
        <f aca="false">+J12/(1-$N$9)</f>
        <v>0</v>
      </c>
      <c r="O12" s="286" t="n">
        <f aca="false">ROUND(+N12,2)</f>
        <v>0</v>
      </c>
    </row>
    <row r="13" customFormat="false" ht="11.25" hidden="false" customHeight="false" outlineLevel="0" collapsed="false">
      <c r="A13" s="469" t="s">
        <v>224</v>
      </c>
      <c r="B13" s="470" t="s">
        <v>221</v>
      </c>
      <c r="C13" s="473"/>
      <c r="D13" s="474"/>
      <c r="E13" s="280" t="n">
        <f aca="false">D13*($K$9+$L$9)*-1</f>
        <v>0</v>
      </c>
      <c r="F13" s="286" t="n">
        <f aca="false">+E13+D13</f>
        <v>0</v>
      </c>
      <c r="G13" s="280" t="n">
        <f aca="false">+F13*$G$9</f>
        <v>0</v>
      </c>
      <c r="H13" s="286" t="n">
        <f aca="false">+F13+G13</f>
        <v>0</v>
      </c>
      <c r="I13" s="280" t="n">
        <f aca="false">+H13*$I$9</f>
        <v>0</v>
      </c>
      <c r="J13" s="286" t="n">
        <f aca="false">+I13+H13</f>
        <v>0</v>
      </c>
      <c r="K13" s="280" t="n">
        <f aca="false">+N13*$K$9</f>
        <v>0</v>
      </c>
      <c r="L13" s="280" t="n">
        <f aca="false">+N13*$L$9</f>
        <v>0</v>
      </c>
      <c r="M13" s="280" t="n">
        <f aca="false">+N13*$M$9</f>
        <v>0</v>
      </c>
      <c r="N13" s="280" t="n">
        <f aca="false">+J13/(1-$N$9)</f>
        <v>0</v>
      </c>
      <c r="O13" s="286" t="n">
        <f aca="false">ROUND(+N13,2)</f>
        <v>0</v>
      </c>
    </row>
    <row r="14" customFormat="false" ht="11.25" hidden="false" customHeight="false" outlineLevel="0" collapsed="false">
      <c r="A14" s="252" t="s">
        <v>225</v>
      </c>
      <c r="B14" s="470" t="s">
        <v>217</v>
      </c>
      <c r="C14" s="473"/>
      <c r="D14" s="474"/>
      <c r="E14" s="280" t="n">
        <f aca="false">D14*($K$9+$L$9)*-1</f>
        <v>0</v>
      </c>
      <c r="F14" s="286" t="n">
        <f aca="false">+E14+D14</f>
        <v>0</v>
      </c>
      <c r="G14" s="280" t="n">
        <f aca="false">+F14*$G$9</f>
        <v>0</v>
      </c>
      <c r="H14" s="286" t="n">
        <f aca="false">+F14+G14</f>
        <v>0</v>
      </c>
      <c r="I14" s="280" t="n">
        <f aca="false">+H14*$I$9</f>
        <v>0</v>
      </c>
      <c r="J14" s="286" t="n">
        <f aca="false">+I14+H14</f>
        <v>0</v>
      </c>
      <c r="K14" s="280" t="n">
        <f aca="false">+N14*$K$9</f>
        <v>0</v>
      </c>
      <c r="L14" s="280" t="n">
        <f aca="false">+N14*$L$9</f>
        <v>0</v>
      </c>
      <c r="M14" s="280" t="n">
        <f aca="false">+N14*$M$9</f>
        <v>0</v>
      </c>
      <c r="N14" s="280" t="n">
        <f aca="false">+J14/(1-$N$9)</f>
        <v>0</v>
      </c>
      <c r="O14" s="286" t="n">
        <f aca="false">ROUND(+N14,2)</f>
        <v>0</v>
      </c>
    </row>
    <row r="15" customFormat="false" ht="11.25" hidden="false" customHeight="false" outlineLevel="0" collapsed="false">
      <c r="A15" s="252" t="s">
        <v>226</v>
      </c>
      <c r="B15" s="470" t="s">
        <v>217</v>
      </c>
      <c r="C15" s="473"/>
      <c r="D15" s="474"/>
      <c r="E15" s="280" t="n">
        <f aca="false">D15*($K$9+$L$9)*-1</f>
        <v>0</v>
      </c>
      <c r="F15" s="286" t="n">
        <f aca="false">+E15+D15</f>
        <v>0</v>
      </c>
      <c r="G15" s="280" t="n">
        <f aca="false">+F15*$G$9</f>
        <v>0</v>
      </c>
      <c r="H15" s="286" t="n">
        <f aca="false">+F15+G15</f>
        <v>0</v>
      </c>
      <c r="I15" s="280" t="n">
        <f aca="false">+H15*$I$9</f>
        <v>0</v>
      </c>
      <c r="J15" s="286" t="n">
        <f aca="false">+I15+H15</f>
        <v>0</v>
      </c>
      <c r="K15" s="280" t="n">
        <f aca="false">+N15*$K$9</f>
        <v>0</v>
      </c>
      <c r="L15" s="280" t="n">
        <f aca="false">+N15*$L$9</f>
        <v>0</v>
      </c>
      <c r="M15" s="280" t="n">
        <f aca="false">+N15*$M$9</f>
        <v>0</v>
      </c>
      <c r="N15" s="280" t="n">
        <f aca="false">+J15/(1-$N$9)</f>
        <v>0</v>
      </c>
      <c r="O15" s="286" t="n">
        <f aca="false">ROUND(+N15,2)</f>
        <v>0</v>
      </c>
    </row>
    <row r="16" customFormat="false" ht="11.25" hidden="false" customHeight="false" outlineLevel="0" collapsed="false">
      <c r="A16" s="252" t="s">
        <v>227</v>
      </c>
      <c r="B16" s="470" t="s">
        <v>217</v>
      </c>
      <c r="C16" s="473"/>
      <c r="D16" s="474"/>
      <c r="E16" s="280" t="n">
        <f aca="false">D16*($K$9+$L$9)*-1</f>
        <v>0</v>
      </c>
      <c r="F16" s="286" t="n">
        <f aca="false">+E16+D16</f>
        <v>0</v>
      </c>
      <c r="G16" s="280" t="n">
        <f aca="false">+F16*$G$9</f>
        <v>0</v>
      </c>
      <c r="H16" s="286" t="n">
        <f aca="false">+F16+G16</f>
        <v>0</v>
      </c>
      <c r="I16" s="280" t="n">
        <f aca="false">+H16*$I$9</f>
        <v>0</v>
      </c>
      <c r="J16" s="286" t="n">
        <f aca="false">+I16+H16</f>
        <v>0</v>
      </c>
      <c r="K16" s="280" t="n">
        <f aca="false">+N16*$K$9</f>
        <v>0</v>
      </c>
      <c r="L16" s="280" t="n">
        <f aca="false">+N16*$L$9</f>
        <v>0</v>
      </c>
      <c r="M16" s="280" t="n">
        <f aca="false">+N16*$M$9</f>
        <v>0</v>
      </c>
      <c r="N16" s="280" t="n">
        <f aca="false">+J16/(1-$N$9)</f>
        <v>0</v>
      </c>
      <c r="O16" s="286" t="n">
        <f aca="false">ROUND(+N16,2)</f>
        <v>0</v>
      </c>
    </row>
    <row r="17" customFormat="false" ht="11.25" hidden="false" customHeight="false" outlineLevel="0" collapsed="false">
      <c r="A17" s="252" t="s">
        <v>228</v>
      </c>
      <c r="B17" s="470" t="s">
        <v>217</v>
      </c>
      <c r="C17" s="473"/>
      <c r="D17" s="474"/>
      <c r="E17" s="280" t="n">
        <f aca="false">D17*($K$9+$L$9)*-1</f>
        <v>0</v>
      </c>
      <c r="F17" s="286" t="n">
        <f aca="false">+E17+D17</f>
        <v>0</v>
      </c>
      <c r="G17" s="280" t="n">
        <f aca="false">+F17*$G$9</f>
        <v>0</v>
      </c>
      <c r="H17" s="286" t="n">
        <f aca="false">+F17+G17</f>
        <v>0</v>
      </c>
      <c r="I17" s="280" t="n">
        <f aca="false">+H17*$I$9</f>
        <v>0</v>
      </c>
      <c r="J17" s="286" t="n">
        <f aca="false">+I17+H17</f>
        <v>0</v>
      </c>
      <c r="K17" s="280" t="n">
        <f aca="false">+N17*$K$9</f>
        <v>0</v>
      </c>
      <c r="L17" s="280" t="n">
        <f aca="false">+N17*$L$9</f>
        <v>0</v>
      </c>
      <c r="M17" s="280" t="n">
        <f aca="false">+N17*$M$9</f>
        <v>0</v>
      </c>
      <c r="N17" s="280" t="n">
        <f aca="false">+J17/(1-$N$9)</f>
        <v>0</v>
      </c>
      <c r="O17" s="286" t="n">
        <f aca="false">ROUND(+N17,2)</f>
        <v>0</v>
      </c>
    </row>
    <row r="18" customFormat="false" ht="11.25" hidden="false" customHeight="false" outlineLevel="0" collapsed="false">
      <c r="A18" s="252" t="s">
        <v>229</v>
      </c>
      <c r="B18" s="470" t="s">
        <v>217</v>
      </c>
      <c r="C18" s="473"/>
      <c r="D18" s="474"/>
      <c r="E18" s="280" t="n">
        <f aca="false">D18*($K$9+$L$9)*-1</f>
        <v>0</v>
      </c>
      <c r="F18" s="286" t="n">
        <f aca="false">+E18+D18</f>
        <v>0</v>
      </c>
      <c r="G18" s="280" t="n">
        <f aca="false">+F18*$G$9</f>
        <v>0</v>
      </c>
      <c r="H18" s="286" t="n">
        <f aca="false">+F18+G18</f>
        <v>0</v>
      </c>
      <c r="I18" s="280" t="n">
        <f aca="false">+H18*$I$9</f>
        <v>0</v>
      </c>
      <c r="J18" s="286" t="n">
        <f aca="false">+I18+H18</f>
        <v>0</v>
      </c>
      <c r="K18" s="280" t="n">
        <f aca="false">+N18*$K$9</f>
        <v>0</v>
      </c>
      <c r="L18" s="280" t="n">
        <f aca="false">+N18*$L$9</f>
        <v>0</v>
      </c>
      <c r="M18" s="280" t="n">
        <f aca="false">+N18*$M$9</f>
        <v>0</v>
      </c>
      <c r="N18" s="280" t="n">
        <f aca="false">+J18/(1-$N$9)</f>
        <v>0</v>
      </c>
      <c r="O18" s="286" t="n">
        <f aca="false">ROUND(+N18,2)</f>
        <v>0</v>
      </c>
    </row>
    <row r="19" customFormat="false" ht="11.25" hidden="false" customHeight="false" outlineLevel="0" collapsed="false">
      <c r="A19" s="252" t="s">
        <v>230</v>
      </c>
      <c r="B19" s="470" t="s">
        <v>217</v>
      </c>
      <c r="C19" s="473"/>
      <c r="D19" s="474"/>
      <c r="E19" s="280" t="n">
        <f aca="false">D19*($K$9+$L$9)*-1</f>
        <v>0</v>
      </c>
      <c r="F19" s="286" t="n">
        <f aca="false">+E19+D19</f>
        <v>0</v>
      </c>
      <c r="G19" s="280" t="n">
        <f aca="false">+F19*$G$9</f>
        <v>0</v>
      </c>
      <c r="H19" s="286" t="n">
        <f aca="false">+F19+G19</f>
        <v>0</v>
      </c>
      <c r="I19" s="280" t="n">
        <f aca="false">+H19*$I$9</f>
        <v>0</v>
      </c>
      <c r="J19" s="286" t="n">
        <f aca="false">+I19+H19</f>
        <v>0</v>
      </c>
      <c r="K19" s="280" t="n">
        <f aca="false">+N19*$K$9</f>
        <v>0</v>
      </c>
      <c r="L19" s="280" t="n">
        <f aca="false">+N19*$L$9</f>
        <v>0</v>
      </c>
      <c r="M19" s="280" t="n">
        <f aca="false">+N19*$M$9</f>
        <v>0</v>
      </c>
      <c r="N19" s="280" t="n">
        <f aca="false">+J19/(1-$N$9)</f>
        <v>0</v>
      </c>
      <c r="O19" s="286" t="n">
        <f aca="false">ROUND(+N19,2)</f>
        <v>0</v>
      </c>
    </row>
    <row r="20" customFormat="false" ht="22.5" hidden="false" customHeight="false" outlineLevel="0" collapsed="false">
      <c r="A20" s="239" t="s">
        <v>231</v>
      </c>
      <c r="B20" s="470" t="s">
        <v>217</v>
      </c>
      <c r="C20" s="473"/>
      <c r="D20" s="474"/>
      <c r="E20" s="280" t="n">
        <f aca="false">D20*($K$9+$L$9)*-1</f>
        <v>0</v>
      </c>
      <c r="F20" s="286" t="n">
        <f aca="false">+E20+D20</f>
        <v>0</v>
      </c>
      <c r="G20" s="280" t="n">
        <f aca="false">+F20*$G$9</f>
        <v>0</v>
      </c>
      <c r="H20" s="286" t="n">
        <f aca="false">+F20+G20</f>
        <v>0</v>
      </c>
      <c r="I20" s="280" t="n">
        <f aca="false">+H20*$I$9</f>
        <v>0</v>
      </c>
      <c r="J20" s="286" t="n">
        <f aca="false">+I20+H20</f>
        <v>0</v>
      </c>
      <c r="K20" s="280" t="n">
        <f aca="false">+N20*$K$9</f>
        <v>0</v>
      </c>
      <c r="L20" s="280" t="n">
        <f aca="false">+N20*$L$9</f>
        <v>0</v>
      </c>
      <c r="M20" s="280" t="n">
        <f aca="false">+N20*$M$9</f>
        <v>0</v>
      </c>
      <c r="N20" s="280" t="n">
        <f aca="false">+J20/(1-$N$9)</f>
        <v>0</v>
      </c>
      <c r="O20" s="286" t="n">
        <f aca="false">ROUND(+N20,2)</f>
        <v>0</v>
      </c>
    </row>
    <row r="21" customFormat="false" ht="11.25" hidden="false" customHeight="false" outlineLevel="0" collapsed="false">
      <c r="A21" s="252" t="s">
        <v>232</v>
      </c>
      <c r="B21" s="470" t="s">
        <v>217</v>
      </c>
      <c r="C21" s="473"/>
      <c r="D21" s="474"/>
      <c r="E21" s="280" t="n">
        <f aca="false">D21*($K$9+$L$9)*-1</f>
        <v>0</v>
      </c>
      <c r="F21" s="286" t="n">
        <f aca="false">+E21+D21</f>
        <v>0</v>
      </c>
      <c r="G21" s="280" t="n">
        <f aca="false">+F21*$G$9</f>
        <v>0</v>
      </c>
      <c r="H21" s="286" t="n">
        <f aca="false">+F21+G21</f>
        <v>0</v>
      </c>
      <c r="I21" s="280" t="n">
        <f aca="false">+H21*$I$9</f>
        <v>0</v>
      </c>
      <c r="J21" s="286" t="n">
        <f aca="false">+I21+H21</f>
        <v>0</v>
      </c>
      <c r="K21" s="280" t="n">
        <f aca="false">+N21*$K$9</f>
        <v>0</v>
      </c>
      <c r="L21" s="280" t="n">
        <f aca="false">+N21*$L$9</f>
        <v>0</v>
      </c>
      <c r="M21" s="280" t="n">
        <f aca="false">+N21*$M$9</f>
        <v>0</v>
      </c>
      <c r="N21" s="280" t="n">
        <f aca="false">+J21/(1-$N$9)</f>
        <v>0</v>
      </c>
      <c r="O21" s="286" t="n">
        <f aca="false">ROUND(+N21,2)</f>
        <v>0</v>
      </c>
    </row>
    <row r="22" customFormat="false" ht="11.25" hidden="false" customHeight="false" outlineLevel="0" collapsed="false">
      <c r="A22" s="252" t="s">
        <v>233</v>
      </c>
      <c r="B22" s="470" t="s">
        <v>217</v>
      </c>
      <c r="C22" s="473"/>
      <c r="D22" s="474"/>
      <c r="E22" s="280" t="n">
        <f aca="false">D22*($K$9+$L$9)*-1</f>
        <v>0</v>
      </c>
      <c r="F22" s="286" t="n">
        <f aca="false">+E22+D22</f>
        <v>0</v>
      </c>
      <c r="G22" s="280" t="n">
        <f aca="false">+F22*$G$9</f>
        <v>0</v>
      </c>
      <c r="H22" s="286" t="n">
        <f aca="false">+F22+G22</f>
        <v>0</v>
      </c>
      <c r="I22" s="280" t="n">
        <f aca="false">+H22*$I$9</f>
        <v>0</v>
      </c>
      <c r="J22" s="286" t="n">
        <f aca="false">+I22+H22</f>
        <v>0</v>
      </c>
      <c r="K22" s="280" t="n">
        <f aca="false">+N22*$K$9</f>
        <v>0</v>
      </c>
      <c r="L22" s="280" t="n">
        <f aca="false">+N22*$L$9</f>
        <v>0</v>
      </c>
      <c r="M22" s="280" t="n">
        <f aca="false">+N22*$M$9</f>
        <v>0</v>
      </c>
      <c r="N22" s="280" t="n">
        <f aca="false">+J22/(1-$N$9)</f>
        <v>0</v>
      </c>
      <c r="O22" s="286" t="n">
        <f aca="false">ROUND(+N22,2)</f>
        <v>0</v>
      </c>
    </row>
    <row r="23" customFormat="false" ht="11.25" hidden="false" customHeight="false" outlineLevel="0" collapsed="false">
      <c r="A23" s="252" t="s">
        <v>234</v>
      </c>
      <c r="B23" s="470" t="s">
        <v>217</v>
      </c>
      <c r="C23" s="473"/>
      <c r="D23" s="474"/>
      <c r="E23" s="280" t="n">
        <f aca="false">D23*($K$9+$L$9)*-1</f>
        <v>0</v>
      </c>
      <c r="F23" s="286" t="n">
        <f aca="false">+E23+D23</f>
        <v>0</v>
      </c>
      <c r="G23" s="280" t="n">
        <f aca="false">+F23*$G$9</f>
        <v>0</v>
      </c>
      <c r="H23" s="286" t="n">
        <f aca="false">+F23+G23</f>
        <v>0</v>
      </c>
      <c r="I23" s="280" t="n">
        <f aca="false">+H23*$I$9</f>
        <v>0</v>
      </c>
      <c r="J23" s="286" t="n">
        <f aca="false">+I23+H23</f>
        <v>0</v>
      </c>
      <c r="K23" s="280" t="n">
        <f aca="false">+N23*$K$9</f>
        <v>0</v>
      </c>
      <c r="L23" s="280" t="n">
        <f aca="false">+N23*$L$9</f>
        <v>0</v>
      </c>
      <c r="M23" s="280" t="n">
        <f aca="false">+N23*$M$9</f>
        <v>0</v>
      </c>
      <c r="N23" s="280" t="n">
        <f aca="false">+J23/(1-$N$9)</f>
        <v>0</v>
      </c>
      <c r="O23" s="286" t="n">
        <f aca="false">ROUND(+N23,2)</f>
        <v>0</v>
      </c>
    </row>
    <row r="24" customFormat="false" ht="11.25" hidden="false" customHeight="false" outlineLevel="0" collapsed="false">
      <c r="A24" s="252" t="s">
        <v>235</v>
      </c>
      <c r="B24" s="470" t="s">
        <v>217</v>
      </c>
      <c r="C24" s="473"/>
      <c r="D24" s="474"/>
      <c r="E24" s="280" t="n">
        <f aca="false">D24*($K$9+$L$9)*-1</f>
        <v>0</v>
      </c>
      <c r="F24" s="286" t="n">
        <f aca="false">+E24+D24</f>
        <v>0</v>
      </c>
      <c r="G24" s="280" t="n">
        <f aca="false">+F24*$G$9</f>
        <v>0</v>
      </c>
      <c r="H24" s="286" t="n">
        <f aca="false">+F24+G24</f>
        <v>0</v>
      </c>
      <c r="I24" s="280" t="n">
        <f aca="false">+H24*$I$9</f>
        <v>0</v>
      </c>
      <c r="J24" s="286" t="n">
        <f aca="false">+I24+H24</f>
        <v>0</v>
      </c>
      <c r="K24" s="280" t="n">
        <f aca="false">+N24*$K$9</f>
        <v>0</v>
      </c>
      <c r="L24" s="280" t="n">
        <f aca="false">+N24*$L$9</f>
        <v>0</v>
      </c>
      <c r="M24" s="280" t="n">
        <f aca="false">+N24*$M$9</f>
        <v>0</v>
      </c>
      <c r="N24" s="280" t="n">
        <f aca="false">+J24/(1-$N$9)</f>
        <v>0</v>
      </c>
      <c r="O24" s="286" t="n">
        <f aca="false">ROUND(+N24,2)</f>
        <v>0</v>
      </c>
    </row>
    <row r="25" customFormat="false" ht="11.25" hidden="false" customHeight="false" outlineLevel="0" collapsed="false">
      <c r="A25" s="252" t="s">
        <v>341</v>
      </c>
      <c r="B25" s="470" t="s">
        <v>217</v>
      </c>
      <c r="C25" s="473"/>
      <c r="D25" s="474"/>
      <c r="E25" s="280" t="n">
        <f aca="false">D25*($K$9+$L$9)*-1</f>
        <v>0</v>
      </c>
      <c r="F25" s="286" t="n">
        <f aca="false">+E25+D25</f>
        <v>0</v>
      </c>
      <c r="G25" s="280" t="n">
        <f aca="false">+F25*$G$9</f>
        <v>0</v>
      </c>
      <c r="H25" s="286" t="n">
        <f aca="false">+F25+G25</f>
        <v>0</v>
      </c>
      <c r="I25" s="280" t="n">
        <f aca="false">+H25*$I$9</f>
        <v>0</v>
      </c>
      <c r="J25" s="286" t="n">
        <f aca="false">+I25+H25</f>
        <v>0</v>
      </c>
      <c r="K25" s="280" t="n">
        <f aca="false">+N25*$K$9</f>
        <v>0</v>
      </c>
      <c r="L25" s="280" t="n">
        <f aca="false">+N25*$L$9</f>
        <v>0</v>
      </c>
      <c r="M25" s="280" t="n">
        <f aca="false">+N25*$M$9</f>
        <v>0</v>
      </c>
      <c r="N25" s="280" t="n">
        <f aca="false">+J25/(1-$N$9)</f>
        <v>0</v>
      </c>
      <c r="O25" s="286" t="n">
        <f aca="false">ROUND(+N25,2)</f>
        <v>0</v>
      </c>
    </row>
    <row r="26" customFormat="false" ht="11.25" hidden="false" customHeight="false" outlineLevel="0" collapsed="false">
      <c r="A26" s="252" t="s">
        <v>237</v>
      </c>
      <c r="B26" s="470" t="s">
        <v>217</v>
      </c>
      <c r="C26" s="473"/>
      <c r="D26" s="474"/>
      <c r="E26" s="280" t="n">
        <f aca="false">D26*($K$9+$L$9)*-1</f>
        <v>0</v>
      </c>
      <c r="F26" s="286" t="n">
        <f aca="false">+E26+D26</f>
        <v>0</v>
      </c>
      <c r="G26" s="280" t="n">
        <f aca="false">+F26*$G$9</f>
        <v>0</v>
      </c>
      <c r="H26" s="286" t="n">
        <f aca="false">+F26+G26</f>
        <v>0</v>
      </c>
      <c r="I26" s="280" t="n">
        <f aca="false">+H26*$I$9</f>
        <v>0</v>
      </c>
      <c r="J26" s="286" t="n">
        <f aca="false">+I26+H26</f>
        <v>0</v>
      </c>
      <c r="K26" s="280" t="n">
        <f aca="false">+N26*$K$9</f>
        <v>0</v>
      </c>
      <c r="L26" s="280" t="n">
        <f aca="false">+N26*$L$9</f>
        <v>0</v>
      </c>
      <c r="M26" s="280" t="n">
        <f aca="false">+N26*$M$9</f>
        <v>0</v>
      </c>
      <c r="N26" s="280" t="n">
        <f aca="false">+J26/(1-$N$9)</f>
        <v>0</v>
      </c>
      <c r="O26" s="286" t="n">
        <f aca="false">ROUND(+N26,2)</f>
        <v>0</v>
      </c>
    </row>
    <row r="27" customFormat="false" ht="11.25" hidden="false" customHeight="false" outlineLevel="0" collapsed="false">
      <c r="A27" s="252" t="s">
        <v>238</v>
      </c>
      <c r="B27" s="470" t="s">
        <v>217</v>
      </c>
      <c r="C27" s="473"/>
      <c r="D27" s="474"/>
      <c r="E27" s="280" t="n">
        <f aca="false">D27*($K$9+$L$9)*-1</f>
        <v>0</v>
      </c>
      <c r="F27" s="286" t="n">
        <f aca="false">+E27+D27</f>
        <v>0</v>
      </c>
      <c r="G27" s="280" t="n">
        <f aca="false">+F27*$G$9</f>
        <v>0</v>
      </c>
      <c r="H27" s="286" t="n">
        <f aca="false">+F27+G27</f>
        <v>0</v>
      </c>
      <c r="I27" s="280" t="n">
        <f aca="false">+H27*$I$9</f>
        <v>0</v>
      </c>
      <c r="J27" s="286" t="n">
        <f aca="false">+I27+H27</f>
        <v>0</v>
      </c>
      <c r="K27" s="280" t="n">
        <f aca="false">+N27*$K$9</f>
        <v>0</v>
      </c>
      <c r="L27" s="280" t="n">
        <f aca="false">+N27*$L$9</f>
        <v>0</v>
      </c>
      <c r="M27" s="280" t="n">
        <f aca="false">+N27*$M$9</f>
        <v>0</v>
      </c>
      <c r="N27" s="280" t="n">
        <f aca="false">+J27/(1-$N$9)</f>
        <v>0</v>
      </c>
      <c r="O27" s="286" t="n">
        <f aca="false">ROUND(+N27,2)</f>
        <v>0</v>
      </c>
    </row>
    <row r="28" customFormat="false" ht="11.25" hidden="false" customHeight="false" outlineLevel="0" collapsed="false">
      <c r="A28" s="252" t="s">
        <v>239</v>
      </c>
      <c r="B28" s="470" t="s">
        <v>217</v>
      </c>
      <c r="C28" s="473"/>
      <c r="D28" s="474"/>
      <c r="E28" s="280" t="n">
        <f aca="false">D28*($K$9+$L$9)*-1</f>
        <v>0</v>
      </c>
      <c r="F28" s="286" t="n">
        <f aca="false">+E28+D28</f>
        <v>0</v>
      </c>
      <c r="G28" s="280" t="n">
        <f aca="false">+F28*$G$9</f>
        <v>0</v>
      </c>
      <c r="H28" s="286" t="n">
        <f aca="false">+F28+G28</f>
        <v>0</v>
      </c>
      <c r="I28" s="280" t="n">
        <f aca="false">+H28*$I$9</f>
        <v>0</v>
      </c>
      <c r="J28" s="286" t="n">
        <f aca="false">+I28+H28</f>
        <v>0</v>
      </c>
      <c r="K28" s="280" t="n">
        <f aca="false">+N28*$K$9</f>
        <v>0</v>
      </c>
      <c r="L28" s="280" t="n">
        <f aca="false">+N28*$L$9</f>
        <v>0</v>
      </c>
      <c r="M28" s="280" t="n">
        <f aca="false">+N28*$M$9</f>
        <v>0</v>
      </c>
      <c r="N28" s="280" t="n">
        <f aca="false">+J28/(1-$N$9)</f>
        <v>0</v>
      </c>
      <c r="O28" s="286" t="n">
        <f aca="false">ROUND(+N28,2)</f>
        <v>0</v>
      </c>
    </row>
    <row r="29" customFormat="false" ht="11.25" hidden="false" customHeight="false" outlineLevel="0" collapsed="false">
      <c r="A29" s="252" t="s">
        <v>240</v>
      </c>
      <c r="B29" s="470" t="s">
        <v>217</v>
      </c>
      <c r="C29" s="473"/>
      <c r="D29" s="474"/>
      <c r="E29" s="280" t="n">
        <f aca="false">D29*($K$9+$L$9)*-1</f>
        <v>0</v>
      </c>
      <c r="F29" s="286" t="n">
        <f aca="false">+E29+D29</f>
        <v>0</v>
      </c>
      <c r="G29" s="280" t="n">
        <f aca="false">+F29*$G$9</f>
        <v>0</v>
      </c>
      <c r="H29" s="286" t="n">
        <f aca="false">+F29+G29</f>
        <v>0</v>
      </c>
      <c r="I29" s="280" t="n">
        <f aca="false">+H29*$I$9</f>
        <v>0</v>
      </c>
      <c r="J29" s="286" t="n">
        <f aca="false">+I29+H29</f>
        <v>0</v>
      </c>
      <c r="K29" s="280" t="n">
        <f aca="false">+N29*$K$9</f>
        <v>0</v>
      </c>
      <c r="L29" s="280" t="n">
        <f aca="false">+N29*$L$9</f>
        <v>0</v>
      </c>
      <c r="M29" s="280" t="n">
        <f aca="false">+N29*$M$9</f>
        <v>0</v>
      </c>
      <c r="N29" s="280" t="n">
        <f aca="false">+J29/(1-$N$9)</f>
        <v>0</v>
      </c>
      <c r="O29" s="286" t="n">
        <f aca="false">ROUND(+N29,2)</f>
        <v>0</v>
      </c>
    </row>
    <row r="30" customFormat="false" ht="11.25" hidden="false" customHeight="false" outlineLevel="0" collapsed="false">
      <c r="A30" s="469" t="s">
        <v>241</v>
      </c>
      <c r="B30" s="470" t="s">
        <v>217</v>
      </c>
      <c r="C30" s="473"/>
      <c r="D30" s="474"/>
      <c r="E30" s="280" t="n">
        <f aca="false">D30*($K$9+$L$9)*-1</f>
        <v>0</v>
      </c>
      <c r="F30" s="286" t="n">
        <f aca="false">+E30+D30</f>
        <v>0</v>
      </c>
      <c r="G30" s="280" t="n">
        <f aca="false">+F30*$G$9</f>
        <v>0</v>
      </c>
      <c r="H30" s="286" t="n">
        <f aca="false">+F30+G30</f>
        <v>0</v>
      </c>
      <c r="I30" s="280" t="n">
        <f aca="false">+H30*$I$9</f>
        <v>0</v>
      </c>
      <c r="J30" s="286" t="n">
        <f aca="false">+I30+H30</f>
        <v>0</v>
      </c>
      <c r="K30" s="280" t="n">
        <f aca="false">+N30*$K$9</f>
        <v>0</v>
      </c>
      <c r="L30" s="280" t="n">
        <f aca="false">+N30*$L$9</f>
        <v>0</v>
      </c>
      <c r="M30" s="280" t="n">
        <f aca="false">+N30*$M$9</f>
        <v>0</v>
      </c>
      <c r="N30" s="280" t="n">
        <f aca="false">+J30/(1-$N$9)</f>
        <v>0</v>
      </c>
      <c r="O30" s="286" t="n">
        <f aca="false">ROUND(+N30,2)</f>
        <v>0</v>
      </c>
    </row>
    <row r="31" customFormat="false" ht="11.25" hidden="false" customHeight="false" outlineLevel="0" collapsed="false">
      <c r="A31" s="469" t="s">
        <v>242</v>
      </c>
      <c r="B31" s="470" t="s">
        <v>217</v>
      </c>
      <c r="C31" s="473"/>
      <c r="D31" s="474"/>
      <c r="E31" s="280" t="n">
        <f aca="false">D31*($K$9+$L$9)*-1</f>
        <v>0</v>
      </c>
      <c r="F31" s="286" t="n">
        <f aca="false">+E31+D31</f>
        <v>0</v>
      </c>
      <c r="G31" s="280" t="n">
        <f aca="false">+F31*$G$9</f>
        <v>0</v>
      </c>
      <c r="H31" s="286" t="n">
        <f aca="false">+F31+G31</f>
        <v>0</v>
      </c>
      <c r="I31" s="280" t="n">
        <f aca="false">+H31*$I$9</f>
        <v>0</v>
      </c>
      <c r="J31" s="286" t="n">
        <f aca="false">+I31+H31</f>
        <v>0</v>
      </c>
      <c r="K31" s="280" t="n">
        <f aca="false">+N31*$K$9</f>
        <v>0</v>
      </c>
      <c r="L31" s="280" t="n">
        <f aca="false">+N31*$L$9</f>
        <v>0</v>
      </c>
      <c r="M31" s="280" t="n">
        <f aca="false">+N31*$M$9</f>
        <v>0</v>
      </c>
      <c r="N31" s="280" t="n">
        <f aca="false">+J31/(1-$N$9)</f>
        <v>0</v>
      </c>
      <c r="O31" s="286" t="n">
        <f aca="false">ROUND(+N31,2)</f>
        <v>0</v>
      </c>
    </row>
    <row r="32" customFormat="false" ht="11.25" hidden="false" customHeight="false" outlineLevel="0" collapsed="false">
      <c r="A32" s="469" t="s">
        <v>243</v>
      </c>
      <c r="B32" s="470" t="s">
        <v>217</v>
      </c>
      <c r="C32" s="473"/>
      <c r="D32" s="474"/>
      <c r="E32" s="280" t="n">
        <f aca="false">D32*($K$9+$L$9)*-1</f>
        <v>0</v>
      </c>
      <c r="F32" s="286" t="n">
        <f aca="false">+E32+D32</f>
        <v>0</v>
      </c>
      <c r="G32" s="280" t="n">
        <f aca="false">+F32*$G$9</f>
        <v>0</v>
      </c>
      <c r="H32" s="286" t="n">
        <f aca="false">+F32+G32</f>
        <v>0</v>
      </c>
      <c r="I32" s="280" t="n">
        <f aca="false">+H32*$I$9</f>
        <v>0</v>
      </c>
      <c r="J32" s="286" t="n">
        <f aca="false">+I32+H32</f>
        <v>0</v>
      </c>
      <c r="K32" s="280" t="n">
        <f aca="false">+N32*$K$9</f>
        <v>0</v>
      </c>
      <c r="L32" s="280" t="n">
        <f aca="false">+N32*$L$9</f>
        <v>0</v>
      </c>
      <c r="M32" s="280" t="n">
        <f aca="false">+N32*$M$9</f>
        <v>0</v>
      </c>
      <c r="N32" s="280" t="n">
        <f aca="false">+J32/(1-$N$9)</f>
        <v>0</v>
      </c>
      <c r="O32" s="286" t="n">
        <f aca="false">ROUND(+N32,2)</f>
        <v>0</v>
      </c>
    </row>
    <row r="33" customFormat="false" ht="11.25" hidden="false" customHeight="false" outlineLevel="0" collapsed="false">
      <c r="A33" s="469" t="s">
        <v>244</v>
      </c>
      <c r="B33" s="470" t="s">
        <v>217</v>
      </c>
      <c r="C33" s="473"/>
      <c r="D33" s="474"/>
      <c r="E33" s="280" t="n">
        <f aca="false">D33*($K$9+$L$9)*-1</f>
        <v>0</v>
      </c>
      <c r="F33" s="286" t="n">
        <f aca="false">+E33+D33</f>
        <v>0</v>
      </c>
      <c r="G33" s="280" t="n">
        <f aca="false">+F33*$G$9</f>
        <v>0</v>
      </c>
      <c r="H33" s="286" t="n">
        <f aca="false">+F33+G33</f>
        <v>0</v>
      </c>
      <c r="I33" s="280" t="n">
        <f aca="false">+H33*$I$9</f>
        <v>0</v>
      </c>
      <c r="J33" s="286" t="n">
        <f aca="false">+I33+H33</f>
        <v>0</v>
      </c>
      <c r="K33" s="280" t="n">
        <f aca="false">+N33*$K$9</f>
        <v>0</v>
      </c>
      <c r="L33" s="280" t="n">
        <f aca="false">+N33*$L$9</f>
        <v>0</v>
      </c>
      <c r="M33" s="280" t="n">
        <f aca="false">+N33*$M$9</f>
        <v>0</v>
      </c>
      <c r="N33" s="280" t="n">
        <f aca="false">+J33/(1-$N$9)</f>
        <v>0</v>
      </c>
      <c r="O33" s="286" t="n">
        <f aca="false">ROUND(+N33,2)</f>
        <v>0</v>
      </c>
    </row>
    <row r="34" customFormat="false" ht="11.25" hidden="false" customHeight="false" outlineLevel="0" collapsed="false">
      <c r="A34" s="469" t="s">
        <v>245</v>
      </c>
      <c r="B34" s="470" t="s">
        <v>217</v>
      </c>
      <c r="C34" s="473"/>
      <c r="D34" s="474"/>
      <c r="E34" s="280" t="n">
        <f aca="false">D34*($K$9+$L$9)*-1</f>
        <v>0</v>
      </c>
      <c r="F34" s="286" t="n">
        <f aca="false">+E34+D34</f>
        <v>0</v>
      </c>
      <c r="G34" s="280" t="n">
        <f aca="false">+F34*$G$9</f>
        <v>0</v>
      </c>
      <c r="H34" s="286" t="n">
        <f aca="false">+F34+G34</f>
        <v>0</v>
      </c>
      <c r="I34" s="280" t="n">
        <f aca="false">+H34*$I$9</f>
        <v>0</v>
      </c>
      <c r="J34" s="286" t="n">
        <f aca="false">+I34+H34</f>
        <v>0</v>
      </c>
      <c r="K34" s="280" t="n">
        <f aca="false">+N34*$K$9</f>
        <v>0</v>
      </c>
      <c r="L34" s="280" t="n">
        <f aca="false">+N34*$L$9</f>
        <v>0</v>
      </c>
      <c r="M34" s="280" t="n">
        <f aca="false">+N34*$M$9</f>
        <v>0</v>
      </c>
      <c r="N34" s="280" t="n">
        <f aca="false">+J34/(1-$N$9)</f>
        <v>0</v>
      </c>
      <c r="O34" s="286" t="n">
        <f aca="false">ROUND(+N34,2)</f>
        <v>0</v>
      </c>
    </row>
    <row r="35" customFormat="false" ht="11.25" hidden="false" customHeight="false" outlineLevel="0" collapsed="false">
      <c r="A35" s="469" t="s">
        <v>246</v>
      </c>
      <c r="B35" s="470" t="s">
        <v>217</v>
      </c>
      <c r="C35" s="473"/>
      <c r="D35" s="474"/>
      <c r="E35" s="280" t="n">
        <f aca="false">D35*($K$9+$L$9)*-1</f>
        <v>0</v>
      </c>
      <c r="F35" s="286" t="n">
        <f aca="false">+E35+D35</f>
        <v>0</v>
      </c>
      <c r="G35" s="280" t="n">
        <f aca="false">+F35*$G$9</f>
        <v>0</v>
      </c>
      <c r="H35" s="286" t="n">
        <f aca="false">+F35+G35</f>
        <v>0</v>
      </c>
      <c r="I35" s="280" t="n">
        <f aca="false">+H35*$I$9</f>
        <v>0</v>
      </c>
      <c r="J35" s="286" t="n">
        <f aca="false">+I35+H35</f>
        <v>0</v>
      </c>
      <c r="K35" s="280" t="n">
        <f aca="false">+N35*$K$9</f>
        <v>0</v>
      </c>
      <c r="L35" s="280" t="n">
        <f aca="false">+N35*$L$9</f>
        <v>0</v>
      </c>
      <c r="M35" s="280" t="n">
        <f aca="false">+N35*$M$9</f>
        <v>0</v>
      </c>
      <c r="N35" s="280" t="n">
        <f aca="false">+J35/(1-$N$9)</f>
        <v>0</v>
      </c>
      <c r="O35" s="286" t="n">
        <f aca="false">ROUND(+N35,2)</f>
        <v>0</v>
      </c>
    </row>
    <row r="36" customFormat="false" ht="11.25" hidden="false" customHeight="false" outlineLevel="0" collapsed="false">
      <c r="A36" s="469" t="s">
        <v>247</v>
      </c>
      <c r="B36" s="470" t="s">
        <v>248</v>
      </c>
      <c r="C36" s="473"/>
      <c r="D36" s="474"/>
      <c r="E36" s="280" t="n">
        <f aca="false">D36*($K$9+$L$9)*-1</f>
        <v>0</v>
      </c>
      <c r="F36" s="286" t="n">
        <f aca="false">+E36+D36</f>
        <v>0</v>
      </c>
      <c r="G36" s="280" t="n">
        <f aca="false">+F36*$G$9</f>
        <v>0</v>
      </c>
      <c r="H36" s="286" t="n">
        <f aca="false">+F36+G36</f>
        <v>0</v>
      </c>
      <c r="I36" s="280" t="n">
        <f aca="false">+H36*$I$9</f>
        <v>0</v>
      </c>
      <c r="J36" s="286" t="n">
        <f aca="false">+I36+H36</f>
        <v>0</v>
      </c>
      <c r="K36" s="280" t="n">
        <f aca="false">+N36*$K$9</f>
        <v>0</v>
      </c>
      <c r="L36" s="280" t="n">
        <f aca="false">+N36*$L$9</f>
        <v>0</v>
      </c>
      <c r="M36" s="280" t="n">
        <f aca="false">+N36*$M$9</f>
        <v>0</v>
      </c>
      <c r="N36" s="280" t="n">
        <f aca="false">+J36/(1-$N$9)</f>
        <v>0</v>
      </c>
      <c r="O36" s="286" t="n">
        <f aca="false">ROUND(+N36,2)</f>
        <v>0</v>
      </c>
    </row>
    <row r="37" customFormat="false" ht="11.25" hidden="false" customHeight="false" outlineLevel="0" collapsed="false">
      <c r="A37" s="469" t="s">
        <v>249</v>
      </c>
      <c r="B37" s="470" t="s">
        <v>217</v>
      </c>
      <c r="C37" s="473"/>
      <c r="D37" s="474"/>
      <c r="E37" s="280" t="n">
        <f aca="false">D37*($K$9+$L$9)*-1</f>
        <v>0</v>
      </c>
      <c r="F37" s="286" t="n">
        <f aca="false">+E37+D37</f>
        <v>0</v>
      </c>
      <c r="G37" s="280" t="n">
        <f aca="false">+F37*$G$9</f>
        <v>0</v>
      </c>
      <c r="H37" s="286" t="n">
        <f aca="false">+F37+G37</f>
        <v>0</v>
      </c>
      <c r="I37" s="280" t="n">
        <f aca="false">+H37*$I$9</f>
        <v>0</v>
      </c>
      <c r="J37" s="286" t="n">
        <f aca="false">+I37+H37</f>
        <v>0</v>
      </c>
      <c r="K37" s="280" t="n">
        <f aca="false">+N37*$K$9</f>
        <v>0</v>
      </c>
      <c r="L37" s="280" t="n">
        <f aca="false">+N37*$L$9</f>
        <v>0</v>
      </c>
      <c r="M37" s="280" t="n">
        <f aca="false">+N37*$M$9</f>
        <v>0</v>
      </c>
      <c r="N37" s="280" t="n">
        <f aca="false">+J37/(1-$N$9)</f>
        <v>0</v>
      </c>
      <c r="O37" s="286" t="n">
        <f aca="false">ROUND(+N37,2)</f>
        <v>0</v>
      </c>
    </row>
    <row r="38" customFormat="false" ht="11.25" hidden="false" customHeight="false" outlineLevel="0" collapsed="false">
      <c r="A38" s="469" t="s">
        <v>250</v>
      </c>
      <c r="B38" s="470" t="s">
        <v>248</v>
      </c>
      <c r="C38" s="473"/>
      <c r="D38" s="474"/>
      <c r="E38" s="280" t="n">
        <f aca="false">D38*($K$9+$L$9)*-1</f>
        <v>0</v>
      </c>
      <c r="F38" s="286" t="n">
        <f aca="false">+E38+D38</f>
        <v>0</v>
      </c>
      <c r="G38" s="280" t="n">
        <f aca="false">+F38*$G$9</f>
        <v>0</v>
      </c>
      <c r="H38" s="286" t="n">
        <f aca="false">+F38+G38</f>
        <v>0</v>
      </c>
      <c r="I38" s="280" t="n">
        <f aca="false">+H38*$I$9</f>
        <v>0</v>
      </c>
      <c r="J38" s="286" t="n">
        <f aca="false">+I38+H38</f>
        <v>0</v>
      </c>
      <c r="K38" s="280" t="n">
        <f aca="false">+N38*$K$9</f>
        <v>0</v>
      </c>
      <c r="L38" s="280" t="n">
        <f aca="false">+N38*$L$9</f>
        <v>0</v>
      </c>
      <c r="M38" s="280" t="n">
        <f aca="false">+N38*$M$9</f>
        <v>0</v>
      </c>
      <c r="N38" s="280" t="n">
        <f aca="false">+J38/(1-$N$9)</f>
        <v>0</v>
      </c>
      <c r="O38" s="286" t="n">
        <f aca="false">ROUND(+N38,2)</f>
        <v>0</v>
      </c>
    </row>
    <row r="39" customFormat="false" ht="11.25" hidden="false" customHeight="false" outlineLevel="0" collapsed="false">
      <c r="A39" s="469" t="s">
        <v>251</v>
      </c>
      <c r="B39" s="470" t="s">
        <v>248</v>
      </c>
      <c r="C39" s="473"/>
      <c r="D39" s="474"/>
      <c r="E39" s="280" t="n">
        <f aca="false">D39*($K$9+$L$9)*-1</f>
        <v>0</v>
      </c>
      <c r="F39" s="286" t="n">
        <f aca="false">+E39+D39</f>
        <v>0</v>
      </c>
      <c r="G39" s="280" t="n">
        <f aca="false">+F39*$G$9</f>
        <v>0</v>
      </c>
      <c r="H39" s="286" t="n">
        <f aca="false">+F39+G39</f>
        <v>0</v>
      </c>
      <c r="I39" s="280" t="n">
        <f aca="false">+H39*$I$9</f>
        <v>0</v>
      </c>
      <c r="J39" s="286" t="n">
        <f aca="false">+I39+H39</f>
        <v>0</v>
      </c>
      <c r="K39" s="280" t="n">
        <f aca="false">+N39*$K$9</f>
        <v>0</v>
      </c>
      <c r="L39" s="280" t="n">
        <f aca="false">+N39*$L$9</f>
        <v>0</v>
      </c>
      <c r="M39" s="280" t="n">
        <f aca="false">+N39*$M$9</f>
        <v>0</v>
      </c>
      <c r="N39" s="280" t="n">
        <f aca="false">+J39/(1-$N$9)</f>
        <v>0</v>
      </c>
      <c r="O39" s="286" t="n">
        <f aca="false">ROUND(+N39,2)</f>
        <v>0</v>
      </c>
    </row>
    <row r="40" customFormat="false" ht="11.25" hidden="false" customHeight="false" outlineLevel="0" collapsed="false">
      <c r="A40" s="469" t="s">
        <v>252</v>
      </c>
      <c r="B40" s="470" t="s">
        <v>217</v>
      </c>
      <c r="C40" s="473"/>
      <c r="D40" s="474"/>
      <c r="E40" s="280" t="n">
        <f aca="false">D40*($K$9+$L$9)*-1</f>
        <v>0</v>
      </c>
      <c r="F40" s="286" t="n">
        <f aca="false">+E40+D40</f>
        <v>0</v>
      </c>
      <c r="G40" s="280" t="n">
        <f aca="false">+F40*$G$9</f>
        <v>0</v>
      </c>
      <c r="H40" s="286" t="n">
        <f aca="false">+F40+G40</f>
        <v>0</v>
      </c>
      <c r="I40" s="280" t="n">
        <f aca="false">+H40*$I$9</f>
        <v>0</v>
      </c>
      <c r="J40" s="286" t="n">
        <f aca="false">+I40+H40</f>
        <v>0</v>
      </c>
      <c r="K40" s="280" t="n">
        <f aca="false">+N40*$K$9</f>
        <v>0</v>
      </c>
      <c r="L40" s="280" t="n">
        <f aca="false">+N40*$L$9</f>
        <v>0</v>
      </c>
      <c r="M40" s="280" t="n">
        <f aca="false">+N40*$M$9</f>
        <v>0</v>
      </c>
      <c r="N40" s="280" t="n">
        <f aca="false">+J40/(1-$N$9)</f>
        <v>0</v>
      </c>
      <c r="O40" s="286" t="n">
        <f aca="false">ROUND(+N40,2)</f>
        <v>0</v>
      </c>
    </row>
    <row r="41" customFormat="false" ht="11.25" hidden="false" customHeight="false" outlineLevel="0" collapsed="false">
      <c r="A41" s="469" t="s">
        <v>253</v>
      </c>
      <c r="B41" s="470" t="s">
        <v>254</v>
      </c>
      <c r="C41" s="473"/>
      <c r="D41" s="474"/>
      <c r="E41" s="280" t="n">
        <f aca="false">D41*($K$9+$L$9)*-1</f>
        <v>0</v>
      </c>
      <c r="F41" s="286" t="n">
        <f aca="false">+E41+D41</f>
        <v>0</v>
      </c>
      <c r="G41" s="280" t="n">
        <f aca="false">+F41*$G$9</f>
        <v>0</v>
      </c>
      <c r="H41" s="286" t="n">
        <f aca="false">+F41+G41</f>
        <v>0</v>
      </c>
      <c r="I41" s="280" t="n">
        <f aca="false">+H41*$I$9</f>
        <v>0</v>
      </c>
      <c r="J41" s="286" t="n">
        <f aca="false">+I41+H41</f>
        <v>0</v>
      </c>
      <c r="K41" s="280" t="n">
        <f aca="false">+N41*$K$9</f>
        <v>0</v>
      </c>
      <c r="L41" s="280" t="n">
        <f aca="false">+N41*$L$9</f>
        <v>0</v>
      </c>
      <c r="M41" s="280" t="n">
        <f aca="false">+N41*$M$9</f>
        <v>0</v>
      </c>
      <c r="N41" s="280" t="n">
        <f aca="false">+J41/(1-$N$9)</f>
        <v>0</v>
      </c>
      <c r="O41" s="286" t="n">
        <f aca="false">ROUND(+N41,2)</f>
        <v>0</v>
      </c>
    </row>
    <row r="42" customFormat="false" ht="11.25" hidden="false" customHeight="false" outlineLevel="0" collapsed="false">
      <c r="A42" s="469" t="s">
        <v>255</v>
      </c>
      <c r="B42" s="470" t="s">
        <v>217</v>
      </c>
      <c r="C42" s="473"/>
      <c r="D42" s="474"/>
      <c r="E42" s="280" t="n">
        <f aca="false">D42*($K$9+$L$9)*-1</f>
        <v>0</v>
      </c>
      <c r="F42" s="286" t="n">
        <f aca="false">+E42+D42</f>
        <v>0</v>
      </c>
      <c r="G42" s="280" t="n">
        <f aca="false">+F42*$G$9</f>
        <v>0</v>
      </c>
      <c r="H42" s="286" t="n">
        <f aca="false">+F42+G42</f>
        <v>0</v>
      </c>
      <c r="I42" s="280" t="n">
        <f aca="false">+H42*$I$9</f>
        <v>0</v>
      </c>
      <c r="J42" s="286" t="n">
        <f aca="false">+I42+H42</f>
        <v>0</v>
      </c>
      <c r="K42" s="280" t="n">
        <f aca="false">+N42*$K$9</f>
        <v>0</v>
      </c>
      <c r="L42" s="280" t="n">
        <f aca="false">+N42*$L$9</f>
        <v>0</v>
      </c>
      <c r="M42" s="280" t="n">
        <f aca="false">+N42*$M$9</f>
        <v>0</v>
      </c>
      <c r="N42" s="280" t="n">
        <f aca="false">+J42/(1-$N$9)</f>
        <v>0</v>
      </c>
      <c r="O42" s="286" t="n">
        <f aca="false">ROUND(+N42,2)</f>
        <v>0</v>
      </c>
    </row>
    <row r="43" customFormat="false" ht="11.25" hidden="false" customHeight="false" outlineLevel="0" collapsed="false">
      <c r="A43" s="469" t="s">
        <v>256</v>
      </c>
      <c r="B43" s="470" t="s">
        <v>217</v>
      </c>
      <c r="C43" s="473"/>
      <c r="D43" s="474"/>
      <c r="E43" s="280" t="n">
        <f aca="false">D43*($K$9+$L$9)*-1</f>
        <v>0</v>
      </c>
      <c r="F43" s="286" t="n">
        <f aca="false">+E43+D43</f>
        <v>0</v>
      </c>
      <c r="G43" s="280" t="n">
        <f aca="false">+F43*$G$9</f>
        <v>0</v>
      </c>
      <c r="H43" s="286" t="n">
        <f aca="false">+F43+G43</f>
        <v>0</v>
      </c>
      <c r="I43" s="280" t="n">
        <f aca="false">+H43*$I$9</f>
        <v>0</v>
      </c>
      <c r="J43" s="286" t="n">
        <f aca="false">+I43+H43</f>
        <v>0</v>
      </c>
      <c r="K43" s="280" t="n">
        <f aca="false">+N43*$K$9</f>
        <v>0</v>
      </c>
      <c r="L43" s="280" t="n">
        <f aca="false">+N43*$L$9</f>
        <v>0</v>
      </c>
      <c r="M43" s="280" t="n">
        <f aca="false">+N43*$M$9</f>
        <v>0</v>
      </c>
      <c r="N43" s="280" t="n">
        <f aca="false">+J43/(1-$N$9)</f>
        <v>0</v>
      </c>
      <c r="O43" s="286" t="n">
        <f aca="false">ROUND(+N43,2)</f>
        <v>0</v>
      </c>
    </row>
    <row r="44" customFormat="false" ht="11.25" hidden="false" customHeight="false" outlineLevel="0" collapsed="false">
      <c r="A44" s="469" t="s">
        <v>257</v>
      </c>
      <c r="B44" s="470" t="s">
        <v>221</v>
      </c>
      <c r="C44" s="473"/>
      <c r="D44" s="474"/>
      <c r="E44" s="280" t="n">
        <f aca="false">D44*($K$9+$L$9)*-1</f>
        <v>0</v>
      </c>
      <c r="F44" s="286" t="n">
        <f aca="false">+E44+D44</f>
        <v>0</v>
      </c>
      <c r="G44" s="280" t="n">
        <f aca="false">+F44*$G$9</f>
        <v>0</v>
      </c>
      <c r="H44" s="286" t="n">
        <f aca="false">+F44+G44</f>
        <v>0</v>
      </c>
      <c r="I44" s="280" t="n">
        <f aca="false">+H44*$I$9</f>
        <v>0</v>
      </c>
      <c r="J44" s="286" t="n">
        <f aca="false">+I44+H44</f>
        <v>0</v>
      </c>
      <c r="K44" s="280" t="n">
        <f aca="false">+N44*$K$9</f>
        <v>0</v>
      </c>
      <c r="L44" s="280" t="n">
        <f aca="false">+N44*$L$9</f>
        <v>0</v>
      </c>
      <c r="M44" s="280" t="n">
        <f aca="false">+N44*$M$9</f>
        <v>0</v>
      </c>
      <c r="N44" s="280" t="n">
        <f aca="false">+J44/(1-$N$9)</f>
        <v>0</v>
      </c>
      <c r="O44" s="286" t="n">
        <f aca="false">ROUND(+N44,2)</f>
        <v>0</v>
      </c>
    </row>
    <row r="45" customFormat="false" ht="11.25" hidden="false" customHeight="false" outlineLevel="0" collapsed="false">
      <c r="A45" s="469" t="s">
        <v>258</v>
      </c>
      <c r="B45" s="470" t="s">
        <v>221</v>
      </c>
      <c r="C45" s="473"/>
      <c r="D45" s="474"/>
      <c r="E45" s="280" t="n">
        <f aca="false">D45*($K$9+$L$9)*-1</f>
        <v>0</v>
      </c>
      <c r="F45" s="286" t="n">
        <f aca="false">+E45+D45</f>
        <v>0</v>
      </c>
      <c r="G45" s="280" t="n">
        <f aca="false">+F45*$G$9</f>
        <v>0</v>
      </c>
      <c r="H45" s="286" t="n">
        <f aca="false">+F45+G45</f>
        <v>0</v>
      </c>
      <c r="I45" s="280" t="n">
        <f aca="false">+H45*$I$9</f>
        <v>0</v>
      </c>
      <c r="J45" s="286" t="n">
        <f aca="false">+I45+H45</f>
        <v>0</v>
      </c>
      <c r="K45" s="280" t="n">
        <f aca="false">+N45*$K$9</f>
        <v>0</v>
      </c>
      <c r="L45" s="280" t="n">
        <f aca="false">+N45*$L$9</f>
        <v>0</v>
      </c>
      <c r="M45" s="280" t="n">
        <f aca="false">+N45*$M$9</f>
        <v>0</v>
      </c>
      <c r="N45" s="280" t="n">
        <f aca="false">+J45/(1-$N$9)</f>
        <v>0</v>
      </c>
      <c r="O45" s="286" t="n">
        <f aca="false">ROUND(+N45,2)</f>
        <v>0</v>
      </c>
    </row>
    <row r="46" customFormat="false" ht="11.25" hidden="false" customHeight="false" outlineLevel="0" collapsed="false">
      <c r="A46" s="469" t="s">
        <v>259</v>
      </c>
      <c r="B46" s="470" t="s">
        <v>254</v>
      </c>
      <c r="C46" s="473"/>
      <c r="D46" s="474"/>
      <c r="E46" s="280" t="n">
        <f aca="false">D46*($K$9+$L$9)*-1</f>
        <v>0</v>
      </c>
      <c r="F46" s="286" t="n">
        <f aca="false">+E46+D46</f>
        <v>0</v>
      </c>
      <c r="G46" s="280" t="n">
        <f aca="false">+F46*$G$9</f>
        <v>0</v>
      </c>
      <c r="H46" s="286" t="n">
        <f aca="false">+F46+G46</f>
        <v>0</v>
      </c>
      <c r="I46" s="280" t="n">
        <f aca="false">+H46*$I$9</f>
        <v>0</v>
      </c>
      <c r="J46" s="286" t="n">
        <f aca="false">+I46+H46</f>
        <v>0</v>
      </c>
      <c r="K46" s="280" t="n">
        <f aca="false">+N46*$K$9</f>
        <v>0</v>
      </c>
      <c r="L46" s="280" t="n">
        <f aca="false">+N46*$L$9</f>
        <v>0</v>
      </c>
      <c r="M46" s="280" t="n">
        <f aca="false">+N46*$M$9</f>
        <v>0</v>
      </c>
      <c r="N46" s="280" t="n">
        <f aca="false">+J46/(1-$N$9)</f>
        <v>0</v>
      </c>
      <c r="O46" s="286" t="n">
        <f aca="false">ROUND(+N46,2)</f>
        <v>0</v>
      </c>
    </row>
    <row r="47" customFormat="false" ht="11.25" hidden="false" customHeight="false" outlineLevel="0" collapsed="false">
      <c r="A47" s="469" t="s">
        <v>260</v>
      </c>
      <c r="B47" s="475" t="s">
        <v>217</v>
      </c>
      <c r="C47" s="473"/>
      <c r="D47" s="474"/>
      <c r="E47" s="280" t="n">
        <f aca="false">D47*($K$9+$L$9)*-1</f>
        <v>0</v>
      </c>
      <c r="F47" s="286" t="n">
        <f aca="false">+E47+D47</f>
        <v>0</v>
      </c>
      <c r="G47" s="280" t="n">
        <f aca="false">+F47*$G$9</f>
        <v>0</v>
      </c>
      <c r="H47" s="286" t="n">
        <f aca="false">+F47+G47</f>
        <v>0</v>
      </c>
      <c r="I47" s="280" t="n">
        <f aca="false">+H47*$I$9</f>
        <v>0</v>
      </c>
      <c r="J47" s="286" t="n">
        <f aca="false">+I47+H47</f>
        <v>0</v>
      </c>
      <c r="K47" s="280" t="n">
        <f aca="false">+N47*$K$9</f>
        <v>0</v>
      </c>
      <c r="L47" s="280" t="n">
        <f aca="false">+N47*$L$9</f>
        <v>0</v>
      </c>
      <c r="M47" s="280" t="n">
        <f aca="false">+N47*$M$9</f>
        <v>0</v>
      </c>
      <c r="N47" s="280" t="n">
        <f aca="false">+J47/(1-$N$9)</f>
        <v>0</v>
      </c>
      <c r="O47" s="286" t="n">
        <f aca="false">ROUND(+N47,2)</f>
        <v>0</v>
      </c>
    </row>
    <row r="48" customFormat="false" ht="11.25" hidden="false" customHeight="false" outlineLevel="0" collapsed="false">
      <c r="A48" s="469" t="s">
        <v>261</v>
      </c>
      <c r="B48" s="475" t="s">
        <v>248</v>
      </c>
      <c r="C48" s="473"/>
      <c r="D48" s="474"/>
      <c r="E48" s="280" t="n">
        <f aca="false">D48*($K$9+$L$9)*-1</f>
        <v>0</v>
      </c>
      <c r="F48" s="286" t="n">
        <f aca="false">+E48+D48</f>
        <v>0</v>
      </c>
      <c r="G48" s="280" t="n">
        <f aca="false">+F48*$G$9</f>
        <v>0</v>
      </c>
      <c r="H48" s="286" t="n">
        <f aca="false">+F48+G48</f>
        <v>0</v>
      </c>
      <c r="I48" s="280" t="n">
        <f aca="false">+H48*$I$9</f>
        <v>0</v>
      </c>
      <c r="J48" s="286" t="n">
        <f aca="false">+I48+H48</f>
        <v>0</v>
      </c>
      <c r="K48" s="280" t="n">
        <f aca="false">+N48*$K$9</f>
        <v>0</v>
      </c>
      <c r="L48" s="280" t="n">
        <f aca="false">+N48*$L$9</f>
        <v>0</v>
      </c>
      <c r="M48" s="280" t="n">
        <f aca="false">+N48*$M$9</f>
        <v>0</v>
      </c>
      <c r="N48" s="280" t="n">
        <f aca="false">+J48/(1-$N$9)</f>
        <v>0</v>
      </c>
      <c r="O48" s="286" t="n">
        <f aca="false">ROUND(+N48,2)</f>
        <v>0</v>
      </c>
    </row>
    <row r="49" customFormat="false" ht="11.25" hidden="false" customHeight="false" outlineLevel="0" collapsed="false">
      <c r="A49" s="469" t="s">
        <v>262</v>
      </c>
      <c r="B49" s="470" t="s">
        <v>217</v>
      </c>
      <c r="C49" s="473"/>
      <c r="D49" s="474"/>
      <c r="E49" s="280" t="n">
        <f aca="false">D49*($K$9+$L$9)*-1</f>
        <v>0</v>
      </c>
      <c r="F49" s="286" t="n">
        <f aca="false">+E49+D49</f>
        <v>0</v>
      </c>
      <c r="G49" s="280" t="n">
        <f aca="false">+F49*$G$9</f>
        <v>0</v>
      </c>
      <c r="H49" s="286" t="n">
        <f aca="false">+F49+G49</f>
        <v>0</v>
      </c>
      <c r="I49" s="280" t="n">
        <f aca="false">+H49*$I$9</f>
        <v>0</v>
      </c>
      <c r="J49" s="286" t="n">
        <f aca="false">+I49+H49</f>
        <v>0</v>
      </c>
      <c r="K49" s="280" t="n">
        <f aca="false">+N49*$K$9</f>
        <v>0</v>
      </c>
      <c r="L49" s="280" t="n">
        <f aca="false">+N49*$L$9</f>
        <v>0</v>
      </c>
      <c r="M49" s="280" t="n">
        <f aca="false">+N49*$M$9</f>
        <v>0</v>
      </c>
      <c r="N49" s="280" t="n">
        <f aca="false">+J49/(1-$N$9)</f>
        <v>0</v>
      </c>
      <c r="O49" s="286" t="n">
        <f aca="false">ROUND(+N49,2)</f>
        <v>0</v>
      </c>
    </row>
    <row r="50" customFormat="false" ht="22.5" hidden="false" customHeight="false" outlineLevel="0" collapsed="false">
      <c r="A50" s="469" t="s">
        <v>342</v>
      </c>
      <c r="B50" s="470" t="s">
        <v>248</v>
      </c>
      <c r="C50" s="473"/>
      <c r="D50" s="474"/>
      <c r="E50" s="280" t="n">
        <f aca="false">D50*($K$9+$L$9)*-1</f>
        <v>0</v>
      </c>
      <c r="F50" s="286" t="n">
        <f aca="false">+E50+D50</f>
        <v>0</v>
      </c>
      <c r="G50" s="280" t="n">
        <f aca="false">+F50*$G$9</f>
        <v>0</v>
      </c>
      <c r="H50" s="286" t="n">
        <f aca="false">+F50+G50</f>
        <v>0</v>
      </c>
      <c r="I50" s="280" t="n">
        <f aca="false">+H50*$I$9</f>
        <v>0</v>
      </c>
      <c r="J50" s="286" t="n">
        <f aca="false">+I50+H50</f>
        <v>0</v>
      </c>
      <c r="K50" s="280" t="n">
        <f aca="false">+N50*$K$9</f>
        <v>0</v>
      </c>
      <c r="L50" s="280" t="n">
        <f aca="false">+N50*$L$9</f>
        <v>0</v>
      </c>
      <c r="M50" s="280" t="n">
        <f aca="false">+N50*$M$9</f>
        <v>0</v>
      </c>
      <c r="N50" s="280" t="n">
        <f aca="false">+J50/(1-$N$9)</f>
        <v>0</v>
      </c>
      <c r="O50" s="286" t="n">
        <f aca="false">ROUND(+N50,2)</f>
        <v>0</v>
      </c>
    </row>
    <row r="51" customFormat="false" ht="22.5" hidden="false" customHeight="false" outlineLevel="0" collapsed="false">
      <c r="A51" s="469" t="s">
        <v>264</v>
      </c>
      <c r="B51" s="475" t="s">
        <v>217</v>
      </c>
      <c r="C51" s="473"/>
      <c r="D51" s="474"/>
      <c r="E51" s="280" t="n">
        <f aca="false">D51*($K$9+$L$9)*-1</f>
        <v>0</v>
      </c>
      <c r="F51" s="286" t="n">
        <f aca="false">+E51+D51</f>
        <v>0</v>
      </c>
      <c r="G51" s="280" t="n">
        <f aca="false">+F51*$G$9</f>
        <v>0</v>
      </c>
      <c r="H51" s="286" t="n">
        <f aca="false">+F51+G51</f>
        <v>0</v>
      </c>
      <c r="I51" s="280" t="n">
        <f aca="false">+H51*$I$9</f>
        <v>0</v>
      </c>
      <c r="J51" s="286" t="n">
        <f aca="false">+I51+H51</f>
        <v>0</v>
      </c>
      <c r="K51" s="280" t="n">
        <f aca="false">+N51*$K$9</f>
        <v>0</v>
      </c>
      <c r="L51" s="280" t="n">
        <f aca="false">+N51*$L$9</f>
        <v>0</v>
      </c>
      <c r="M51" s="280" t="n">
        <f aca="false">+N51*$M$9</f>
        <v>0</v>
      </c>
      <c r="N51" s="280" t="n">
        <f aca="false">+J51/(1-$N$9)</f>
        <v>0</v>
      </c>
      <c r="O51" s="286" t="n">
        <f aca="false">ROUND(+N51,2)</f>
        <v>0</v>
      </c>
    </row>
    <row r="52" customFormat="false" ht="11.25" hidden="false" customHeight="false" outlineLevel="0" collapsed="false">
      <c r="A52" s="469" t="s">
        <v>265</v>
      </c>
      <c r="B52" s="470" t="s">
        <v>248</v>
      </c>
      <c r="C52" s="473"/>
      <c r="D52" s="474"/>
      <c r="E52" s="280" t="n">
        <f aca="false">D52*($K$9+$L$9)*-1</f>
        <v>0</v>
      </c>
      <c r="F52" s="286" t="n">
        <f aca="false">+E52+D52</f>
        <v>0</v>
      </c>
      <c r="G52" s="280" t="n">
        <f aca="false">+F52*$G$9</f>
        <v>0</v>
      </c>
      <c r="H52" s="286" t="n">
        <f aca="false">+F52+G52</f>
        <v>0</v>
      </c>
      <c r="I52" s="280" t="n">
        <f aca="false">+H52*$I$9</f>
        <v>0</v>
      </c>
      <c r="J52" s="286" t="n">
        <f aca="false">+I52+H52</f>
        <v>0</v>
      </c>
      <c r="K52" s="280" t="n">
        <f aca="false">+N52*$K$9</f>
        <v>0</v>
      </c>
      <c r="L52" s="280" t="n">
        <f aca="false">+N52*$L$9</f>
        <v>0</v>
      </c>
      <c r="M52" s="280" t="n">
        <f aca="false">+N52*$M$9</f>
        <v>0</v>
      </c>
      <c r="N52" s="280" t="n">
        <f aca="false">+J52/(1-$N$9)</f>
        <v>0</v>
      </c>
      <c r="O52" s="286" t="n">
        <f aca="false">ROUND(+N52,2)</f>
        <v>0</v>
      </c>
    </row>
    <row r="53" customFormat="false" ht="11.25" hidden="false" customHeight="false" outlineLevel="0" collapsed="false">
      <c r="A53" s="469" t="s">
        <v>266</v>
      </c>
      <c r="B53" s="470" t="s">
        <v>248</v>
      </c>
      <c r="C53" s="473"/>
      <c r="D53" s="474"/>
      <c r="E53" s="280" t="n">
        <f aca="false">D53*($K$9+$L$9)*-1</f>
        <v>0</v>
      </c>
      <c r="F53" s="286" t="n">
        <f aca="false">+E53+D53</f>
        <v>0</v>
      </c>
      <c r="G53" s="280" t="n">
        <f aca="false">+F53*$G$9</f>
        <v>0</v>
      </c>
      <c r="H53" s="286" t="n">
        <f aca="false">+F53+G53</f>
        <v>0</v>
      </c>
      <c r="I53" s="280" t="n">
        <f aca="false">+H53*$I$9</f>
        <v>0</v>
      </c>
      <c r="J53" s="286" t="n">
        <f aca="false">+I53+H53</f>
        <v>0</v>
      </c>
      <c r="K53" s="280" t="n">
        <f aca="false">+N53*$K$9</f>
        <v>0</v>
      </c>
      <c r="L53" s="280" t="n">
        <f aca="false">+N53*$L$9</f>
        <v>0</v>
      </c>
      <c r="M53" s="280" t="n">
        <f aca="false">+N53*$M$9</f>
        <v>0</v>
      </c>
      <c r="N53" s="280" t="n">
        <f aca="false">+J53/(1-$N$9)</f>
        <v>0</v>
      </c>
      <c r="O53" s="286" t="n">
        <f aca="false">ROUND(+N53,2)</f>
        <v>0</v>
      </c>
    </row>
    <row r="54" customFormat="false" ht="11.25" hidden="false" customHeight="false" outlineLevel="0" collapsed="false">
      <c r="A54" s="469" t="s">
        <v>267</v>
      </c>
      <c r="B54" s="470" t="s">
        <v>248</v>
      </c>
      <c r="C54" s="473"/>
      <c r="D54" s="474"/>
      <c r="E54" s="280" t="n">
        <f aca="false">D54*($K$9+$L$9)*-1</f>
        <v>0</v>
      </c>
      <c r="F54" s="286" t="n">
        <f aca="false">+E54+D54</f>
        <v>0</v>
      </c>
      <c r="G54" s="280" t="n">
        <f aca="false">+F54*$G$9</f>
        <v>0</v>
      </c>
      <c r="H54" s="286" t="n">
        <f aca="false">+F54+G54</f>
        <v>0</v>
      </c>
      <c r="I54" s="280" t="n">
        <f aca="false">+H54*$I$9</f>
        <v>0</v>
      </c>
      <c r="J54" s="286" t="n">
        <f aca="false">+I54+H54</f>
        <v>0</v>
      </c>
      <c r="K54" s="280" t="n">
        <f aca="false">+N54*$K$9</f>
        <v>0</v>
      </c>
      <c r="L54" s="280" t="n">
        <f aca="false">+N54*$L$9</f>
        <v>0</v>
      </c>
      <c r="M54" s="280" t="n">
        <f aca="false">+N54*$M$9</f>
        <v>0</v>
      </c>
      <c r="N54" s="280" t="n">
        <f aca="false">+J54/(1-$N$9)</f>
        <v>0</v>
      </c>
      <c r="O54" s="286" t="n">
        <f aca="false">ROUND(+N54,2)</f>
        <v>0</v>
      </c>
    </row>
    <row r="55" customFormat="false" ht="11.25" hidden="false" customHeight="false" outlineLevel="0" collapsed="false">
      <c r="A55" s="469" t="s">
        <v>268</v>
      </c>
      <c r="B55" s="470" t="s">
        <v>248</v>
      </c>
      <c r="C55" s="473"/>
      <c r="D55" s="474"/>
      <c r="E55" s="280" t="n">
        <f aca="false">D55*($K$9+$L$9)*-1</f>
        <v>0</v>
      </c>
      <c r="F55" s="286" t="n">
        <f aca="false">+E55+D55</f>
        <v>0</v>
      </c>
      <c r="G55" s="280" t="n">
        <f aca="false">+F55*$G$9</f>
        <v>0</v>
      </c>
      <c r="H55" s="286" t="n">
        <f aca="false">+F55+G55</f>
        <v>0</v>
      </c>
      <c r="I55" s="280" t="n">
        <f aca="false">+H55*$I$9</f>
        <v>0</v>
      </c>
      <c r="J55" s="286" t="n">
        <f aca="false">+I55+H55</f>
        <v>0</v>
      </c>
      <c r="K55" s="280" t="n">
        <f aca="false">+N55*$K$9</f>
        <v>0</v>
      </c>
      <c r="L55" s="280" t="n">
        <f aca="false">+N55*$L$9</f>
        <v>0</v>
      </c>
      <c r="M55" s="280" t="n">
        <f aca="false">+N55*$M$9</f>
        <v>0</v>
      </c>
      <c r="N55" s="280" t="n">
        <f aca="false">+J55/(1-$N$9)</f>
        <v>0</v>
      </c>
      <c r="O55" s="286" t="n">
        <f aca="false">ROUND(+N55,2)</f>
        <v>0</v>
      </c>
    </row>
    <row r="56" customFormat="false" ht="11.25" hidden="false" customHeight="false" outlineLevel="0" collapsed="false">
      <c r="A56" s="476" t="s">
        <v>269</v>
      </c>
      <c r="B56" s="470" t="s">
        <v>248</v>
      </c>
      <c r="C56" s="473"/>
      <c r="D56" s="474"/>
      <c r="E56" s="280" t="n">
        <f aca="false">D56*($K$9+$L$9)*-1</f>
        <v>0</v>
      </c>
      <c r="F56" s="286" t="n">
        <f aca="false">+E56+D56</f>
        <v>0</v>
      </c>
      <c r="G56" s="280" t="n">
        <f aca="false">+F56*$G$9</f>
        <v>0</v>
      </c>
      <c r="H56" s="286" t="n">
        <f aca="false">+F56+G56</f>
        <v>0</v>
      </c>
      <c r="I56" s="280" t="n">
        <f aca="false">+H56*$I$9</f>
        <v>0</v>
      </c>
      <c r="J56" s="286" t="n">
        <f aca="false">+I56+H56</f>
        <v>0</v>
      </c>
      <c r="K56" s="280" t="n">
        <f aca="false">+N56*$K$9</f>
        <v>0</v>
      </c>
      <c r="L56" s="280" t="n">
        <f aca="false">+N56*$L$9</f>
        <v>0</v>
      </c>
      <c r="M56" s="280" t="n">
        <f aca="false">+N56*$M$9</f>
        <v>0</v>
      </c>
      <c r="N56" s="280" t="n">
        <f aca="false">+J56/(1-$N$9)</f>
        <v>0</v>
      </c>
      <c r="O56" s="286" t="n">
        <f aca="false">ROUND(+N56,2)</f>
        <v>0</v>
      </c>
    </row>
    <row r="57" customFormat="false" ht="11.25" hidden="false" customHeight="false" outlineLevel="0" collapsed="false">
      <c r="A57" s="476" t="s">
        <v>270</v>
      </c>
      <c r="B57" s="470" t="s">
        <v>248</v>
      </c>
      <c r="C57" s="473"/>
      <c r="D57" s="474"/>
      <c r="E57" s="280" t="n">
        <f aca="false">D57*($K$9+$L$9)*-1</f>
        <v>0</v>
      </c>
      <c r="F57" s="286" t="n">
        <f aca="false">+E57+D57</f>
        <v>0</v>
      </c>
      <c r="G57" s="280" t="n">
        <f aca="false">+F57*$G$9</f>
        <v>0</v>
      </c>
      <c r="H57" s="286" t="n">
        <f aca="false">+F57+G57</f>
        <v>0</v>
      </c>
      <c r="I57" s="280" t="n">
        <f aca="false">+H57*$I$9</f>
        <v>0</v>
      </c>
      <c r="J57" s="286" t="n">
        <f aca="false">+I57+H57</f>
        <v>0</v>
      </c>
      <c r="K57" s="280" t="n">
        <f aca="false">+N57*$K$9</f>
        <v>0</v>
      </c>
      <c r="L57" s="280" t="n">
        <f aca="false">+N57*$L$9</f>
        <v>0</v>
      </c>
      <c r="M57" s="280" t="n">
        <f aca="false">+N57*$M$9</f>
        <v>0</v>
      </c>
      <c r="N57" s="280" t="n">
        <f aca="false">+J57/(1-$N$9)</f>
        <v>0</v>
      </c>
      <c r="O57" s="286" t="n">
        <f aca="false">ROUND(+N57,2)</f>
        <v>0</v>
      </c>
    </row>
    <row r="58" customFormat="false" ht="11.25" hidden="false" customHeight="false" outlineLevel="0" collapsed="false">
      <c r="A58" s="476" t="s">
        <v>271</v>
      </c>
      <c r="B58" s="470" t="s">
        <v>248</v>
      </c>
      <c r="C58" s="473"/>
      <c r="D58" s="474"/>
      <c r="E58" s="280" t="n">
        <f aca="false">D58*($K$9+$L$9)*-1</f>
        <v>0</v>
      </c>
      <c r="F58" s="286" t="n">
        <f aca="false">+E58+D58</f>
        <v>0</v>
      </c>
      <c r="G58" s="280" t="n">
        <f aca="false">+F58*$G$9</f>
        <v>0</v>
      </c>
      <c r="H58" s="286" t="n">
        <f aca="false">+F58+G58</f>
        <v>0</v>
      </c>
      <c r="I58" s="280" t="n">
        <f aca="false">+H58*$I$9</f>
        <v>0</v>
      </c>
      <c r="J58" s="286" t="n">
        <f aca="false">+I58+H58</f>
        <v>0</v>
      </c>
      <c r="K58" s="280" t="n">
        <f aca="false">+N58*$K$9</f>
        <v>0</v>
      </c>
      <c r="L58" s="280" t="n">
        <f aca="false">+N58*$L$9</f>
        <v>0</v>
      </c>
      <c r="M58" s="280" t="n">
        <f aca="false">+N58*$M$9</f>
        <v>0</v>
      </c>
      <c r="N58" s="280" t="n">
        <f aca="false">+J58/(1-$N$9)</f>
        <v>0</v>
      </c>
      <c r="O58" s="286" t="n">
        <f aca="false">ROUND(+N58,2)</f>
        <v>0</v>
      </c>
    </row>
    <row r="59" customFormat="false" ht="22.5" hidden="false" customHeight="false" outlineLevel="0" collapsed="false">
      <c r="A59" s="476" t="s">
        <v>272</v>
      </c>
      <c r="B59" s="470" t="s">
        <v>248</v>
      </c>
      <c r="C59" s="473"/>
      <c r="D59" s="474"/>
      <c r="E59" s="280" t="n">
        <f aca="false">D59*($K$9+$L$9)*-1</f>
        <v>0</v>
      </c>
      <c r="F59" s="286" t="n">
        <f aca="false">+E59+D59</f>
        <v>0</v>
      </c>
      <c r="G59" s="280" t="n">
        <f aca="false">+F59*$G$9</f>
        <v>0</v>
      </c>
      <c r="H59" s="286" t="n">
        <f aca="false">+F59+G59</f>
        <v>0</v>
      </c>
      <c r="I59" s="280" t="n">
        <f aca="false">+H59*$I$9</f>
        <v>0</v>
      </c>
      <c r="J59" s="286" t="n">
        <f aca="false">+I59+H59</f>
        <v>0</v>
      </c>
      <c r="K59" s="280" t="n">
        <f aca="false">+N59*$K$9</f>
        <v>0</v>
      </c>
      <c r="L59" s="280" t="n">
        <f aca="false">+N59*$L$9</f>
        <v>0</v>
      </c>
      <c r="M59" s="280" t="n">
        <f aca="false">+N59*$M$9</f>
        <v>0</v>
      </c>
      <c r="N59" s="280" t="n">
        <f aca="false">+J59/(1-$N$9)</f>
        <v>0</v>
      </c>
      <c r="O59" s="286" t="n">
        <f aca="false">ROUND(+N59,2)</f>
        <v>0</v>
      </c>
    </row>
    <row r="60" customFormat="false" ht="22.5" hidden="false" customHeight="false" outlineLevel="0" collapsed="false">
      <c r="A60" s="477" t="s">
        <v>273</v>
      </c>
      <c r="B60" s="470" t="s">
        <v>248</v>
      </c>
      <c r="C60" s="473"/>
      <c r="D60" s="474"/>
      <c r="E60" s="280" t="n">
        <f aca="false">D60*($K$9+$L$9)*-1</f>
        <v>0</v>
      </c>
      <c r="F60" s="286" t="n">
        <f aca="false">+E60+D60</f>
        <v>0</v>
      </c>
      <c r="G60" s="280" t="n">
        <f aca="false">+F60*$G$9</f>
        <v>0</v>
      </c>
      <c r="H60" s="286" t="n">
        <f aca="false">+F60+G60</f>
        <v>0</v>
      </c>
      <c r="I60" s="280" t="n">
        <f aca="false">+H60*$I$9</f>
        <v>0</v>
      </c>
      <c r="J60" s="286" t="n">
        <f aca="false">+I60+H60</f>
        <v>0</v>
      </c>
      <c r="K60" s="280" t="n">
        <f aca="false">+N60*$K$9</f>
        <v>0</v>
      </c>
      <c r="L60" s="280" t="n">
        <f aca="false">+N60*$L$9</f>
        <v>0</v>
      </c>
      <c r="M60" s="280" t="n">
        <f aca="false">+N60*$M$9</f>
        <v>0</v>
      </c>
      <c r="N60" s="280" t="n">
        <f aca="false">+J60/(1-$N$9)</f>
        <v>0</v>
      </c>
      <c r="O60" s="286" t="n">
        <f aca="false">ROUND(+N60,2)</f>
        <v>0</v>
      </c>
    </row>
    <row r="61" customFormat="false" ht="22.5" hidden="false" customHeight="false" outlineLevel="0" collapsed="false">
      <c r="A61" s="477" t="s">
        <v>274</v>
      </c>
      <c r="B61" s="470" t="s">
        <v>248</v>
      </c>
      <c r="C61" s="473"/>
      <c r="D61" s="474"/>
      <c r="E61" s="280" t="n">
        <f aca="false">D61*($K$9+$L$9)*-1</f>
        <v>0</v>
      </c>
      <c r="F61" s="286" t="n">
        <f aca="false">+E61+D61</f>
        <v>0</v>
      </c>
      <c r="G61" s="280" t="n">
        <f aca="false">+F61*$G$9</f>
        <v>0</v>
      </c>
      <c r="H61" s="286" t="n">
        <f aca="false">+F61+G61</f>
        <v>0</v>
      </c>
      <c r="I61" s="280" t="n">
        <f aca="false">+H61*$I$9</f>
        <v>0</v>
      </c>
      <c r="J61" s="286" t="n">
        <f aca="false">+I61+H61</f>
        <v>0</v>
      </c>
      <c r="K61" s="280" t="n">
        <f aca="false">+N61*$K$9</f>
        <v>0</v>
      </c>
      <c r="L61" s="280" t="n">
        <f aca="false">+N61*$L$9</f>
        <v>0</v>
      </c>
      <c r="M61" s="280" t="n">
        <f aca="false">+N61*$M$9</f>
        <v>0</v>
      </c>
      <c r="N61" s="280" t="n">
        <f aca="false">+J61/(1-$N$9)</f>
        <v>0</v>
      </c>
      <c r="O61" s="286" t="n">
        <f aca="false">ROUND(+N61,2)</f>
        <v>0</v>
      </c>
    </row>
    <row r="62" customFormat="false" ht="22.5" hidden="false" customHeight="false" outlineLevel="0" collapsed="false">
      <c r="A62" s="477" t="s">
        <v>275</v>
      </c>
      <c r="B62" s="470" t="s">
        <v>248</v>
      </c>
      <c r="C62" s="473"/>
      <c r="D62" s="474"/>
      <c r="E62" s="280" t="n">
        <f aca="false">D62*($K$9+$L$9)*-1</f>
        <v>0</v>
      </c>
      <c r="F62" s="286" t="n">
        <f aca="false">+E62+D62</f>
        <v>0</v>
      </c>
      <c r="G62" s="280" t="n">
        <f aca="false">+F62*$G$9</f>
        <v>0</v>
      </c>
      <c r="H62" s="286" t="n">
        <f aca="false">+F62+G62</f>
        <v>0</v>
      </c>
      <c r="I62" s="280" t="n">
        <f aca="false">+H62*$I$9</f>
        <v>0</v>
      </c>
      <c r="J62" s="286" t="n">
        <f aca="false">+I62+H62</f>
        <v>0</v>
      </c>
      <c r="K62" s="280" t="n">
        <f aca="false">+N62*$K$9</f>
        <v>0</v>
      </c>
      <c r="L62" s="280" t="n">
        <f aca="false">+N62*$L$9</f>
        <v>0</v>
      </c>
      <c r="M62" s="280" t="n">
        <f aca="false">+N62*$M$9</f>
        <v>0</v>
      </c>
      <c r="N62" s="280" t="n">
        <f aca="false">+J62/(1-$N$9)</f>
        <v>0</v>
      </c>
      <c r="O62" s="286" t="n">
        <f aca="false">ROUND(+N62,2)</f>
        <v>0</v>
      </c>
    </row>
    <row r="63" customFormat="false" ht="45" hidden="false" customHeight="false" outlineLevel="0" collapsed="false">
      <c r="A63" s="478" t="s">
        <v>276</v>
      </c>
      <c r="B63" s="470" t="s">
        <v>217</v>
      </c>
      <c r="C63" s="473"/>
      <c r="D63" s="474"/>
      <c r="E63" s="280" t="n">
        <f aca="false">D63*($K$9+$L$9)*-1</f>
        <v>0</v>
      </c>
      <c r="F63" s="286" t="n">
        <f aca="false">+E63+D63</f>
        <v>0</v>
      </c>
      <c r="G63" s="280" t="n">
        <f aca="false">+F63*$G$9</f>
        <v>0</v>
      </c>
      <c r="H63" s="286" t="n">
        <f aca="false">+F63+G63</f>
        <v>0</v>
      </c>
      <c r="I63" s="280" t="n">
        <f aca="false">+H63*$I$9</f>
        <v>0</v>
      </c>
      <c r="J63" s="286" t="n">
        <f aca="false">+I63+H63</f>
        <v>0</v>
      </c>
      <c r="K63" s="280" t="n">
        <f aca="false">+N63*$K$9</f>
        <v>0</v>
      </c>
      <c r="L63" s="280" t="n">
        <f aca="false">+N63*$L$9</f>
        <v>0</v>
      </c>
      <c r="M63" s="280" t="n">
        <f aca="false">+N63*$M$9</f>
        <v>0</v>
      </c>
      <c r="N63" s="280" t="n">
        <f aca="false">+J63/(1-$N$9)</f>
        <v>0</v>
      </c>
      <c r="O63" s="286" t="n">
        <f aca="false">ROUND(+N63,2)</f>
        <v>0</v>
      </c>
    </row>
    <row r="64" customFormat="false" ht="33.75" hidden="false" customHeight="false" outlineLevel="0" collapsed="false">
      <c r="A64" s="478" t="s">
        <v>277</v>
      </c>
      <c r="B64" s="470" t="s">
        <v>217</v>
      </c>
      <c r="C64" s="473"/>
      <c r="D64" s="474"/>
      <c r="E64" s="280" t="n">
        <f aca="false">D64*($K$9+$L$9)*-1</f>
        <v>0</v>
      </c>
      <c r="F64" s="286" t="n">
        <f aca="false">+E64+D64</f>
        <v>0</v>
      </c>
      <c r="G64" s="280" t="n">
        <f aca="false">+F64*$G$9</f>
        <v>0</v>
      </c>
      <c r="H64" s="286" t="n">
        <f aca="false">+F64+G64</f>
        <v>0</v>
      </c>
      <c r="I64" s="280" t="n">
        <f aca="false">+H64*$I$9</f>
        <v>0</v>
      </c>
      <c r="J64" s="286" t="n">
        <f aca="false">+I64+H64</f>
        <v>0</v>
      </c>
      <c r="K64" s="280" t="n">
        <f aca="false">+N64*$K$9</f>
        <v>0</v>
      </c>
      <c r="L64" s="280" t="n">
        <f aca="false">+N64*$L$9</f>
        <v>0</v>
      </c>
      <c r="M64" s="280" t="n">
        <f aca="false">+N64*$M$9</f>
        <v>0</v>
      </c>
      <c r="N64" s="280" t="n">
        <f aca="false">+J64/(1-$N$9)</f>
        <v>0</v>
      </c>
      <c r="O64" s="286" t="n">
        <f aca="false">ROUND(+N64,2)</f>
        <v>0</v>
      </c>
    </row>
    <row r="65" customFormat="false" ht="11.25" hidden="false" customHeight="false" outlineLevel="0" collapsed="false">
      <c r="A65" s="476" t="s">
        <v>278</v>
      </c>
      <c r="B65" s="470" t="s">
        <v>254</v>
      </c>
      <c r="C65" s="473"/>
      <c r="D65" s="474"/>
      <c r="E65" s="280" t="n">
        <f aca="false">D65*($K$9+$L$9)*-1</f>
        <v>0</v>
      </c>
      <c r="F65" s="286" t="n">
        <f aca="false">+E65+D65</f>
        <v>0</v>
      </c>
      <c r="G65" s="280" t="n">
        <f aca="false">+F65*$G$9</f>
        <v>0</v>
      </c>
      <c r="H65" s="286" t="n">
        <f aca="false">+F65+G65</f>
        <v>0</v>
      </c>
      <c r="I65" s="280" t="n">
        <f aca="false">+H65*$I$9</f>
        <v>0</v>
      </c>
      <c r="J65" s="286" t="n">
        <f aca="false">+I65+H65</f>
        <v>0</v>
      </c>
      <c r="K65" s="280" t="n">
        <f aca="false">+N65*$K$9</f>
        <v>0</v>
      </c>
      <c r="L65" s="280" t="n">
        <f aca="false">+N65*$L$9</f>
        <v>0</v>
      </c>
      <c r="M65" s="280" t="n">
        <f aca="false">+N65*$M$9</f>
        <v>0</v>
      </c>
      <c r="N65" s="280" t="n">
        <f aca="false">+J65/(1-$N$9)</f>
        <v>0</v>
      </c>
      <c r="O65" s="286" t="n">
        <f aca="false">ROUND(+N65,2)</f>
        <v>0</v>
      </c>
    </row>
    <row r="66" customFormat="false" ht="11.25" hidden="false" customHeight="false" outlineLevel="0" collapsed="false">
      <c r="A66" s="469" t="s">
        <v>279</v>
      </c>
      <c r="B66" s="470" t="s">
        <v>221</v>
      </c>
      <c r="C66" s="473"/>
      <c r="D66" s="474"/>
      <c r="E66" s="280" t="n">
        <f aca="false">D66*($K$9+$L$9)*-1</f>
        <v>0</v>
      </c>
      <c r="F66" s="286" t="n">
        <f aca="false">+E66+D66</f>
        <v>0</v>
      </c>
      <c r="G66" s="280" t="n">
        <f aca="false">+F66*$G$9</f>
        <v>0</v>
      </c>
      <c r="H66" s="286" t="n">
        <f aca="false">+F66+G66</f>
        <v>0</v>
      </c>
      <c r="I66" s="280" t="n">
        <f aca="false">+H66*$I$9</f>
        <v>0</v>
      </c>
      <c r="J66" s="286" t="n">
        <f aca="false">+I66+H66</f>
        <v>0</v>
      </c>
      <c r="K66" s="280" t="n">
        <f aca="false">+N66*$K$9</f>
        <v>0</v>
      </c>
      <c r="L66" s="280" t="n">
        <f aca="false">+N66*$L$9</f>
        <v>0</v>
      </c>
      <c r="M66" s="280" t="n">
        <f aca="false">+N66*$M$9</f>
        <v>0</v>
      </c>
      <c r="N66" s="280" t="n">
        <f aca="false">+J66/(1-$N$9)</f>
        <v>0</v>
      </c>
      <c r="O66" s="286" t="n">
        <f aca="false">ROUND(+N66,2)</f>
        <v>0</v>
      </c>
    </row>
    <row r="67" customFormat="false" ht="56.25" hidden="false" customHeight="true" outlineLevel="0" collapsed="false">
      <c r="A67" s="457" t="s">
        <v>343</v>
      </c>
      <c r="B67" s="457"/>
      <c r="C67" s="457"/>
      <c r="D67" s="457"/>
      <c r="E67" s="468" t="s">
        <v>336</v>
      </c>
      <c r="F67" s="468" t="s">
        <v>337</v>
      </c>
      <c r="G67" s="468" t="s">
        <v>328</v>
      </c>
      <c r="H67" s="468" t="s">
        <v>338</v>
      </c>
      <c r="I67" s="468" t="s">
        <v>329</v>
      </c>
      <c r="J67" s="468" t="s">
        <v>338</v>
      </c>
      <c r="K67" s="468" t="s">
        <v>330</v>
      </c>
      <c r="L67" s="468" t="s">
        <v>331</v>
      </c>
      <c r="M67" s="468" t="s">
        <v>332</v>
      </c>
      <c r="N67" s="468" t="s">
        <v>339</v>
      </c>
      <c r="O67" s="468" t="s">
        <v>340</v>
      </c>
    </row>
    <row r="68" customFormat="false" ht="11.25" hidden="false" customHeight="false" outlineLevel="0" collapsed="false">
      <c r="A68" s="469" t="s">
        <v>281</v>
      </c>
      <c r="B68" s="470" t="s">
        <v>217</v>
      </c>
      <c r="C68" s="473"/>
      <c r="D68" s="479"/>
      <c r="E68" s="280" t="n">
        <f aca="false">D68*($K$9+$L$9)*-1</f>
        <v>0</v>
      </c>
      <c r="F68" s="286" t="n">
        <f aca="false">+E68+D68</f>
        <v>0</v>
      </c>
      <c r="G68" s="280" t="n">
        <f aca="false">+F68*$G$9</f>
        <v>0</v>
      </c>
      <c r="H68" s="286" t="n">
        <f aca="false">+F68+G68</f>
        <v>0</v>
      </c>
      <c r="I68" s="280" t="n">
        <f aca="false">+H68*$I$9</f>
        <v>0</v>
      </c>
      <c r="J68" s="286" t="n">
        <f aca="false">+I68+H68</f>
        <v>0</v>
      </c>
      <c r="K68" s="280" t="n">
        <f aca="false">+N68*$K$9</f>
        <v>0</v>
      </c>
      <c r="L68" s="280" t="n">
        <f aca="false">+N68*$L$9</f>
        <v>0</v>
      </c>
      <c r="M68" s="280" t="n">
        <f aca="false">+N68*$M$9</f>
        <v>0</v>
      </c>
      <c r="N68" s="280" t="n">
        <f aca="false">+J68/(1-$N$9)</f>
        <v>0</v>
      </c>
      <c r="O68" s="286" t="n">
        <f aca="false">ROUND(+N68/2,2)</f>
        <v>0</v>
      </c>
    </row>
    <row r="69" customFormat="false" ht="11.25" hidden="false" customHeight="false" outlineLevel="0" collapsed="false">
      <c r="A69" s="469" t="s">
        <v>282</v>
      </c>
      <c r="B69" s="470" t="s">
        <v>217</v>
      </c>
      <c r="C69" s="473"/>
      <c r="D69" s="479"/>
      <c r="E69" s="280" t="n">
        <f aca="false">D69*($K$9+$L$9)*-1</f>
        <v>0</v>
      </c>
      <c r="F69" s="286" t="n">
        <f aca="false">+E69+D69</f>
        <v>0</v>
      </c>
      <c r="G69" s="280" t="n">
        <f aca="false">+F69*$G$9</f>
        <v>0</v>
      </c>
      <c r="H69" s="286" t="n">
        <f aca="false">+F69+G69</f>
        <v>0</v>
      </c>
      <c r="I69" s="280" t="n">
        <f aca="false">+H69*$I$9</f>
        <v>0</v>
      </c>
      <c r="J69" s="286" t="n">
        <f aca="false">+I69+H69</f>
        <v>0</v>
      </c>
      <c r="K69" s="280" t="n">
        <f aca="false">+N69*$K$9</f>
        <v>0</v>
      </c>
      <c r="L69" s="280" t="n">
        <f aca="false">+N69*$L$9</f>
        <v>0</v>
      </c>
      <c r="M69" s="280" t="n">
        <f aca="false">+N69*$M$9</f>
        <v>0</v>
      </c>
      <c r="N69" s="280" t="n">
        <f aca="false">+J69/(1-$N$9)</f>
        <v>0</v>
      </c>
      <c r="O69" s="286" t="n">
        <f aca="false">ROUND(+N69/2,2)</f>
        <v>0</v>
      </c>
    </row>
    <row r="70" customFormat="false" ht="11.25" hidden="false" customHeight="false" outlineLevel="0" collapsed="false">
      <c r="A70" s="476" t="s">
        <v>283</v>
      </c>
      <c r="B70" s="470" t="s">
        <v>217</v>
      </c>
      <c r="C70" s="473"/>
      <c r="D70" s="479"/>
      <c r="E70" s="280" t="n">
        <f aca="false">D70*($K$9+$L$9)*-1</f>
        <v>0</v>
      </c>
      <c r="F70" s="286" t="n">
        <f aca="false">+E70+D70</f>
        <v>0</v>
      </c>
      <c r="G70" s="280" t="n">
        <f aca="false">+F70*$G$9</f>
        <v>0</v>
      </c>
      <c r="H70" s="286" t="n">
        <f aca="false">+F70+G70</f>
        <v>0</v>
      </c>
      <c r="I70" s="280" t="n">
        <f aca="false">+H70*$I$9</f>
        <v>0</v>
      </c>
      <c r="J70" s="286" t="n">
        <f aca="false">+I70+H70</f>
        <v>0</v>
      </c>
      <c r="K70" s="280" t="n">
        <f aca="false">+N70*$K$9</f>
        <v>0</v>
      </c>
      <c r="L70" s="280" t="n">
        <f aca="false">+N70*$L$9</f>
        <v>0</v>
      </c>
      <c r="M70" s="280" t="n">
        <f aca="false">+N70*$M$9</f>
        <v>0</v>
      </c>
      <c r="N70" s="280" t="n">
        <f aca="false">+J70/(1-$N$9)</f>
        <v>0</v>
      </c>
      <c r="O70" s="286" t="n">
        <f aca="false">ROUND(+N70/2,2)</f>
        <v>0</v>
      </c>
    </row>
    <row r="71" customFormat="false" ht="11.25" hidden="false" customHeight="false" outlineLevel="0" collapsed="false">
      <c r="A71" s="476" t="s">
        <v>284</v>
      </c>
      <c r="B71" s="470" t="s">
        <v>217</v>
      </c>
      <c r="C71" s="473"/>
      <c r="D71" s="479"/>
      <c r="E71" s="280" t="n">
        <f aca="false">D71*($K$9+$L$9)*-1</f>
        <v>0</v>
      </c>
      <c r="F71" s="286" t="n">
        <f aca="false">+E71+D71</f>
        <v>0</v>
      </c>
      <c r="G71" s="280" t="n">
        <f aca="false">+F71*$G$9</f>
        <v>0</v>
      </c>
      <c r="H71" s="286" t="n">
        <f aca="false">+F71+G71</f>
        <v>0</v>
      </c>
      <c r="I71" s="280" t="n">
        <f aca="false">+H71*$I$9</f>
        <v>0</v>
      </c>
      <c r="J71" s="286" t="n">
        <f aca="false">+I71+H71</f>
        <v>0</v>
      </c>
      <c r="K71" s="280" t="n">
        <f aca="false">+N71*$K$9</f>
        <v>0</v>
      </c>
      <c r="L71" s="280" t="n">
        <f aca="false">+N71*$L$9</f>
        <v>0</v>
      </c>
      <c r="M71" s="280" t="n">
        <f aca="false">+N71*$M$9</f>
        <v>0</v>
      </c>
      <c r="N71" s="280" t="n">
        <f aca="false">+J71/(1-$N$9)</f>
        <v>0</v>
      </c>
      <c r="O71" s="286" t="n">
        <f aca="false">ROUND(+N71/2,2)</f>
        <v>0</v>
      </c>
    </row>
    <row r="72" customFormat="false" ht="11.25" hidden="false" customHeight="false" outlineLevel="0" collapsed="false">
      <c r="A72" s="469" t="s">
        <v>285</v>
      </c>
      <c r="B72" s="470" t="s">
        <v>217</v>
      </c>
      <c r="C72" s="473"/>
      <c r="D72" s="479"/>
      <c r="E72" s="280" t="n">
        <f aca="false">D72*($K$9+$L$9)*-1</f>
        <v>0</v>
      </c>
      <c r="F72" s="286" t="n">
        <f aca="false">+E72+D72</f>
        <v>0</v>
      </c>
      <c r="G72" s="280" t="n">
        <f aca="false">+F72*$G$9</f>
        <v>0</v>
      </c>
      <c r="H72" s="286" t="n">
        <f aca="false">+F72+G72</f>
        <v>0</v>
      </c>
      <c r="I72" s="280" t="n">
        <f aca="false">+H72*$I$9</f>
        <v>0</v>
      </c>
      <c r="J72" s="286" t="n">
        <f aca="false">+I72+H72</f>
        <v>0</v>
      </c>
      <c r="K72" s="280" t="n">
        <f aca="false">+N72*$K$9</f>
        <v>0</v>
      </c>
      <c r="L72" s="280" t="n">
        <f aca="false">+N72*$L$9</f>
        <v>0</v>
      </c>
      <c r="M72" s="280" t="n">
        <f aca="false">+N72*$M$9</f>
        <v>0</v>
      </c>
      <c r="N72" s="280" t="n">
        <f aca="false">+J72/(1-$N$9)</f>
        <v>0</v>
      </c>
      <c r="O72" s="286" t="n">
        <f aca="false">ROUND(+N72/2,2)</f>
        <v>0</v>
      </c>
    </row>
    <row r="73" customFormat="false" ht="11.25" hidden="false" customHeight="false" outlineLevel="0" collapsed="false">
      <c r="A73" s="252" t="s">
        <v>286</v>
      </c>
      <c r="B73" s="470" t="s">
        <v>217</v>
      </c>
      <c r="C73" s="473"/>
      <c r="D73" s="479"/>
      <c r="E73" s="280" t="n">
        <f aca="false">D73*($K$9+$L$9)*-1</f>
        <v>0</v>
      </c>
      <c r="F73" s="286" t="n">
        <f aca="false">+E73+D73</f>
        <v>0</v>
      </c>
      <c r="G73" s="280" t="n">
        <f aca="false">+F73*$G$9</f>
        <v>0</v>
      </c>
      <c r="H73" s="286" t="n">
        <f aca="false">+F73+G73</f>
        <v>0</v>
      </c>
      <c r="I73" s="280" t="n">
        <f aca="false">+H73*$I$9</f>
        <v>0</v>
      </c>
      <c r="J73" s="286" t="n">
        <f aca="false">+I73+H73</f>
        <v>0</v>
      </c>
      <c r="K73" s="280" t="n">
        <f aca="false">+N73*$K$9</f>
        <v>0</v>
      </c>
      <c r="L73" s="280" t="n">
        <f aca="false">+N73*$L$9</f>
        <v>0</v>
      </c>
      <c r="M73" s="280" t="n">
        <f aca="false">+N73*$M$9</f>
        <v>0</v>
      </c>
      <c r="N73" s="280" t="n">
        <f aca="false">+J73/(1-$N$9)</f>
        <v>0</v>
      </c>
      <c r="O73" s="286" t="n">
        <f aca="false">ROUND(+N73/2,2)</f>
        <v>0</v>
      </c>
    </row>
    <row r="74" customFormat="false" ht="11.25" hidden="false" customHeight="false" outlineLevel="0" collapsed="false">
      <c r="A74" s="252" t="s">
        <v>287</v>
      </c>
      <c r="B74" s="470" t="s">
        <v>217</v>
      </c>
      <c r="C74" s="473"/>
      <c r="D74" s="479"/>
      <c r="E74" s="280" t="n">
        <f aca="false">D74*($K$9+$L$9)*-1</f>
        <v>0</v>
      </c>
      <c r="F74" s="286" t="n">
        <f aca="false">+E74+D74</f>
        <v>0</v>
      </c>
      <c r="G74" s="280" t="n">
        <f aca="false">+F74*$G$9</f>
        <v>0</v>
      </c>
      <c r="H74" s="286" t="n">
        <f aca="false">+F74+G74</f>
        <v>0</v>
      </c>
      <c r="I74" s="280" t="n">
        <f aca="false">+H74*$I$9</f>
        <v>0</v>
      </c>
      <c r="J74" s="286" t="n">
        <f aca="false">+I74+H74</f>
        <v>0</v>
      </c>
      <c r="K74" s="280" t="n">
        <f aca="false">+N74*$K$9</f>
        <v>0</v>
      </c>
      <c r="L74" s="280" t="n">
        <f aca="false">+N74*$L$9</f>
        <v>0</v>
      </c>
      <c r="M74" s="280" t="n">
        <f aca="false">+N74*$M$9</f>
        <v>0</v>
      </c>
      <c r="N74" s="280" t="n">
        <f aca="false">+J74/(1-$N$9)</f>
        <v>0</v>
      </c>
      <c r="O74" s="286" t="n">
        <f aca="false">ROUND(+N74/2,2)</f>
        <v>0</v>
      </c>
    </row>
    <row r="75" customFormat="false" ht="11.25" hidden="false" customHeight="false" outlineLevel="0" collapsed="false">
      <c r="A75" s="252" t="s">
        <v>288</v>
      </c>
      <c r="B75" s="470" t="s">
        <v>217</v>
      </c>
      <c r="C75" s="473"/>
      <c r="D75" s="479"/>
      <c r="E75" s="280" t="n">
        <f aca="false">D75*($K$9+$L$9)*-1</f>
        <v>0</v>
      </c>
      <c r="F75" s="286" t="n">
        <f aca="false">+E75+D75</f>
        <v>0</v>
      </c>
      <c r="G75" s="280" t="n">
        <f aca="false">+F75*$G$9</f>
        <v>0</v>
      </c>
      <c r="H75" s="286" t="n">
        <f aca="false">+F75+G75</f>
        <v>0</v>
      </c>
      <c r="I75" s="280" t="n">
        <f aca="false">+H75*$I$9</f>
        <v>0</v>
      </c>
      <c r="J75" s="286" t="n">
        <f aca="false">+I75+H75</f>
        <v>0</v>
      </c>
      <c r="K75" s="280" t="n">
        <f aca="false">+N75*$K$9</f>
        <v>0</v>
      </c>
      <c r="L75" s="280" t="n">
        <f aca="false">+N75*$L$9</f>
        <v>0</v>
      </c>
      <c r="M75" s="280" t="n">
        <f aca="false">+N75*$M$9</f>
        <v>0</v>
      </c>
      <c r="N75" s="280" t="n">
        <f aca="false">+J75/(1-$N$9)</f>
        <v>0</v>
      </c>
      <c r="O75" s="286" t="n">
        <f aca="false">ROUND(+N75/2,2)</f>
        <v>0</v>
      </c>
    </row>
    <row r="76" customFormat="false" ht="11.25" hidden="false" customHeight="false" outlineLevel="0" collapsed="false">
      <c r="A76" s="252" t="s">
        <v>289</v>
      </c>
      <c r="B76" s="470" t="s">
        <v>217</v>
      </c>
      <c r="C76" s="473"/>
      <c r="D76" s="479"/>
      <c r="E76" s="280" t="n">
        <f aca="false">D76*($K$9+$L$9)*-1</f>
        <v>0</v>
      </c>
      <c r="F76" s="286" t="n">
        <f aca="false">+E76+D76</f>
        <v>0</v>
      </c>
      <c r="G76" s="280" t="n">
        <f aca="false">+F76*$G$9</f>
        <v>0</v>
      </c>
      <c r="H76" s="286" t="n">
        <f aca="false">+F76+G76</f>
        <v>0</v>
      </c>
      <c r="I76" s="280" t="n">
        <f aca="false">+H76*$I$9</f>
        <v>0</v>
      </c>
      <c r="J76" s="286" t="n">
        <f aca="false">+I76+H76</f>
        <v>0</v>
      </c>
      <c r="K76" s="280" t="n">
        <f aca="false">+N76*$K$9</f>
        <v>0</v>
      </c>
      <c r="L76" s="280" t="n">
        <f aca="false">+N76*$L$9</f>
        <v>0</v>
      </c>
      <c r="M76" s="280" t="n">
        <f aca="false">+N76*$M$9</f>
        <v>0</v>
      </c>
      <c r="N76" s="280" t="n">
        <f aca="false">+J76/(1-$N$9)</f>
        <v>0</v>
      </c>
      <c r="O76" s="286" t="n">
        <f aca="false">ROUND(+N76/2,2)</f>
        <v>0</v>
      </c>
    </row>
    <row r="77" customFormat="false" ht="11.25" hidden="false" customHeight="false" outlineLevel="0" collapsed="false">
      <c r="A77" s="252" t="s">
        <v>290</v>
      </c>
      <c r="B77" s="470" t="s">
        <v>217</v>
      </c>
      <c r="C77" s="473"/>
      <c r="D77" s="479"/>
      <c r="E77" s="280" t="n">
        <f aca="false">D77*($K$9+$L$9)*-1</f>
        <v>0</v>
      </c>
      <c r="F77" s="286" t="n">
        <f aca="false">+E77+D77</f>
        <v>0</v>
      </c>
      <c r="G77" s="280" t="n">
        <f aca="false">+F77*$G$9</f>
        <v>0</v>
      </c>
      <c r="H77" s="286" t="n">
        <f aca="false">+F77+G77</f>
        <v>0</v>
      </c>
      <c r="I77" s="280" t="n">
        <f aca="false">+H77*$I$9</f>
        <v>0</v>
      </c>
      <c r="J77" s="286" t="n">
        <f aca="false">+I77+H77</f>
        <v>0</v>
      </c>
      <c r="K77" s="280" t="n">
        <f aca="false">+N77*$K$9</f>
        <v>0</v>
      </c>
      <c r="L77" s="280" t="n">
        <f aca="false">+N77*$L$9</f>
        <v>0</v>
      </c>
      <c r="M77" s="280" t="n">
        <f aca="false">+N77*$M$9</f>
        <v>0</v>
      </c>
      <c r="N77" s="280" t="n">
        <f aca="false">+J77/(1-$N$9)</f>
        <v>0</v>
      </c>
      <c r="O77" s="286" t="n">
        <f aca="false">ROUND(+N77/2,2)</f>
        <v>0</v>
      </c>
    </row>
    <row r="78" customFormat="false" ht="56.25" hidden="false" customHeight="true" outlineLevel="0" collapsed="false">
      <c r="A78" s="457" t="s">
        <v>344</v>
      </c>
      <c r="B78" s="457"/>
      <c r="C78" s="457"/>
      <c r="D78" s="457"/>
      <c r="E78" s="468" t="s">
        <v>336</v>
      </c>
      <c r="F78" s="468" t="s">
        <v>337</v>
      </c>
      <c r="G78" s="468" t="s">
        <v>328</v>
      </c>
      <c r="H78" s="468" t="s">
        <v>338</v>
      </c>
      <c r="I78" s="468" t="s">
        <v>329</v>
      </c>
      <c r="J78" s="468" t="s">
        <v>338</v>
      </c>
      <c r="K78" s="468" t="s">
        <v>330</v>
      </c>
      <c r="L78" s="468" t="s">
        <v>331</v>
      </c>
      <c r="M78" s="468" t="s">
        <v>332</v>
      </c>
      <c r="N78" s="468" t="s">
        <v>339</v>
      </c>
      <c r="O78" s="468" t="s">
        <v>340</v>
      </c>
    </row>
    <row r="79" customFormat="false" ht="11.25" hidden="false" customHeight="false" outlineLevel="0" collapsed="false">
      <c r="A79" s="469" t="s">
        <v>292</v>
      </c>
      <c r="B79" s="470" t="s">
        <v>217</v>
      </c>
      <c r="C79" s="473"/>
      <c r="D79" s="479"/>
      <c r="E79" s="280" t="n">
        <f aca="false">D79*($K$9+$L$9)*-1</f>
        <v>0</v>
      </c>
      <c r="F79" s="286" t="n">
        <f aca="false">+E79+D79</f>
        <v>0</v>
      </c>
      <c r="G79" s="280" t="n">
        <f aca="false">+F79*$G$9</f>
        <v>0</v>
      </c>
      <c r="H79" s="286" t="n">
        <f aca="false">+F79+G79</f>
        <v>0</v>
      </c>
      <c r="I79" s="280" t="n">
        <f aca="false">+H79*$I$9</f>
        <v>0</v>
      </c>
      <c r="J79" s="286" t="n">
        <f aca="false">+I79+H79</f>
        <v>0</v>
      </c>
      <c r="K79" s="280" t="n">
        <f aca="false">+N79*$K$9</f>
        <v>0</v>
      </c>
      <c r="L79" s="280" t="n">
        <f aca="false">+N79*$L$9</f>
        <v>0</v>
      </c>
      <c r="M79" s="280" t="n">
        <f aca="false">+N79*$M$9</f>
        <v>0</v>
      </c>
      <c r="N79" s="280" t="n">
        <f aca="false">+J79/(1-$N$9)</f>
        <v>0</v>
      </c>
      <c r="O79" s="286" t="n">
        <f aca="false">ROUND(+N79/3,2)</f>
        <v>0</v>
      </c>
    </row>
    <row r="80" customFormat="false" ht="11.25" hidden="false" customHeight="false" outlineLevel="0" collapsed="false">
      <c r="A80" s="469" t="s">
        <v>293</v>
      </c>
      <c r="B80" s="470" t="s">
        <v>217</v>
      </c>
      <c r="C80" s="473"/>
      <c r="D80" s="479"/>
      <c r="E80" s="280" t="n">
        <f aca="false">D80*($K$9+$L$9)*-1</f>
        <v>0</v>
      </c>
      <c r="F80" s="286" t="n">
        <f aca="false">+E80+D80</f>
        <v>0</v>
      </c>
      <c r="G80" s="280" t="n">
        <f aca="false">+F80*$G$9</f>
        <v>0</v>
      </c>
      <c r="H80" s="286" t="n">
        <f aca="false">+F80+G80</f>
        <v>0</v>
      </c>
      <c r="I80" s="280" t="n">
        <f aca="false">+H80*$I$9</f>
        <v>0</v>
      </c>
      <c r="J80" s="286" t="n">
        <f aca="false">+I80+H80</f>
        <v>0</v>
      </c>
      <c r="K80" s="280" t="n">
        <f aca="false">+N80*$K$9</f>
        <v>0</v>
      </c>
      <c r="L80" s="280" t="n">
        <f aca="false">+N80*$L$9</f>
        <v>0</v>
      </c>
      <c r="M80" s="280" t="n">
        <f aca="false">+N80*$M$9</f>
        <v>0</v>
      </c>
      <c r="N80" s="280" t="n">
        <f aca="false">+J80/(1-$N$9)</f>
        <v>0</v>
      </c>
      <c r="O80" s="286" t="n">
        <f aca="false">ROUND(+N80/3,2)</f>
        <v>0</v>
      </c>
    </row>
    <row r="81" customFormat="false" ht="11.25" hidden="false" customHeight="false" outlineLevel="0" collapsed="false">
      <c r="A81" s="469" t="s">
        <v>294</v>
      </c>
      <c r="B81" s="470" t="s">
        <v>217</v>
      </c>
      <c r="C81" s="473"/>
      <c r="D81" s="479"/>
      <c r="E81" s="280" t="n">
        <f aca="false">D81*($K$9+$L$9)*-1</f>
        <v>0</v>
      </c>
      <c r="F81" s="286" t="n">
        <f aca="false">+E81+D81</f>
        <v>0</v>
      </c>
      <c r="G81" s="280" t="n">
        <f aca="false">+F81*$G$9</f>
        <v>0</v>
      </c>
      <c r="H81" s="286" t="n">
        <f aca="false">+F81+G81</f>
        <v>0</v>
      </c>
      <c r="I81" s="280" t="n">
        <f aca="false">+H81*$I$9</f>
        <v>0</v>
      </c>
      <c r="J81" s="286" t="n">
        <f aca="false">+I81+H81</f>
        <v>0</v>
      </c>
      <c r="K81" s="280" t="n">
        <f aca="false">+N81*$K$9</f>
        <v>0</v>
      </c>
      <c r="L81" s="280" t="n">
        <f aca="false">+N81*$L$9</f>
        <v>0</v>
      </c>
      <c r="M81" s="280" t="n">
        <f aca="false">+N81*$M$9</f>
        <v>0</v>
      </c>
      <c r="N81" s="280" t="n">
        <f aca="false">+J81/(1-$N$9)</f>
        <v>0</v>
      </c>
      <c r="O81" s="286" t="n">
        <f aca="false">ROUND(+N81/3,2)</f>
        <v>0</v>
      </c>
    </row>
    <row r="82" customFormat="false" ht="11.25" hidden="false" customHeight="false" outlineLevel="0" collapsed="false">
      <c r="A82" s="469" t="s">
        <v>295</v>
      </c>
      <c r="B82" s="470" t="s">
        <v>217</v>
      </c>
      <c r="C82" s="473"/>
      <c r="D82" s="479"/>
      <c r="E82" s="280" t="n">
        <f aca="false">D82*($K$9+$L$9)*-1</f>
        <v>0</v>
      </c>
      <c r="F82" s="286" t="n">
        <f aca="false">+E82+D82</f>
        <v>0</v>
      </c>
      <c r="G82" s="280" t="n">
        <f aca="false">+F82*$G$9</f>
        <v>0</v>
      </c>
      <c r="H82" s="286" t="n">
        <f aca="false">+F82+G82</f>
        <v>0</v>
      </c>
      <c r="I82" s="280" t="n">
        <f aca="false">+H82*$I$9</f>
        <v>0</v>
      </c>
      <c r="J82" s="286" t="n">
        <f aca="false">+I82+H82</f>
        <v>0</v>
      </c>
      <c r="K82" s="280" t="n">
        <f aca="false">+N82*$K$9</f>
        <v>0</v>
      </c>
      <c r="L82" s="280" t="n">
        <f aca="false">+N82*$L$9</f>
        <v>0</v>
      </c>
      <c r="M82" s="280" t="n">
        <f aca="false">+N82*$M$9</f>
        <v>0</v>
      </c>
      <c r="N82" s="280" t="n">
        <f aca="false">+J82/(1-$N$9)</f>
        <v>0</v>
      </c>
      <c r="O82" s="286" t="n">
        <f aca="false">ROUND(+N82/3,2)</f>
        <v>0</v>
      </c>
    </row>
    <row r="83" customFormat="false" ht="11.25" hidden="false" customHeight="false" outlineLevel="0" collapsed="false">
      <c r="A83" s="252" t="s">
        <v>296</v>
      </c>
      <c r="B83" s="470" t="s">
        <v>217</v>
      </c>
      <c r="C83" s="473"/>
      <c r="D83" s="479"/>
      <c r="E83" s="280" t="n">
        <f aca="false">D83*($K$9+$L$9)*-1</f>
        <v>0</v>
      </c>
      <c r="F83" s="286" t="n">
        <f aca="false">+E83+D83</f>
        <v>0</v>
      </c>
      <c r="G83" s="280" t="n">
        <f aca="false">+F83*$G$9</f>
        <v>0</v>
      </c>
      <c r="H83" s="286" t="n">
        <f aca="false">+F83+G83</f>
        <v>0</v>
      </c>
      <c r="I83" s="280" t="n">
        <f aca="false">+H83*$I$9</f>
        <v>0</v>
      </c>
      <c r="J83" s="286" t="n">
        <f aca="false">+I83+H83</f>
        <v>0</v>
      </c>
      <c r="K83" s="280" t="n">
        <f aca="false">+N83*$K$9</f>
        <v>0</v>
      </c>
      <c r="L83" s="280" t="n">
        <f aca="false">+N83*$L$9</f>
        <v>0</v>
      </c>
      <c r="M83" s="280" t="n">
        <f aca="false">+N83*$M$9</f>
        <v>0</v>
      </c>
      <c r="N83" s="280" t="n">
        <f aca="false">+J83/(1-$N$9)</f>
        <v>0</v>
      </c>
      <c r="O83" s="286" t="n">
        <f aca="false">ROUND(+N83/3,2)</f>
        <v>0</v>
      </c>
    </row>
    <row r="84" customFormat="false" ht="11.25" hidden="false" customHeight="false" outlineLevel="0" collapsed="false">
      <c r="A84" s="252" t="s">
        <v>297</v>
      </c>
      <c r="B84" s="470" t="s">
        <v>217</v>
      </c>
      <c r="C84" s="473"/>
      <c r="D84" s="479"/>
      <c r="E84" s="280" t="n">
        <f aca="false">D84*($K$9+$L$9)*-1</f>
        <v>0</v>
      </c>
      <c r="F84" s="286" t="n">
        <f aca="false">+E84+D84</f>
        <v>0</v>
      </c>
      <c r="G84" s="280" t="n">
        <f aca="false">+F84*$G$9</f>
        <v>0</v>
      </c>
      <c r="H84" s="286" t="n">
        <f aca="false">+F84+G84</f>
        <v>0</v>
      </c>
      <c r="I84" s="280" t="n">
        <f aca="false">+H84*$I$9</f>
        <v>0</v>
      </c>
      <c r="J84" s="286" t="n">
        <f aca="false">+I84+H84</f>
        <v>0</v>
      </c>
      <c r="K84" s="280" t="n">
        <f aca="false">+N84*$K$9</f>
        <v>0</v>
      </c>
      <c r="L84" s="280" t="n">
        <f aca="false">+N84*$L$9</f>
        <v>0</v>
      </c>
      <c r="M84" s="280" t="n">
        <f aca="false">+N84*$M$9</f>
        <v>0</v>
      </c>
      <c r="N84" s="280" t="n">
        <f aca="false">+J84/(1-$N$9)</f>
        <v>0</v>
      </c>
      <c r="O84" s="286" t="n">
        <f aca="false">ROUND(+N84/3,2)</f>
        <v>0</v>
      </c>
    </row>
    <row r="85" customFormat="false" ht="11.25" hidden="false" customHeight="false" outlineLevel="0" collapsed="false">
      <c r="A85" s="252" t="s">
        <v>298</v>
      </c>
      <c r="B85" s="470" t="s">
        <v>217</v>
      </c>
      <c r="C85" s="473"/>
      <c r="D85" s="479"/>
      <c r="E85" s="280" t="n">
        <f aca="false">D85*($K$9+$L$9)*-1</f>
        <v>0</v>
      </c>
      <c r="F85" s="286" t="n">
        <f aca="false">+E85+D85</f>
        <v>0</v>
      </c>
      <c r="G85" s="280" t="n">
        <f aca="false">+F85*$G$9</f>
        <v>0</v>
      </c>
      <c r="H85" s="286" t="n">
        <f aca="false">+F85+G85</f>
        <v>0</v>
      </c>
      <c r="I85" s="280" t="n">
        <f aca="false">+H85*$I$9</f>
        <v>0</v>
      </c>
      <c r="J85" s="286" t="n">
        <f aca="false">+I85+H85</f>
        <v>0</v>
      </c>
      <c r="K85" s="280" t="n">
        <f aca="false">+N85*$K$9</f>
        <v>0</v>
      </c>
      <c r="L85" s="280" t="n">
        <f aca="false">+N85*$L$9</f>
        <v>0</v>
      </c>
      <c r="M85" s="280" t="n">
        <f aca="false">+N85*$M$9</f>
        <v>0</v>
      </c>
      <c r="N85" s="280" t="n">
        <f aca="false">+J85/(1-$N$9)</f>
        <v>0</v>
      </c>
      <c r="O85" s="286" t="n">
        <f aca="false">ROUND(+N85/3,2)</f>
        <v>0</v>
      </c>
    </row>
    <row r="86" customFormat="false" ht="56.25" hidden="false" customHeight="true" outlineLevel="0" collapsed="false">
      <c r="A86" s="457" t="s">
        <v>345</v>
      </c>
      <c r="B86" s="457"/>
      <c r="C86" s="457"/>
      <c r="D86" s="457"/>
      <c r="E86" s="468" t="s">
        <v>336</v>
      </c>
      <c r="F86" s="468" t="s">
        <v>337</v>
      </c>
      <c r="G86" s="468" t="s">
        <v>328</v>
      </c>
      <c r="H86" s="468" t="s">
        <v>338</v>
      </c>
      <c r="I86" s="468" t="s">
        <v>329</v>
      </c>
      <c r="J86" s="468" t="s">
        <v>338</v>
      </c>
      <c r="K86" s="468" t="s">
        <v>330</v>
      </c>
      <c r="L86" s="468" t="s">
        <v>331</v>
      </c>
      <c r="M86" s="468" t="s">
        <v>332</v>
      </c>
      <c r="N86" s="468" t="s">
        <v>339</v>
      </c>
      <c r="O86" s="468" t="s">
        <v>340</v>
      </c>
    </row>
    <row r="87" customFormat="false" ht="11.25" hidden="false" customHeight="false" outlineLevel="0" collapsed="false">
      <c r="A87" s="469" t="s">
        <v>300</v>
      </c>
      <c r="B87" s="470" t="s">
        <v>217</v>
      </c>
      <c r="C87" s="473"/>
      <c r="D87" s="479"/>
      <c r="E87" s="280" t="n">
        <f aca="false">D87*($K$9+$L$9)*-1</f>
        <v>0</v>
      </c>
      <c r="F87" s="286" t="n">
        <f aca="false">+E87+D87</f>
        <v>0</v>
      </c>
      <c r="G87" s="280" t="n">
        <f aca="false">+F87*$G$9</f>
        <v>0</v>
      </c>
      <c r="H87" s="286" t="n">
        <f aca="false">+F87+G87</f>
        <v>0</v>
      </c>
      <c r="I87" s="280" t="n">
        <f aca="false">+H87*$I$9</f>
        <v>0</v>
      </c>
      <c r="J87" s="286" t="n">
        <f aca="false">+I87+H87</f>
        <v>0</v>
      </c>
      <c r="K87" s="280" t="n">
        <f aca="false">+N87*$K$9</f>
        <v>0</v>
      </c>
      <c r="L87" s="280" t="n">
        <f aca="false">+N87*$L$9</f>
        <v>0</v>
      </c>
      <c r="M87" s="280" t="n">
        <f aca="false">+N87*$M$9</f>
        <v>0</v>
      </c>
      <c r="N87" s="280" t="n">
        <f aca="false">+J87/(1-$N$9)</f>
        <v>0</v>
      </c>
      <c r="O87" s="286" t="n">
        <f aca="false">ROUND(+N87/6,2)</f>
        <v>0</v>
      </c>
    </row>
    <row r="88" customFormat="false" ht="11.25" hidden="false" customHeight="false" outlineLevel="0" collapsed="false">
      <c r="A88" s="469" t="s">
        <v>301</v>
      </c>
      <c r="B88" s="470" t="s">
        <v>217</v>
      </c>
      <c r="C88" s="473"/>
      <c r="D88" s="479"/>
      <c r="E88" s="280" t="n">
        <f aca="false">D88*($K$9+$L$9)*-1</f>
        <v>0</v>
      </c>
      <c r="F88" s="286" t="n">
        <f aca="false">+E88+D88</f>
        <v>0</v>
      </c>
      <c r="G88" s="280" t="n">
        <f aca="false">+F88*$G$9</f>
        <v>0</v>
      </c>
      <c r="H88" s="286" t="n">
        <f aca="false">+F88+G88</f>
        <v>0</v>
      </c>
      <c r="I88" s="280" t="n">
        <f aca="false">+H88*$I$9</f>
        <v>0</v>
      </c>
      <c r="J88" s="286" t="n">
        <f aca="false">+I88+H88</f>
        <v>0</v>
      </c>
      <c r="K88" s="280" t="n">
        <f aca="false">+N88*$K$9</f>
        <v>0</v>
      </c>
      <c r="L88" s="280" t="n">
        <f aca="false">+N88*$L$9</f>
        <v>0</v>
      </c>
      <c r="M88" s="280" t="n">
        <f aca="false">+N88*$M$9</f>
        <v>0</v>
      </c>
      <c r="N88" s="280" t="n">
        <f aca="false">+J88/(1-$N$9)</f>
        <v>0</v>
      </c>
      <c r="O88" s="286" t="n">
        <f aca="false">ROUND(+N88/6,2)</f>
        <v>0</v>
      </c>
    </row>
    <row r="89" customFormat="false" ht="11.25" hidden="false" customHeight="false" outlineLevel="0" collapsed="false">
      <c r="A89" s="469" t="s">
        <v>302</v>
      </c>
      <c r="B89" s="470" t="s">
        <v>217</v>
      </c>
      <c r="C89" s="473"/>
      <c r="D89" s="479"/>
      <c r="E89" s="280" t="n">
        <f aca="false">D89*($K$9+$L$9)*-1</f>
        <v>0</v>
      </c>
      <c r="F89" s="286" t="n">
        <f aca="false">+E89+D89</f>
        <v>0</v>
      </c>
      <c r="G89" s="280" t="n">
        <f aca="false">+F89*$G$9</f>
        <v>0</v>
      </c>
      <c r="H89" s="286" t="n">
        <f aca="false">+F89+G89</f>
        <v>0</v>
      </c>
      <c r="I89" s="280" t="n">
        <f aca="false">+H89*$I$9</f>
        <v>0</v>
      </c>
      <c r="J89" s="286" t="n">
        <f aca="false">+I89+H89</f>
        <v>0</v>
      </c>
      <c r="K89" s="280" t="n">
        <f aca="false">+N89*$K$9</f>
        <v>0</v>
      </c>
      <c r="L89" s="280" t="n">
        <f aca="false">+N89*$L$9</f>
        <v>0</v>
      </c>
      <c r="M89" s="280" t="n">
        <f aca="false">+N89*$M$9</f>
        <v>0</v>
      </c>
      <c r="N89" s="280" t="n">
        <f aca="false">+J89/(1-$N$9)</f>
        <v>0</v>
      </c>
      <c r="O89" s="286" t="n">
        <f aca="false">ROUND(+N89/6,2)</f>
        <v>0</v>
      </c>
    </row>
    <row r="90" customFormat="false" ht="11.25" hidden="false" customHeight="false" outlineLevel="0" collapsed="false">
      <c r="A90" s="469" t="s">
        <v>303</v>
      </c>
      <c r="B90" s="470" t="s">
        <v>217</v>
      </c>
      <c r="C90" s="473"/>
      <c r="D90" s="479"/>
      <c r="E90" s="280" t="n">
        <f aca="false">D90*($K$9+$L$9)*-1</f>
        <v>0</v>
      </c>
      <c r="F90" s="286" t="n">
        <f aca="false">+E90+D90</f>
        <v>0</v>
      </c>
      <c r="G90" s="280" t="n">
        <f aca="false">+F90*$G$9</f>
        <v>0</v>
      </c>
      <c r="H90" s="286" t="n">
        <f aca="false">+F90+G90</f>
        <v>0</v>
      </c>
      <c r="I90" s="280" t="n">
        <f aca="false">+H90*$I$9</f>
        <v>0</v>
      </c>
      <c r="J90" s="286" t="n">
        <f aca="false">+I90+H90</f>
        <v>0</v>
      </c>
      <c r="K90" s="280" t="n">
        <f aca="false">+N90*$K$9</f>
        <v>0</v>
      </c>
      <c r="L90" s="280" t="n">
        <f aca="false">+N90*$L$9</f>
        <v>0</v>
      </c>
      <c r="M90" s="280" t="n">
        <f aca="false">+N90*$M$9</f>
        <v>0</v>
      </c>
      <c r="N90" s="280" t="n">
        <f aca="false">+J90/(1-$N$9)</f>
        <v>0</v>
      </c>
      <c r="O90" s="286" t="n">
        <f aca="false">ROUND(+N90/6,2)</f>
        <v>0</v>
      </c>
    </row>
    <row r="91" customFormat="false" ht="11.25" hidden="false" customHeight="false" outlineLevel="0" collapsed="false">
      <c r="A91" s="252" t="s">
        <v>304</v>
      </c>
      <c r="B91" s="470" t="s">
        <v>217</v>
      </c>
      <c r="C91" s="473"/>
      <c r="D91" s="479"/>
      <c r="E91" s="480" t="n">
        <f aca="false">D91*($K$9+$L$9)*-1</f>
        <v>0</v>
      </c>
      <c r="F91" s="481" t="n">
        <f aca="false">+E91+D91</f>
        <v>0</v>
      </c>
      <c r="G91" s="480" t="n">
        <f aca="false">+F91*$G$9</f>
        <v>0</v>
      </c>
      <c r="H91" s="481" t="n">
        <f aca="false">+F91+G91</f>
        <v>0</v>
      </c>
      <c r="I91" s="480" t="n">
        <f aca="false">+H91*$I$9</f>
        <v>0</v>
      </c>
      <c r="J91" s="481" t="n">
        <f aca="false">+I91+H91</f>
        <v>0</v>
      </c>
      <c r="K91" s="480" t="n">
        <f aca="false">+N91*$K$9</f>
        <v>0</v>
      </c>
      <c r="L91" s="480" t="n">
        <f aca="false">+N91*$L$9</f>
        <v>0</v>
      </c>
      <c r="M91" s="480" t="n">
        <f aca="false">+N91*$M$9</f>
        <v>0</v>
      </c>
      <c r="N91" s="480" t="n">
        <f aca="false">+J91/(1-$N$9)</f>
        <v>0</v>
      </c>
      <c r="O91" s="286" t="n">
        <f aca="false">ROUND(+N91/6,2)</f>
        <v>0</v>
      </c>
    </row>
    <row r="92" customFormat="false" ht="56.25" hidden="false" customHeight="true" outlineLevel="0" collapsed="false">
      <c r="A92" s="457" t="s">
        <v>346</v>
      </c>
      <c r="B92" s="457"/>
      <c r="C92" s="457"/>
      <c r="D92" s="457"/>
      <c r="E92" s="468" t="s">
        <v>347</v>
      </c>
      <c r="F92" s="468" t="s">
        <v>348</v>
      </c>
      <c r="G92" s="468" t="s">
        <v>349</v>
      </c>
      <c r="H92" s="468" t="s">
        <v>350</v>
      </c>
      <c r="I92" s="468" t="s">
        <v>336</v>
      </c>
      <c r="J92" s="468" t="s">
        <v>337</v>
      </c>
      <c r="K92" s="468" t="s">
        <v>328</v>
      </c>
      <c r="L92" s="468" t="s">
        <v>338</v>
      </c>
      <c r="M92" s="468" t="s">
        <v>329</v>
      </c>
      <c r="N92" s="468" t="s">
        <v>338</v>
      </c>
      <c r="O92" s="468" t="s">
        <v>330</v>
      </c>
      <c r="P92" s="468" t="s">
        <v>331</v>
      </c>
      <c r="Q92" s="468" t="s">
        <v>332</v>
      </c>
      <c r="R92" s="468" t="s">
        <v>339</v>
      </c>
      <c r="S92" s="468" t="s">
        <v>340</v>
      </c>
    </row>
    <row r="93" customFormat="false" ht="11.25" hidden="false" customHeight="false" outlineLevel="0" collapsed="false">
      <c r="A93" s="469" t="s">
        <v>306</v>
      </c>
      <c r="B93" s="470" t="s">
        <v>217</v>
      </c>
      <c r="C93" s="473"/>
      <c r="D93" s="479"/>
      <c r="E93" s="270" t="n">
        <v>60</v>
      </c>
      <c r="F93" s="287" t="n">
        <v>0.2</v>
      </c>
      <c r="G93" s="270" t="n">
        <v>12</v>
      </c>
      <c r="H93" s="286" t="n">
        <f aca="false">+(F93*D93)/12</f>
        <v>0</v>
      </c>
      <c r="I93" s="280" t="n">
        <f aca="false">H93*($K$9+$L$9)*-1</f>
        <v>0</v>
      </c>
      <c r="J93" s="286" t="n">
        <f aca="false">+H93+I93</f>
        <v>0</v>
      </c>
      <c r="K93" s="280" t="n">
        <f aca="false">+J93*$G$9</f>
        <v>0</v>
      </c>
      <c r="L93" s="286" t="n">
        <f aca="false">+J93+K93</f>
        <v>0</v>
      </c>
      <c r="M93" s="280" t="n">
        <f aca="false">+L93*$I$9</f>
        <v>0</v>
      </c>
      <c r="N93" s="286" t="n">
        <f aca="false">+M93+L93</f>
        <v>0</v>
      </c>
      <c r="O93" s="280" t="n">
        <f aca="false">+R93*$K$9</f>
        <v>0</v>
      </c>
      <c r="P93" s="280" t="n">
        <f aca="false">+R93*$L$9</f>
        <v>0</v>
      </c>
      <c r="Q93" s="280" t="n">
        <f aca="false">+R93*$M$9</f>
        <v>0</v>
      </c>
      <c r="R93" s="280" t="n">
        <f aca="false">+N93/(1-$N$9)</f>
        <v>0</v>
      </c>
      <c r="S93" s="286" t="n">
        <f aca="false">ROUND(+R93,2)</f>
        <v>0</v>
      </c>
    </row>
    <row r="94" customFormat="false" ht="11.25" hidden="false" customHeight="false" outlineLevel="0" collapsed="false">
      <c r="A94" s="469" t="s">
        <v>307</v>
      </c>
      <c r="B94" s="470" t="s">
        <v>217</v>
      </c>
      <c r="C94" s="473"/>
      <c r="D94" s="479"/>
      <c r="E94" s="270" t="n">
        <v>60</v>
      </c>
      <c r="F94" s="287" t="n">
        <v>0.2</v>
      </c>
      <c r="G94" s="270" t="n">
        <v>12</v>
      </c>
      <c r="H94" s="286" t="n">
        <f aca="false">+(F94*D94)/12</f>
        <v>0</v>
      </c>
      <c r="I94" s="280" t="n">
        <f aca="false">H94*($K$9+$L$9)*-1</f>
        <v>0</v>
      </c>
      <c r="J94" s="286" t="n">
        <f aca="false">+H94+I94</f>
        <v>0</v>
      </c>
      <c r="K94" s="280" t="n">
        <f aca="false">+J94*$G$9</f>
        <v>0</v>
      </c>
      <c r="L94" s="286" t="n">
        <f aca="false">+J94+K94</f>
        <v>0</v>
      </c>
      <c r="M94" s="280" t="n">
        <f aca="false">+L94*$I$9</f>
        <v>0</v>
      </c>
      <c r="N94" s="286" t="n">
        <f aca="false">+M94+L94</f>
        <v>0</v>
      </c>
      <c r="O94" s="280" t="n">
        <f aca="false">+R94*$K$9</f>
        <v>0</v>
      </c>
      <c r="P94" s="280" t="n">
        <f aca="false">+R94*$L$9</f>
        <v>0</v>
      </c>
      <c r="Q94" s="280" t="n">
        <f aca="false">+R94*$M$9</f>
        <v>0</v>
      </c>
      <c r="R94" s="280" t="n">
        <f aca="false">+N94/(1-$N$9)</f>
        <v>0</v>
      </c>
      <c r="S94" s="286" t="n">
        <f aca="false">ROUND(+R94,2)</f>
        <v>0</v>
      </c>
    </row>
    <row r="95" customFormat="false" ht="11.25" hidden="false" customHeight="false" outlineLevel="0" collapsed="false">
      <c r="A95" s="469" t="s">
        <v>308</v>
      </c>
      <c r="B95" s="470" t="s">
        <v>217</v>
      </c>
      <c r="C95" s="473"/>
      <c r="D95" s="479"/>
      <c r="E95" s="270" t="n">
        <v>60</v>
      </c>
      <c r="F95" s="287" t="n">
        <v>0.2</v>
      </c>
      <c r="G95" s="270" t="n">
        <v>12</v>
      </c>
      <c r="H95" s="286" t="n">
        <f aca="false">+(F95*D95)/12</f>
        <v>0</v>
      </c>
      <c r="I95" s="280" t="n">
        <f aca="false">H95*($K$9+$L$9)*-1</f>
        <v>0</v>
      </c>
      <c r="J95" s="286" t="n">
        <f aca="false">+H95+I95</f>
        <v>0</v>
      </c>
      <c r="K95" s="280" t="n">
        <f aca="false">+J95*$G$9</f>
        <v>0</v>
      </c>
      <c r="L95" s="286" t="n">
        <f aca="false">+J95+K95</f>
        <v>0</v>
      </c>
      <c r="M95" s="280" t="n">
        <f aca="false">+L95*$I$9</f>
        <v>0</v>
      </c>
      <c r="N95" s="286" t="n">
        <f aca="false">+M95+L95</f>
        <v>0</v>
      </c>
      <c r="O95" s="280" t="n">
        <f aca="false">+R95*$K$9</f>
        <v>0</v>
      </c>
      <c r="P95" s="280" t="n">
        <f aca="false">+R95*$L$9</f>
        <v>0</v>
      </c>
      <c r="Q95" s="280" t="n">
        <f aca="false">+R95*$M$9</f>
        <v>0</v>
      </c>
      <c r="R95" s="280" t="n">
        <f aca="false">+N95/(1-$N$9)</f>
        <v>0</v>
      </c>
      <c r="S95" s="286" t="n">
        <f aca="false">ROUND(+R95,2)</f>
        <v>0</v>
      </c>
    </row>
    <row r="96" customFormat="false" ht="11.25" hidden="false" customHeight="false" outlineLevel="0" collapsed="false">
      <c r="A96" s="469" t="s">
        <v>309</v>
      </c>
      <c r="B96" s="470" t="s">
        <v>217</v>
      </c>
      <c r="C96" s="473"/>
      <c r="D96" s="479"/>
      <c r="E96" s="270" t="n">
        <v>60</v>
      </c>
      <c r="F96" s="287" t="n">
        <v>0.2</v>
      </c>
      <c r="G96" s="270" t="n">
        <v>12</v>
      </c>
      <c r="H96" s="286" t="n">
        <f aca="false">+(F96*D96)/12</f>
        <v>0</v>
      </c>
      <c r="I96" s="280" t="n">
        <f aca="false">H96*($K$9+$L$9)*-1</f>
        <v>0</v>
      </c>
      <c r="J96" s="286" t="n">
        <f aca="false">+H96+I96</f>
        <v>0</v>
      </c>
      <c r="K96" s="280" t="n">
        <f aca="false">+J96*$G$9</f>
        <v>0</v>
      </c>
      <c r="L96" s="286" t="n">
        <f aca="false">+J96+K96</f>
        <v>0</v>
      </c>
      <c r="M96" s="280" t="n">
        <f aca="false">+L96*$I$9</f>
        <v>0</v>
      </c>
      <c r="N96" s="286" t="n">
        <f aca="false">+M96+L96</f>
        <v>0</v>
      </c>
      <c r="O96" s="280" t="n">
        <f aca="false">+R96*$K$9</f>
        <v>0</v>
      </c>
      <c r="P96" s="280" t="n">
        <f aca="false">+R96*$L$9</f>
        <v>0</v>
      </c>
      <c r="Q96" s="280" t="n">
        <f aca="false">+R96*$M$9</f>
        <v>0</v>
      </c>
      <c r="R96" s="280" t="n">
        <f aca="false">+N96/(1-$N$9)</f>
        <v>0</v>
      </c>
      <c r="S96" s="286" t="n">
        <f aca="false">ROUND(+R96,2)</f>
        <v>0</v>
      </c>
    </row>
    <row r="97" customFormat="false" ht="11.25" hidden="false" customHeight="false" outlineLevel="0" collapsed="false">
      <c r="A97" s="469" t="s">
        <v>310</v>
      </c>
      <c r="B97" s="470" t="s">
        <v>217</v>
      </c>
      <c r="C97" s="473"/>
      <c r="D97" s="479"/>
      <c r="E97" s="270" t="n">
        <v>60</v>
      </c>
      <c r="F97" s="287" t="n">
        <v>0.2</v>
      </c>
      <c r="G97" s="270" t="n">
        <v>12</v>
      </c>
      <c r="H97" s="286" t="n">
        <f aca="false">+(F97*D97)/12</f>
        <v>0</v>
      </c>
      <c r="I97" s="280" t="n">
        <f aca="false">H97*($K$9+$L$9)*-1</f>
        <v>0</v>
      </c>
      <c r="J97" s="286" t="n">
        <f aca="false">+H97+I97</f>
        <v>0</v>
      </c>
      <c r="K97" s="280" t="n">
        <f aca="false">+J97*$G$9</f>
        <v>0</v>
      </c>
      <c r="L97" s="286" t="n">
        <f aca="false">+J97+K97</f>
        <v>0</v>
      </c>
      <c r="M97" s="280" t="n">
        <f aca="false">+L97*$I$9</f>
        <v>0</v>
      </c>
      <c r="N97" s="286" t="n">
        <f aca="false">+M97+L97</f>
        <v>0</v>
      </c>
      <c r="O97" s="280" t="n">
        <f aca="false">+R97*$K$9</f>
        <v>0</v>
      </c>
      <c r="P97" s="280" t="n">
        <f aca="false">+R97*$L$9</f>
        <v>0</v>
      </c>
      <c r="Q97" s="280" t="n">
        <f aca="false">+R97*$M$9</f>
        <v>0</v>
      </c>
      <c r="R97" s="280" t="n">
        <f aca="false">+N97/(1-$N$9)</f>
        <v>0</v>
      </c>
      <c r="S97" s="286" t="n">
        <f aca="false">ROUND(+R97,2)</f>
        <v>0</v>
      </c>
    </row>
    <row r="98" customFormat="false" ht="11.25" hidden="false" customHeight="false" outlineLevel="0" collapsed="false">
      <c r="A98" s="476" t="s">
        <v>311</v>
      </c>
      <c r="B98" s="470" t="s">
        <v>217</v>
      </c>
      <c r="C98" s="473"/>
      <c r="D98" s="479"/>
      <c r="E98" s="270" t="n">
        <v>60</v>
      </c>
      <c r="F98" s="287" t="n">
        <v>0.2</v>
      </c>
      <c r="G98" s="270" t="n">
        <v>12</v>
      </c>
      <c r="H98" s="286" t="n">
        <f aca="false">+(F98*D98)/12</f>
        <v>0</v>
      </c>
      <c r="I98" s="280" t="n">
        <f aca="false">H98*($K$9+$L$9)*-1</f>
        <v>0</v>
      </c>
      <c r="J98" s="286" t="n">
        <f aca="false">+H98+I98</f>
        <v>0</v>
      </c>
      <c r="K98" s="280" t="n">
        <f aca="false">+J98*$G$9</f>
        <v>0</v>
      </c>
      <c r="L98" s="286" t="n">
        <f aca="false">+J98+K98</f>
        <v>0</v>
      </c>
      <c r="M98" s="280" t="n">
        <f aca="false">+L98*$I$9</f>
        <v>0</v>
      </c>
      <c r="N98" s="286" t="n">
        <f aca="false">+M98+L98</f>
        <v>0</v>
      </c>
      <c r="O98" s="280" t="n">
        <f aca="false">+R98*$K$9</f>
        <v>0</v>
      </c>
      <c r="P98" s="280" t="n">
        <f aca="false">+R98*$L$9</f>
        <v>0</v>
      </c>
      <c r="Q98" s="280" t="n">
        <f aca="false">+R98*$M$9</f>
        <v>0</v>
      </c>
      <c r="R98" s="280" t="n">
        <f aca="false">+N98/(1-$N$9)</f>
        <v>0</v>
      </c>
      <c r="S98" s="286" t="n">
        <f aca="false">ROUND(+R98,2)</f>
        <v>0</v>
      </c>
    </row>
    <row r="99" customFormat="false" ht="11.25" hidden="false" customHeight="false" outlineLevel="0" collapsed="false">
      <c r="A99" s="476" t="s">
        <v>312</v>
      </c>
      <c r="B99" s="470" t="s">
        <v>217</v>
      </c>
      <c r="C99" s="473"/>
      <c r="D99" s="479"/>
      <c r="E99" s="270" t="n">
        <v>60</v>
      </c>
      <c r="F99" s="287" t="n">
        <v>0.2</v>
      </c>
      <c r="G99" s="270" t="n">
        <v>12</v>
      </c>
      <c r="H99" s="286" t="n">
        <f aca="false">+(F99*D99)/12</f>
        <v>0</v>
      </c>
      <c r="I99" s="280" t="n">
        <f aca="false">H99*($K$9+$L$9)*-1</f>
        <v>0</v>
      </c>
      <c r="J99" s="286" t="n">
        <f aca="false">+H99+I99</f>
        <v>0</v>
      </c>
      <c r="K99" s="280" t="n">
        <f aca="false">+J99*$G$9</f>
        <v>0</v>
      </c>
      <c r="L99" s="286" t="n">
        <f aca="false">+J99+K99</f>
        <v>0</v>
      </c>
      <c r="M99" s="280" t="n">
        <f aca="false">+L99*$I$9</f>
        <v>0</v>
      </c>
      <c r="N99" s="286" t="n">
        <f aca="false">+M99+L99</f>
        <v>0</v>
      </c>
      <c r="O99" s="280" t="n">
        <f aca="false">+R99*$K$9</f>
        <v>0</v>
      </c>
      <c r="P99" s="280" t="n">
        <f aca="false">+R99*$L$9</f>
        <v>0</v>
      </c>
      <c r="Q99" s="280" t="n">
        <f aca="false">+R99*$M$9</f>
        <v>0</v>
      </c>
      <c r="R99" s="280" t="n">
        <f aca="false">+N99/(1-$N$9)</f>
        <v>0</v>
      </c>
      <c r="S99" s="286" t="n">
        <f aca="false">ROUND(+R99,2)</f>
        <v>0</v>
      </c>
    </row>
    <row r="100" customFormat="false" ht="11.25" hidden="false" customHeight="false" outlineLevel="0" collapsed="false">
      <c r="A100" s="476" t="s">
        <v>313</v>
      </c>
      <c r="B100" s="470" t="s">
        <v>217</v>
      </c>
      <c r="C100" s="473"/>
      <c r="D100" s="479"/>
      <c r="E100" s="270" t="n">
        <v>24</v>
      </c>
      <c r="F100" s="287" t="n">
        <v>0.2</v>
      </c>
      <c r="G100" s="270" t="n">
        <v>12</v>
      </c>
      <c r="H100" s="286" t="n">
        <f aca="false">+(F100*D100)/12</f>
        <v>0</v>
      </c>
      <c r="I100" s="280" t="n">
        <f aca="false">H100*($K$9+$L$9)*-1</f>
        <v>0</v>
      </c>
      <c r="J100" s="286" t="n">
        <f aca="false">+H100+I100</f>
        <v>0</v>
      </c>
      <c r="K100" s="280" t="n">
        <f aca="false">+J100*$G$9</f>
        <v>0</v>
      </c>
      <c r="L100" s="286" t="n">
        <f aca="false">+J100+K100</f>
        <v>0</v>
      </c>
      <c r="M100" s="280" t="n">
        <f aca="false">+L100*$I$9</f>
        <v>0</v>
      </c>
      <c r="N100" s="286" t="n">
        <f aca="false">+M100+L100</f>
        <v>0</v>
      </c>
      <c r="O100" s="280" t="n">
        <f aca="false">+R100*$K$9</f>
        <v>0</v>
      </c>
      <c r="P100" s="280" t="n">
        <f aca="false">+R100*$L$9</f>
        <v>0</v>
      </c>
      <c r="Q100" s="280" t="n">
        <f aca="false">+R100*$M$9</f>
        <v>0</v>
      </c>
      <c r="R100" s="280" t="n">
        <f aca="false">+N100/(1-$N$9)</f>
        <v>0</v>
      </c>
      <c r="S100" s="286" t="n">
        <f aca="false">ROUND(+R100,2)</f>
        <v>0</v>
      </c>
    </row>
    <row r="101" customFormat="false" ht="11.25" hidden="false" customHeight="false" outlineLevel="0" collapsed="false">
      <c r="A101" s="476" t="s">
        <v>314</v>
      </c>
      <c r="B101" s="470" t="s">
        <v>217</v>
      </c>
      <c r="C101" s="473"/>
      <c r="D101" s="479"/>
      <c r="E101" s="270" t="n">
        <v>24</v>
      </c>
      <c r="F101" s="287" t="n">
        <v>0.2</v>
      </c>
      <c r="G101" s="270" t="n">
        <v>12</v>
      </c>
      <c r="H101" s="286" t="n">
        <f aca="false">+(F101*D101)/12</f>
        <v>0</v>
      </c>
      <c r="I101" s="280" t="n">
        <f aca="false">H101*($K$9+$L$9)*-1</f>
        <v>0</v>
      </c>
      <c r="J101" s="286" t="n">
        <f aca="false">+H101+I101</f>
        <v>0</v>
      </c>
      <c r="K101" s="280" t="n">
        <f aca="false">+J101*$G$9</f>
        <v>0</v>
      </c>
      <c r="L101" s="286" t="n">
        <f aca="false">+J101+K101</f>
        <v>0</v>
      </c>
      <c r="M101" s="280" t="n">
        <f aca="false">+L101*$I$9</f>
        <v>0</v>
      </c>
      <c r="N101" s="286" t="n">
        <f aca="false">+M101+L101</f>
        <v>0</v>
      </c>
      <c r="O101" s="280" t="n">
        <f aca="false">+R101*$K$9</f>
        <v>0</v>
      </c>
      <c r="P101" s="280" t="n">
        <f aca="false">+R101*$L$9</f>
        <v>0</v>
      </c>
      <c r="Q101" s="280" t="n">
        <f aca="false">+R101*$M$9</f>
        <v>0</v>
      </c>
      <c r="R101" s="280" t="n">
        <f aca="false">+N101/(1-$N$9)</f>
        <v>0</v>
      </c>
      <c r="S101" s="286" t="n">
        <f aca="false">ROUND(+R101,2)</f>
        <v>0</v>
      </c>
    </row>
    <row r="102" customFormat="false" ht="11.25" hidden="false" customHeight="false" outlineLevel="0" collapsed="false">
      <c r="A102" s="469" t="s">
        <v>315</v>
      </c>
      <c r="B102" s="475" t="s">
        <v>217</v>
      </c>
      <c r="C102" s="473"/>
      <c r="D102" s="479"/>
      <c r="E102" s="270" t="n">
        <v>60</v>
      </c>
      <c r="F102" s="287" t="n">
        <v>0.2</v>
      </c>
      <c r="G102" s="270" t="n">
        <v>12</v>
      </c>
      <c r="H102" s="286" t="n">
        <f aca="false">+(F102*D102)/12</f>
        <v>0</v>
      </c>
      <c r="I102" s="280" t="n">
        <f aca="false">H102*($K$9+$L$9)*-1</f>
        <v>0</v>
      </c>
      <c r="J102" s="286" t="n">
        <f aca="false">+H102+I102</f>
        <v>0</v>
      </c>
      <c r="K102" s="280" t="n">
        <f aca="false">+J102*$G$9</f>
        <v>0</v>
      </c>
      <c r="L102" s="286" t="n">
        <f aca="false">+J102+K102</f>
        <v>0</v>
      </c>
      <c r="M102" s="280" t="n">
        <f aca="false">+L102*$I$9</f>
        <v>0</v>
      </c>
      <c r="N102" s="286" t="n">
        <f aca="false">+M102+L102</f>
        <v>0</v>
      </c>
      <c r="O102" s="280" t="n">
        <f aca="false">+R102*$K$9</f>
        <v>0</v>
      </c>
      <c r="P102" s="280" t="n">
        <f aca="false">+R102*$L$9</f>
        <v>0</v>
      </c>
      <c r="Q102" s="280" t="n">
        <f aca="false">+R102*$M$9</f>
        <v>0</v>
      </c>
      <c r="R102" s="280" t="n">
        <f aca="false">+N102/(1-$N$9)</f>
        <v>0</v>
      </c>
      <c r="S102" s="286" t="n">
        <f aca="false">ROUND(+R102,2)</f>
        <v>0</v>
      </c>
    </row>
    <row r="103" customFormat="false" ht="11.25" hidden="false" customHeight="false" outlineLevel="0" collapsed="false">
      <c r="A103" s="469" t="s">
        <v>316</v>
      </c>
      <c r="B103" s="475" t="s">
        <v>217</v>
      </c>
      <c r="C103" s="473"/>
      <c r="D103" s="479"/>
      <c r="E103" s="270" t="n">
        <v>60</v>
      </c>
      <c r="F103" s="287" t="n">
        <v>0.2</v>
      </c>
      <c r="G103" s="270" t="n">
        <v>12</v>
      </c>
      <c r="H103" s="286" t="n">
        <f aca="false">+(F103*D103)/12</f>
        <v>0</v>
      </c>
      <c r="I103" s="280" t="n">
        <f aca="false">H103*($K$9+$L$9)*-1</f>
        <v>0</v>
      </c>
      <c r="J103" s="286" t="n">
        <f aca="false">+H103+I103</f>
        <v>0</v>
      </c>
      <c r="K103" s="280" t="n">
        <f aca="false">+J103*$G$9</f>
        <v>0</v>
      </c>
      <c r="L103" s="286" t="n">
        <f aca="false">+J103+K103</f>
        <v>0</v>
      </c>
      <c r="M103" s="280" t="n">
        <f aca="false">+L103*$I$9</f>
        <v>0</v>
      </c>
      <c r="N103" s="286" t="n">
        <f aca="false">+M103+L103</f>
        <v>0</v>
      </c>
      <c r="O103" s="280" t="n">
        <f aca="false">+R103*$K$9</f>
        <v>0</v>
      </c>
      <c r="P103" s="280" t="n">
        <f aca="false">+R103*$L$9</f>
        <v>0</v>
      </c>
      <c r="Q103" s="280" t="n">
        <f aca="false">+R103*$M$9</f>
        <v>0</v>
      </c>
      <c r="R103" s="280" t="n">
        <f aca="false">+N103/(1-$N$9)</f>
        <v>0</v>
      </c>
      <c r="S103" s="286" t="n">
        <f aca="false">ROUND(+R103,2)</f>
        <v>0</v>
      </c>
    </row>
    <row r="104" customFormat="false" ht="11.25" hidden="false" customHeight="false" outlineLevel="0" collapsed="false">
      <c r="A104" s="469" t="s">
        <v>317</v>
      </c>
      <c r="B104" s="475" t="s">
        <v>217</v>
      </c>
      <c r="C104" s="473"/>
      <c r="D104" s="479"/>
      <c r="E104" s="270" t="n">
        <v>60</v>
      </c>
      <c r="F104" s="287" t="n">
        <v>0.2</v>
      </c>
      <c r="G104" s="270" t="n">
        <v>12</v>
      </c>
      <c r="H104" s="286" t="n">
        <f aca="false">+(F104*D104)/12</f>
        <v>0</v>
      </c>
      <c r="I104" s="280" t="n">
        <f aca="false">H104*($K$9+$L$9)*-1</f>
        <v>0</v>
      </c>
      <c r="J104" s="286" t="n">
        <f aca="false">+H104+I104</f>
        <v>0</v>
      </c>
      <c r="K104" s="280" t="n">
        <f aca="false">+J104*$G$9</f>
        <v>0</v>
      </c>
      <c r="L104" s="286" t="n">
        <f aca="false">+J104+K104</f>
        <v>0</v>
      </c>
      <c r="M104" s="280" t="n">
        <f aca="false">+L104*$I$9</f>
        <v>0</v>
      </c>
      <c r="N104" s="286" t="n">
        <f aca="false">+M104+L104</f>
        <v>0</v>
      </c>
      <c r="O104" s="280" t="n">
        <f aca="false">+R104*$K$9</f>
        <v>0</v>
      </c>
      <c r="P104" s="280" t="n">
        <f aca="false">+R104*$L$9</f>
        <v>0</v>
      </c>
      <c r="Q104" s="280" t="n">
        <f aca="false">+R104*$M$9</f>
        <v>0</v>
      </c>
      <c r="R104" s="280" t="n">
        <f aca="false">+N104/(1-$N$9)</f>
        <v>0</v>
      </c>
      <c r="S104" s="286" t="n">
        <f aca="false">ROUND(+R104,2)</f>
        <v>0</v>
      </c>
    </row>
    <row r="105" customFormat="false" ht="11.25" hidden="false" customHeight="false" outlineLevel="0" collapsed="false">
      <c r="A105" s="469" t="s">
        <v>318</v>
      </c>
      <c r="B105" s="475" t="s">
        <v>217</v>
      </c>
      <c r="C105" s="473"/>
      <c r="D105" s="479"/>
      <c r="E105" s="270" t="n">
        <v>60</v>
      </c>
      <c r="F105" s="287" t="n">
        <v>0.2</v>
      </c>
      <c r="G105" s="270" t="n">
        <v>12</v>
      </c>
      <c r="H105" s="286" t="n">
        <f aca="false">+(F105*D105)/12</f>
        <v>0</v>
      </c>
      <c r="I105" s="280" t="n">
        <f aca="false">H105*($K$9+$L$9)*-1</f>
        <v>0</v>
      </c>
      <c r="J105" s="286" t="n">
        <f aca="false">+H105+I105</f>
        <v>0</v>
      </c>
      <c r="K105" s="280" t="n">
        <f aca="false">+J105*$G$9</f>
        <v>0</v>
      </c>
      <c r="L105" s="286" t="n">
        <f aca="false">+J105+K105</f>
        <v>0</v>
      </c>
      <c r="M105" s="280" t="n">
        <f aca="false">+L105*$I$9</f>
        <v>0</v>
      </c>
      <c r="N105" s="286" t="n">
        <f aca="false">+M105+L105</f>
        <v>0</v>
      </c>
      <c r="O105" s="280" t="n">
        <f aca="false">+R105*$K$9</f>
        <v>0</v>
      </c>
      <c r="P105" s="280" t="n">
        <f aca="false">+R105*$L$9</f>
        <v>0</v>
      </c>
      <c r="Q105" s="280" t="n">
        <f aca="false">+R105*$M$9</f>
        <v>0</v>
      </c>
      <c r="R105" s="280" t="n">
        <f aca="false">+N105/(1-$N$9)</f>
        <v>0</v>
      </c>
      <c r="S105" s="286" t="n">
        <f aca="false">ROUND(+R105,2)</f>
        <v>0</v>
      </c>
    </row>
    <row r="106" customFormat="false" ht="11.25" hidden="false" customHeight="false" outlineLevel="0" collapsed="false">
      <c r="A106" s="252" t="s">
        <v>319</v>
      </c>
      <c r="B106" s="475" t="s">
        <v>217</v>
      </c>
      <c r="C106" s="473"/>
      <c r="D106" s="479"/>
      <c r="E106" s="270" t="n">
        <v>60</v>
      </c>
      <c r="F106" s="287" t="n">
        <v>0.2</v>
      </c>
      <c r="G106" s="270" t="n">
        <v>12</v>
      </c>
      <c r="H106" s="286" t="n">
        <f aca="false">+(F106*D106)/12</f>
        <v>0</v>
      </c>
      <c r="I106" s="280" t="n">
        <f aca="false">H106*($K$9+$L$9)*-1</f>
        <v>0</v>
      </c>
      <c r="J106" s="286" t="n">
        <f aca="false">+H106+I106</f>
        <v>0</v>
      </c>
      <c r="K106" s="280" t="n">
        <f aca="false">+J106*$G$9</f>
        <v>0</v>
      </c>
      <c r="L106" s="286" t="n">
        <f aca="false">+J106+K106</f>
        <v>0</v>
      </c>
      <c r="M106" s="280" t="n">
        <f aca="false">+L106*$I$9</f>
        <v>0</v>
      </c>
      <c r="N106" s="286" t="n">
        <f aca="false">+M106+L106</f>
        <v>0</v>
      </c>
      <c r="O106" s="280" t="n">
        <f aca="false">+R106*$K$9</f>
        <v>0</v>
      </c>
      <c r="P106" s="280" t="n">
        <f aca="false">+R106*$L$9</f>
        <v>0</v>
      </c>
      <c r="Q106" s="280" t="n">
        <f aca="false">+R106*$M$9</f>
        <v>0</v>
      </c>
      <c r="R106" s="280" t="n">
        <f aca="false">+N106/(1-$N$9)</f>
        <v>0</v>
      </c>
      <c r="S106" s="286" t="n">
        <f aca="false">ROUND(+R106,2)</f>
        <v>0</v>
      </c>
    </row>
    <row r="107" customFormat="false" ht="11.25" hidden="false" customHeight="false" outlineLevel="0" collapsed="false">
      <c r="A107" s="252" t="s">
        <v>320</v>
      </c>
      <c r="B107" s="475" t="s">
        <v>217</v>
      </c>
      <c r="C107" s="473"/>
      <c r="D107" s="479"/>
      <c r="E107" s="270" t="n">
        <v>60</v>
      </c>
      <c r="F107" s="287" t="n">
        <v>0.2</v>
      </c>
      <c r="G107" s="270" t="n">
        <v>12</v>
      </c>
      <c r="H107" s="286" t="n">
        <f aca="false">+(F107*D107)/12</f>
        <v>0</v>
      </c>
      <c r="I107" s="280" t="n">
        <f aca="false">H107*($K$9+$L$9)*-1</f>
        <v>0</v>
      </c>
      <c r="J107" s="286" t="n">
        <f aca="false">+H107+I107</f>
        <v>0</v>
      </c>
      <c r="K107" s="280" t="n">
        <f aca="false">+J107*$G$9</f>
        <v>0</v>
      </c>
      <c r="L107" s="286" t="n">
        <f aca="false">+J107+K107</f>
        <v>0</v>
      </c>
      <c r="M107" s="280" t="n">
        <f aca="false">+L107*$I$9</f>
        <v>0</v>
      </c>
      <c r="N107" s="286" t="n">
        <f aca="false">+M107+L107</f>
        <v>0</v>
      </c>
      <c r="O107" s="280" t="n">
        <f aca="false">+R107*$K$9</f>
        <v>0</v>
      </c>
      <c r="P107" s="280" t="n">
        <f aca="false">+R107*$L$9</f>
        <v>0</v>
      </c>
      <c r="Q107" s="280" t="n">
        <f aca="false">+R107*$M$9</f>
        <v>0</v>
      </c>
      <c r="R107" s="280" t="n">
        <f aca="false">+N107/(1-$N$9)</f>
        <v>0</v>
      </c>
      <c r="S107" s="286" t="n">
        <f aca="false">ROUND(+R107,2)</f>
        <v>0</v>
      </c>
    </row>
    <row r="108" customFormat="false" ht="11.25" hidden="false" customHeight="false" outlineLevel="0" collapsed="false">
      <c r="A108" s="252" t="s">
        <v>321</v>
      </c>
      <c r="B108" s="475" t="s">
        <v>217</v>
      </c>
      <c r="C108" s="473"/>
      <c r="D108" s="479"/>
      <c r="E108" s="270" t="n">
        <v>60</v>
      </c>
      <c r="F108" s="287" t="n">
        <v>0.2</v>
      </c>
      <c r="G108" s="270" t="n">
        <v>12</v>
      </c>
      <c r="H108" s="286" t="n">
        <f aca="false">+(F108*D108)/12</f>
        <v>0</v>
      </c>
      <c r="I108" s="280" t="n">
        <f aca="false">H108*($K$9+$L$9)*-1</f>
        <v>0</v>
      </c>
      <c r="J108" s="286" t="n">
        <f aca="false">+H108+I108</f>
        <v>0</v>
      </c>
      <c r="K108" s="280" t="n">
        <f aca="false">+J108*$G$9</f>
        <v>0</v>
      </c>
      <c r="L108" s="286" t="n">
        <f aca="false">+J108+K108</f>
        <v>0</v>
      </c>
      <c r="M108" s="280" t="n">
        <f aca="false">+L108*$I$9</f>
        <v>0</v>
      </c>
      <c r="N108" s="286" t="n">
        <f aca="false">+M108+L108</f>
        <v>0</v>
      </c>
      <c r="O108" s="280" t="n">
        <f aca="false">+R108*$K$9</f>
        <v>0</v>
      </c>
      <c r="P108" s="280" t="n">
        <f aca="false">+R108*$L$9</f>
        <v>0</v>
      </c>
      <c r="Q108" s="280" t="n">
        <f aca="false">+R108*$M$9</f>
        <v>0</v>
      </c>
      <c r="R108" s="280" t="n">
        <f aca="false">+N108/(1-$N$9)</f>
        <v>0</v>
      </c>
      <c r="S108" s="286" t="n">
        <f aca="false">ROUND(+R108,2)</f>
        <v>0</v>
      </c>
    </row>
    <row r="109" customFormat="false" ht="11.25" hidden="false" customHeight="false" outlineLevel="0" collapsed="false">
      <c r="A109" s="283" t="s">
        <v>322</v>
      </c>
      <c r="B109" s="475" t="s">
        <v>217</v>
      </c>
      <c r="C109" s="473"/>
      <c r="D109" s="479"/>
      <c r="E109" s="270" t="n">
        <v>60</v>
      </c>
      <c r="F109" s="287" t="n">
        <v>0.2</v>
      </c>
      <c r="G109" s="270" t="n">
        <v>12</v>
      </c>
      <c r="H109" s="286" t="n">
        <f aca="false">+(F109*D109)/12</f>
        <v>0</v>
      </c>
      <c r="I109" s="280" t="n">
        <f aca="false">H109*($K$9+$L$9)*-1</f>
        <v>0</v>
      </c>
      <c r="J109" s="286" t="n">
        <f aca="false">+H109+I109</f>
        <v>0</v>
      </c>
      <c r="K109" s="280" t="n">
        <f aca="false">+J109*$G$9</f>
        <v>0</v>
      </c>
      <c r="L109" s="286" t="n">
        <f aca="false">+J109+K109</f>
        <v>0</v>
      </c>
      <c r="M109" s="280" t="n">
        <f aca="false">+L109*$I$9</f>
        <v>0</v>
      </c>
      <c r="N109" s="286" t="n">
        <f aca="false">+M109+L109</f>
        <v>0</v>
      </c>
      <c r="O109" s="280" t="n">
        <f aca="false">+R109*$K$9</f>
        <v>0</v>
      </c>
      <c r="P109" s="280" t="n">
        <f aca="false">+R109*$L$9</f>
        <v>0</v>
      </c>
      <c r="Q109" s="280" t="n">
        <f aca="false">+R109*$M$9</f>
        <v>0</v>
      </c>
      <c r="R109" s="280" t="n">
        <f aca="false">+N109/(1-$N$9)</f>
        <v>0</v>
      </c>
      <c r="S109" s="286" t="n">
        <f aca="false">ROUND(+R109,2)</f>
        <v>0</v>
      </c>
    </row>
    <row r="110" customFormat="false" ht="11.25" hidden="false" customHeight="false" outlineLevel="0" collapsed="false">
      <c r="A110" s="252" t="s">
        <v>323</v>
      </c>
      <c r="B110" s="475" t="s">
        <v>217</v>
      </c>
      <c r="C110" s="473"/>
      <c r="D110" s="479"/>
      <c r="E110" s="270" t="n">
        <v>60</v>
      </c>
      <c r="F110" s="287" t="n">
        <v>0.2</v>
      </c>
      <c r="G110" s="270" t="n">
        <v>12</v>
      </c>
      <c r="H110" s="286" t="n">
        <f aca="false">+(F110*D110)/12</f>
        <v>0</v>
      </c>
      <c r="I110" s="280" t="n">
        <f aca="false">H110*($K$9+$L$9)*-1</f>
        <v>0</v>
      </c>
      <c r="J110" s="286" t="n">
        <f aca="false">+H110+I110</f>
        <v>0</v>
      </c>
      <c r="K110" s="280" t="n">
        <f aca="false">+J110*$G$9</f>
        <v>0</v>
      </c>
      <c r="L110" s="286" t="n">
        <f aca="false">+J110+K110</f>
        <v>0</v>
      </c>
      <c r="M110" s="280" t="n">
        <f aca="false">+L110*$I$9</f>
        <v>0</v>
      </c>
      <c r="N110" s="286" t="n">
        <f aca="false">+M110+L110</f>
        <v>0</v>
      </c>
      <c r="O110" s="280" t="n">
        <f aca="false">+R110*$K$9</f>
        <v>0</v>
      </c>
      <c r="P110" s="280" t="n">
        <f aca="false">+R110*$L$9</f>
        <v>0</v>
      </c>
      <c r="Q110" s="280" t="n">
        <f aca="false">+R110*$M$9</f>
        <v>0</v>
      </c>
      <c r="R110" s="280" t="n">
        <f aca="false">+N110/(1-$N$9)</f>
        <v>0</v>
      </c>
      <c r="S110" s="286" t="n">
        <f aca="false">ROUND(+R110,2)</f>
        <v>0</v>
      </c>
    </row>
    <row r="111" customFormat="false" ht="11.25" hidden="false" customHeight="false" outlineLevel="0" collapsed="false">
      <c r="A111" s="252" t="s">
        <v>324</v>
      </c>
      <c r="B111" s="475" t="s">
        <v>217</v>
      </c>
      <c r="C111" s="473"/>
      <c r="D111" s="479"/>
      <c r="E111" s="270" t="n">
        <v>60</v>
      </c>
      <c r="F111" s="287" t="n">
        <v>0.2</v>
      </c>
      <c r="G111" s="270" t="n">
        <v>12</v>
      </c>
      <c r="H111" s="286" t="n">
        <f aca="false">+(F111*D111)/12</f>
        <v>0</v>
      </c>
      <c r="I111" s="280" t="n">
        <f aca="false">H111*($K$9+$L$9)*-1</f>
        <v>0</v>
      </c>
      <c r="J111" s="286" t="n">
        <f aca="false">+H111+I111</f>
        <v>0</v>
      </c>
      <c r="K111" s="280" t="n">
        <f aca="false">+J111*$G$9</f>
        <v>0</v>
      </c>
      <c r="L111" s="286" t="n">
        <f aca="false">+J111+K111</f>
        <v>0</v>
      </c>
      <c r="M111" s="280" t="n">
        <f aca="false">+L111*$I$9</f>
        <v>0</v>
      </c>
      <c r="N111" s="286" t="n">
        <f aca="false">+M111+L111</f>
        <v>0</v>
      </c>
      <c r="O111" s="280" t="n">
        <f aca="false">+R111*$K$9</f>
        <v>0</v>
      </c>
      <c r="P111" s="280" t="n">
        <f aca="false">+R111*$L$9</f>
        <v>0</v>
      </c>
      <c r="Q111" s="280" t="n">
        <f aca="false">+R111*$M$9</f>
        <v>0</v>
      </c>
      <c r="R111" s="280" t="n">
        <f aca="false">+N111/(1-$N$9)</f>
        <v>0</v>
      </c>
      <c r="S111" s="286" t="n">
        <f aca="false">ROUND(+R111,2)</f>
        <v>0</v>
      </c>
    </row>
    <row r="112" customFormat="false" ht="11.25" hidden="false" customHeight="false" outlineLevel="0" collapsed="false">
      <c r="A112" s="283" t="s">
        <v>325</v>
      </c>
      <c r="B112" s="475" t="s">
        <v>217</v>
      </c>
      <c r="C112" s="473"/>
      <c r="D112" s="479"/>
      <c r="E112" s="270" t="n">
        <v>60</v>
      </c>
      <c r="F112" s="287" t="n">
        <v>0.2</v>
      </c>
      <c r="G112" s="270" t="n">
        <v>12</v>
      </c>
      <c r="H112" s="286" t="n">
        <f aca="false">+(F112*D112)/12</f>
        <v>0</v>
      </c>
      <c r="I112" s="280" t="n">
        <f aca="false">H112*($K$9+$L$9)*-1</f>
        <v>0</v>
      </c>
      <c r="J112" s="286" t="n">
        <f aca="false">+H112+I112</f>
        <v>0</v>
      </c>
      <c r="K112" s="280" t="n">
        <f aca="false">+J112*$G$9</f>
        <v>0</v>
      </c>
      <c r="L112" s="286" t="n">
        <f aca="false">+J112+K112</f>
        <v>0</v>
      </c>
      <c r="M112" s="280" t="n">
        <f aca="false">+L112*$I$9</f>
        <v>0</v>
      </c>
      <c r="N112" s="286" t="n">
        <f aca="false">+M112+L112</f>
        <v>0</v>
      </c>
      <c r="O112" s="280" t="n">
        <f aca="false">+R112*$K$9</f>
        <v>0</v>
      </c>
      <c r="P112" s="280" t="n">
        <f aca="false">+R112*$L$9</f>
        <v>0</v>
      </c>
      <c r="Q112" s="280" t="n">
        <f aca="false">+R112*$M$9</f>
        <v>0</v>
      </c>
      <c r="R112" s="280" t="n">
        <f aca="false">+N112/(1-$N$9)</f>
        <v>0</v>
      </c>
      <c r="S112" s="286" t="n">
        <f aca="false">ROUND(+R112,2)</f>
        <v>0</v>
      </c>
    </row>
    <row r="113" customFormat="false" ht="11.25" hidden="false" customHeight="false" outlineLevel="0" collapsed="false">
      <c r="A113" s="283" t="s">
        <v>326</v>
      </c>
      <c r="B113" s="475" t="s">
        <v>217</v>
      </c>
      <c r="C113" s="473"/>
      <c r="D113" s="479"/>
      <c r="E113" s="270" t="n">
        <v>60</v>
      </c>
      <c r="F113" s="287" t="n">
        <v>0.2</v>
      </c>
      <c r="G113" s="270" t="n">
        <v>12</v>
      </c>
      <c r="H113" s="286" t="n">
        <f aca="false">+(F113*D113)/12</f>
        <v>0</v>
      </c>
      <c r="I113" s="280" t="n">
        <f aca="false">H113*($K$9+$L$9)*-1</f>
        <v>0</v>
      </c>
      <c r="J113" s="286" t="n">
        <f aca="false">+H113+I113</f>
        <v>0</v>
      </c>
      <c r="K113" s="280" t="n">
        <f aca="false">+J113*$G$9</f>
        <v>0</v>
      </c>
      <c r="L113" s="286" t="n">
        <f aca="false">+J113+K113</f>
        <v>0</v>
      </c>
      <c r="M113" s="280" t="n">
        <f aca="false">+L113*$I$9</f>
        <v>0</v>
      </c>
      <c r="N113" s="286" t="n">
        <f aca="false">+M113+L113</f>
        <v>0</v>
      </c>
      <c r="O113" s="280" t="n">
        <f aca="false">+R113*$K$9</f>
        <v>0</v>
      </c>
      <c r="P113" s="280" t="n">
        <f aca="false">+R113*$L$9</f>
        <v>0</v>
      </c>
      <c r="Q113" s="280" t="n">
        <f aca="false">+R113*$M$9</f>
        <v>0</v>
      </c>
      <c r="R113" s="280" t="n">
        <f aca="false">+N113/(1-$N$9)</f>
        <v>0</v>
      </c>
      <c r="S113" s="286" t="n">
        <f aca="false">ROUND(+R113,2)</f>
        <v>0</v>
      </c>
    </row>
    <row r="114" customFormat="false" ht="11.25" hidden="false" customHeight="false" outlineLevel="0" collapsed="false">
      <c r="A114" s="252" t="s">
        <v>327</v>
      </c>
      <c r="B114" s="475" t="s">
        <v>217</v>
      </c>
      <c r="C114" s="473"/>
      <c r="D114" s="479"/>
      <c r="E114" s="270" t="n">
        <v>60</v>
      </c>
      <c r="F114" s="287" t="n">
        <v>0.2</v>
      </c>
      <c r="G114" s="270" t="n">
        <v>12</v>
      </c>
      <c r="H114" s="286" t="n">
        <f aca="false">+(F114*D114)/12</f>
        <v>0</v>
      </c>
      <c r="I114" s="280" t="n">
        <f aca="false">H114*($K$9+$L$9)*-1</f>
        <v>0</v>
      </c>
      <c r="J114" s="286" t="n">
        <f aca="false">+H114+I114</f>
        <v>0</v>
      </c>
      <c r="K114" s="280" t="n">
        <f aca="false">+J114*$G$9</f>
        <v>0</v>
      </c>
      <c r="L114" s="286" t="n">
        <f aca="false">+J114+K114</f>
        <v>0</v>
      </c>
      <c r="M114" s="280" t="n">
        <f aca="false">+L114*$I$9</f>
        <v>0</v>
      </c>
      <c r="N114" s="286" t="n">
        <f aca="false">+M114+L114</f>
        <v>0</v>
      </c>
      <c r="O114" s="280" t="n">
        <f aca="false">+R114*$K$9</f>
        <v>0</v>
      </c>
      <c r="P114" s="280" t="n">
        <f aca="false">+R114*$L$9</f>
        <v>0</v>
      </c>
      <c r="Q114" s="280" t="n">
        <f aca="false">+R114*$M$9</f>
        <v>0</v>
      </c>
      <c r="R114" s="280" t="n">
        <f aca="false">+N114/(1-$N$9)</f>
        <v>0</v>
      </c>
      <c r="S114" s="286" t="n">
        <f aca="false">ROUND(+R114,2)</f>
        <v>0</v>
      </c>
    </row>
    <row r="117" customFormat="false" ht="15" hidden="false" customHeight="false" outlineLevel="0" collapsed="false"/>
  </sheetData>
  <mergeCells count="10">
    <mergeCell ref="A8:A10"/>
    <mergeCell ref="B8:B9"/>
    <mergeCell ref="E8:F9"/>
    <mergeCell ref="H8:H9"/>
    <mergeCell ref="J8:J9"/>
    <mergeCell ref="O8:O9"/>
    <mergeCell ref="A67:D67"/>
    <mergeCell ref="A78:D78"/>
    <mergeCell ref="A86:D86"/>
    <mergeCell ref="A92:D92"/>
  </mergeCells>
  <printOptions headings="false" gridLines="false" gridLinesSet="true" horizontalCentered="false" verticalCentered="false"/>
  <pageMargins left="0.0784722222222222" right="0.0784722222222222" top="0.315277777777778" bottom="0.217361111111111" header="0.315277777777778" footer="0.0784722222222222"/>
  <pageSetup paperSize="77" scale="60" firstPageNumber="0" fitToWidth="1" fitToHeight="1" pageOrder="downThenOver" orientation="landscape" blackAndWhite="false" draft="false" cellComments="none" useFirstPageNumber="false" horizontalDpi="300" verticalDpi="300" copies="1"/>
  <headerFooter differentFirst="false" differentOddEven="false">
    <oddHeader/>
    <oddFooter>&amp;C&amp;"Arial,Normal"&amp;10&amp;A</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F34"/>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1.25" zeroHeight="false" outlineLevelRow="0" outlineLevelCol="0"/>
  <cols>
    <col collapsed="false" customWidth="true" hidden="false" outlineLevel="0" max="1" min="1" style="59" width="52.65"/>
    <col collapsed="false" customWidth="true" hidden="false" outlineLevel="0" max="2" min="2" style="59" width="5.54"/>
    <col collapsed="false" customWidth="true" hidden="false" outlineLevel="0" max="3" min="3" style="59" width="8.64"/>
    <col collapsed="false" customWidth="true" hidden="false" outlineLevel="0" max="4" min="4" style="59" width="10.8"/>
    <col collapsed="false" customWidth="true" hidden="false" outlineLevel="0" max="5" min="5" style="59" width="12.02"/>
    <col collapsed="false" customWidth="true" hidden="false" outlineLevel="0" max="6" min="6" style="59" width="10.8"/>
    <col collapsed="false" customWidth="true" hidden="false" outlineLevel="0" max="1025" min="7" style="59" width="8.64"/>
  </cols>
  <sheetData>
    <row r="1" customFormat="false" ht="15" hidden="false" customHeight="false" outlineLevel="0" collapsed="false">
      <c r="A1" s="1" t="s">
        <v>351</v>
      </c>
      <c r="B1" s="1"/>
      <c r="C1" s="1"/>
      <c r="D1" s="1"/>
      <c r="E1" s="1"/>
      <c r="F1" s="1"/>
    </row>
    <row r="2" customFormat="false" ht="22.5" hidden="false" customHeight="false" outlineLevel="0" collapsed="false">
      <c r="A2" s="482" t="s">
        <v>352</v>
      </c>
      <c r="B2" s="483" t="s">
        <v>353</v>
      </c>
      <c r="C2" s="482" t="s">
        <v>354</v>
      </c>
      <c r="D2" s="484" t="s">
        <v>355</v>
      </c>
      <c r="E2" s="484" t="s">
        <v>356</v>
      </c>
      <c r="F2" s="484" t="s">
        <v>357</v>
      </c>
    </row>
    <row r="3" customFormat="false" ht="22.5" hidden="false" customHeight="false" outlineLevel="0" collapsed="false">
      <c r="A3" s="485" t="s">
        <v>358</v>
      </c>
      <c r="B3" s="486" t="n">
        <v>4</v>
      </c>
      <c r="C3" s="487" t="n">
        <v>2</v>
      </c>
      <c r="D3" s="488"/>
      <c r="E3" s="489" t="n">
        <f aca="false">+D3*B3</f>
        <v>0</v>
      </c>
      <c r="F3" s="489" t="n">
        <f aca="false">ROUNDDOWN(+E3/12,2)</f>
        <v>0</v>
      </c>
    </row>
    <row r="4" customFormat="false" ht="22.5" hidden="false" customHeight="false" outlineLevel="0" collapsed="false">
      <c r="A4" s="485" t="s">
        <v>359</v>
      </c>
      <c r="B4" s="486" t="n">
        <v>6</v>
      </c>
      <c r="C4" s="487" t="n">
        <v>3</v>
      </c>
      <c r="D4" s="488"/>
      <c r="E4" s="489" t="n">
        <f aca="false">+D4*B4</f>
        <v>0</v>
      </c>
      <c r="F4" s="489" t="n">
        <f aca="false">ROUNDDOWN(+E4/12,2)</f>
        <v>0</v>
      </c>
    </row>
    <row r="5" customFormat="false" ht="11.25" hidden="false" customHeight="false" outlineLevel="0" collapsed="false">
      <c r="A5" s="485" t="s">
        <v>360</v>
      </c>
      <c r="B5" s="487" t="n">
        <v>2</v>
      </c>
      <c r="C5" s="487" t="n">
        <v>1</v>
      </c>
      <c r="D5" s="488"/>
      <c r="E5" s="489" t="n">
        <f aca="false">+D5*B5</f>
        <v>0</v>
      </c>
      <c r="F5" s="489" t="n">
        <f aca="false">ROUNDDOWN(+E5/12,2)</f>
        <v>0</v>
      </c>
    </row>
    <row r="6" customFormat="false" ht="44.25" hidden="false" customHeight="true" outlineLevel="0" collapsed="false">
      <c r="A6" s="125" t="s">
        <v>361</v>
      </c>
      <c r="B6" s="487" t="n">
        <f aca="false">+C6*2</f>
        <v>36</v>
      </c>
      <c r="C6" s="487" t="n">
        <v>18</v>
      </c>
      <c r="D6" s="488"/>
      <c r="E6" s="489" t="n">
        <f aca="false">+D6*B6</f>
        <v>0</v>
      </c>
      <c r="F6" s="489" t="n">
        <f aca="false">ROUNDDOWN(+E6/12,2)</f>
        <v>0</v>
      </c>
    </row>
    <row r="7" customFormat="false" ht="67.5" hidden="false" customHeight="false" outlineLevel="0" collapsed="false">
      <c r="A7" s="490" t="s">
        <v>362</v>
      </c>
      <c r="B7" s="487" t="n">
        <v>1</v>
      </c>
      <c r="C7" s="487"/>
      <c r="D7" s="488"/>
      <c r="E7" s="489" t="n">
        <f aca="false">+D7*B7</f>
        <v>0</v>
      </c>
      <c r="F7" s="489" t="n">
        <f aca="false">ROUNDDOWN(+E7/12,2)</f>
        <v>0</v>
      </c>
    </row>
    <row r="8" customFormat="false" ht="11.25" hidden="false" customHeight="false" outlineLevel="0" collapsed="false">
      <c r="D8" s="205"/>
      <c r="E8" s="205"/>
      <c r="F8" s="280" t="n">
        <f aca="false">ROUNDDOWN(SUM(F3:F7),2)</f>
        <v>0</v>
      </c>
    </row>
    <row r="9" customFormat="false" ht="15" hidden="false" customHeight="false" outlineLevel="0" collapsed="false">
      <c r="A9" s="491" t="s">
        <v>363</v>
      </c>
      <c r="B9" s="1"/>
      <c r="C9" s="1"/>
      <c r="D9" s="1"/>
      <c r="E9" s="1"/>
      <c r="F9" s="1"/>
    </row>
    <row r="10" customFormat="false" ht="22.5" hidden="false" customHeight="false" outlineLevel="0" collapsed="false">
      <c r="A10" s="482" t="s">
        <v>352</v>
      </c>
      <c r="B10" s="483" t="s">
        <v>353</v>
      </c>
      <c r="C10" s="482" t="s">
        <v>354</v>
      </c>
      <c r="D10" s="484" t="s">
        <v>355</v>
      </c>
      <c r="E10" s="484" t="s">
        <v>356</v>
      </c>
      <c r="F10" s="484" t="s">
        <v>357</v>
      </c>
    </row>
    <row r="11" customFormat="false" ht="22.5" hidden="false" customHeight="false" outlineLevel="0" collapsed="false">
      <c r="A11" s="485" t="s">
        <v>358</v>
      </c>
      <c r="B11" s="486" t="n">
        <v>4</v>
      </c>
      <c r="C11" s="487" t="n">
        <v>2</v>
      </c>
      <c r="D11" s="488"/>
      <c r="E11" s="489" t="n">
        <f aca="false">+D11*B11</f>
        <v>0</v>
      </c>
      <c r="F11" s="489" t="n">
        <f aca="false">ROUNDDOWN(+E11/12,2)</f>
        <v>0</v>
      </c>
    </row>
    <row r="12" customFormat="false" ht="22.5" hidden="false" customHeight="false" outlineLevel="0" collapsed="false">
      <c r="A12" s="485" t="s">
        <v>364</v>
      </c>
      <c r="B12" s="486" t="n">
        <v>4</v>
      </c>
      <c r="C12" s="487" t="n">
        <v>2</v>
      </c>
      <c r="D12" s="488"/>
      <c r="E12" s="489" t="n">
        <f aca="false">+D12*B12</f>
        <v>0</v>
      </c>
      <c r="F12" s="489" t="n">
        <f aca="false">ROUNDDOWN(+E12/12,2)</f>
        <v>0</v>
      </c>
    </row>
    <row r="13" customFormat="false" ht="11.25" hidden="false" customHeight="false" outlineLevel="0" collapsed="false">
      <c r="A13" s="485" t="s">
        <v>360</v>
      </c>
      <c r="B13" s="487" t="n">
        <v>2</v>
      </c>
      <c r="C13" s="487" t="n">
        <v>1</v>
      </c>
      <c r="D13" s="488"/>
      <c r="E13" s="489" t="n">
        <f aca="false">+D13*B13</f>
        <v>0</v>
      </c>
      <c r="F13" s="489" t="n">
        <f aca="false">ROUNDDOWN(+E13/12,2)</f>
        <v>0</v>
      </c>
    </row>
    <row r="14" customFormat="false" ht="22.5" hidden="false" customHeight="false" outlineLevel="0" collapsed="false">
      <c r="A14" s="485" t="s">
        <v>365</v>
      </c>
      <c r="B14" s="487" t="n">
        <v>4</v>
      </c>
      <c r="C14" s="487" t="n">
        <v>2</v>
      </c>
      <c r="D14" s="488"/>
      <c r="E14" s="489" t="n">
        <f aca="false">+D14*B14</f>
        <v>0</v>
      </c>
      <c r="F14" s="489" t="n">
        <f aca="false">ROUNDDOWN(+E14/12,2)</f>
        <v>0</v>
      </c>
    </row>
    <row r="15" customFormat="false" ht="11.25" hidden="false" customHeight="false" outlineLevel="0" collapsed="false">
      <c r="A15" s="485" t="s">
        <v>366</v>
      </c>
      <c r="B15" s="487" t="n">
        <v>1</v>
      </c>
      <c r="C15" s="487" t="n">
        <v>0</v>
      </c>
      <c r="D15" s="488"/>
      <c r="E15" s="489" t="n">
        <f aca="false">+D15*B15</f>
        <v>0</v>
      </c>
      <c r="F15" s="489" t="n">
        <f aca="false">ROUNDDOWN(+E15/12,2)</f>
        <v>0</v>
      </c>
    </row>
    <row r="16" customFormat="false" ht="67.5" hidden="false" customHeight="false" outlineLevel="0" collapsed="false">
      <c r="A16" s="490" t="s">
        <v>362</v>
      </c>
      <c r="B16" s="487" t="n">
        <v>1</v>
      </c>
      <c r="C16" s="487"/>
      <c r="D16" s="488"/>
      <c r="E16" s="489" t="n">
        <f aca="false">+D16*B16</f>
        <v>0</v>
      </c>
      <c r="F16" s="489" t="n">
        <f aca="false">ROUNDDOWN(+E16/12,2)</f>
        <v>0</v>
      </c>
    </row>
    <row r="17" customFormat="false" ht="11.25" hidden="false" customHeight="false" outlineLevel="0" collapsed="false">
      <c r="D17" s="205"/>
      <c r="E17" s="205"/>
      <c r="F17" s="280" t="n">
        <f aca="false">ROUNDDOWN(SUM(F11:F16),2)</f>
        <v>0</v>
      </c>
    </row>
    <row r="20" customFormat="false" ht="15" hidden="false" customHeight="false" outlineLevel="0" collapsed="false">
      <c r="A20" s="491" t="s">
        <v>367</v>
      </c>
    </row>
    <row r="21" customFormat="false" ht="22.5" hidden="false" customHeight="false" outlineLevel="0" collapsed="false">
      <c r="A21" s="482" t="s">
        <v>352</v>
      </c>
      <c r="B21" s="482" t="s">
        <v>353</v>
      </c>
      <c r="C21" s="482" t="s">
        <v>354</v>
      </c>
      <c r="D21" s="484" t="s">
        <v>355</v>
      </c>
      <c r="E21" s="484" t="s">
        <v>356</v>
      </c>
      <c r="F21" s="484" t="s">
        <v>357</v>
      </c>
    </row>
    <row r="22" customFormat="false" ht="22.5" hidden="false" customHeight="false" outlineLevel="0" collapsed="false">
      <c r="A22" s="485" t="s">
        <v>368</v>
      </c>
      <c r="B22" s="487" t="n">
        <v>10</v>
      </c>
      <c r="C22" s="487" t="n">
        <v>5</v>
      </c>
      <c r="D22" s="488"/>
      <c r="E22" s="489" t="n">
        <f aca="false">+D22*B22</f>
        <v>0</v>
      </c>
      <c r="F22" s="489" t="n">
        <f aca="false">ROUNDDOWN(+E22/12,2)</f>
        <v>0</v>
      </c>
    </row>
    <row r="23" customFormat="false" ht="22.5" hidden="false" customHeight="false" outlineLevel="0" collapsed="false">
      <c r="A23" s="485" t="s">
        <v>359</v>
      </c>
      <c r="B23" s="487" t="n">
        <v>10</v>
      </c>
      <c r="C23" s="487" t="n">
        <v>5</v>
      </c>
      <c r="D23" s="488"/>
      <c r="E23" s="489" t="n">
        <f aca="false">+D23*B23</f>
        <v>0</v>
      </c>
      <c r="F23" s="489" t="n">
        <f aca="false">ROUNDDOWN(+E23/12,2)</f>
        <v>0</v>
      </c>
    </row>
    <row r="24" customFormat="false" ht="22.5" hidden="false" customHeight="false" outlineLevel="0" collapsed="false">
      <c r="A24" s="485" t="s">
        <v>369</v>
      </c>
      <c r="B24" s="487" t="n">
        <v>10</v>
      </c>
      <c r="C24" s="487" t="n">
        <v>5</v>
      </c>
      <c r="D24" s="488"/>
      <c r="E24" s="489" t="n">
        <f aca="false">+D24*B24</f>
        <v>0</v>
      </c>
      <c r="F24" s="489" t="n">
        <f aca="false">ROUNDDOWN(+E24/12,2)</f>
        <v>0</v>
      </c>
    </row>
    <row r="25" customFormat="false" ht="11.25" hidden="false" customHeight="false" outlineLevel="0" collapsed="false">
      <c r="A25" s="485" t="s">
        <v>360</v>
      </c>
      <c r="B25" s="487" t="n">
        <v>4</v>
      </c>
      <c r="C25" s="487" t="n">
        <v>1</v>
      </c>
      <c r="D25" s="488"/>
      <c r="E25" s="489" t="n">
        <f aca="false">+D25*B25</f>
        <v>0</v>
      </c>
      <c r="F25" s="489" t="n">
        <f aca="false">ROUNDDOWN(+E25/12,2)</f>
        <v>0</v>
      </c>
    </row>
    <row r="26" customFormat="false" ht="11.25" hidden="false" customHeight="false" outlineLevel="0" collapsed="false">
      <c r="A26" s="270" t="s">
        <v>370</v>
      </c>
      <c r="B26" s="487" t="n">
        <v>12</v>
      </c>
      <c r="C26" s="487" t="n">
        <v>6</v>
      </c>
      <c r="D26" s="488"/>
      <c r="E26" s="489" t="n">
        <f aca="false">+D26*B26</f>
        <v>0</v>
      </c>
      <c r="F26" s="489" t="n">
        <f aca="false">ROUNDDOWN(+E26/12,2)</f>
        <v>0</v>
      </c>
    </row>
    <row r="27" customFormat="false" ht="11.25" hidden="false" customHeight="false" outlineLevel="0" collapsed="false">
      <c r="A27" s="270" t="s">
        <v>371</v>
      </c>
      <c r="B27" s="487" t="n">
        <v>2</v>
      </c>
      <c r="C27" s="487" t="n">
        <v>1</v>
      </c>
      <c r="D27" s="488"/>
      <c r="E27" s="489" t="n">
        <f aca="false">+D27*B27</f>
        <v>0</v>
      </c>
      <c r="F27" s="489" t="n">
        <f aca="false">ROUNDDOWN(+E27/12,2)</f>
        <v>0</v>
      </c>
    </row>
    <row r="28" customFormat="false" ht="45" hidden="false" customHeight="false" outlineLevel="0" collapsed="false">
      <c r="A28" s="91" t="s">
        <v>361</v>
      </c>
      <c r="B28" s="487" t="n">
        <f aca="false">+C28*2</f>
        <v>36</v>
      </c>
      <c r="C28" s="487" t="n">
        <v>18</v>
      </c>
      <c r="D28" s="488"/>
      <c r="E28" s="489" t="n">
        <f aca="false">+D28*B28</f>
        <v>0</v>
      </c>
      <c r="F28" s="489" t="n">
        <f aca="false">ROUNDDOWN(+E28/12,2)</f>
        <v>0</v>
      </c>
    </row>
    <row r="29" customFormat="false" ht="11.25" hidden="false" customHeight="false" outlineLevel="0" collapsed="false">
      <c r="A29" s="91" t="s">
        <v>372</v>
      </c>
      <c r="B29" s="487" t="n">
        <v>1</v>
      </c>
      <c r="C29" s="487"/>
      <c r="D29" s="488"/>
      <c r="E29" s="489" t="n">
        <f aca="false">+D29*B29</f>
        <v>0</v>
      </c>
      <c r="F29" s="489" t="n">
        <f aca="false">ROUNDDOWN(+E29/12,2)</f>
        <v>0</v>
      </c>
    </row>
    <row r="30" customFormat="false" ht="11.25" hidden="false" customHeight="false" outlineLevel="0" collapsed="false">
      <c r="A30" s="91" t="s">
        <v>373</v>
      </c>
      <c r="B30" s="487" t="n">
        <f aca="false">+C30*12</f>
        <v>1584</v>
      </c>
      <c r="C30" s="487" t="n">
        <f aca="false">22*6</f>
        <v>132</v>
      </c>
      <c r="D30" s="488"/>
      <c r="E30" s="489" t="n">
        <f aca="false">+D30*B30</f>
        <v>0</v>
      </c>
      <c r="F30" s="489" t="n">
        <f aca="false">ROUNDDOWN(+E30/12,2)</f>
        <v>0</v>
      </c>
    </row>
    <row r="31" customFormat="false" ht="67.5" hidden="false" customHeight="false" outlineLevel="0" collapsed="false">
      <c r="A31" s="490" t="s">
        <v>362</v>
      </c>
      <c r="B31" s="487" t="n">
        <v>1</v>
      </c>
      <c r="C31" s="487"/>
      <c r="D31" s="488"/>
      <c r="E31" s="489" t="n">
        <f aca="false">+D31*B31</f>
        <v>0</v>
      </c>
      <c r="F31" s="489" t="n">
        <f aca="false">ROUNDDOWN(+E31/12,2)</f>
        <v>0</v>
      </c>
    </row>
    <row r="32" customFormat="false" ht="11.25" hidden="false" customHeight="false" outlineLevel="0" collapsed="false">
      <c r="D32" s="205"/>
      <c r="E32" s="205"/>
      <c r="F32" s="280" t="n">
        <f aca="false">ROUNDDOWN(SUM(F22:F31),2)</f>
        <v>0</v>
      </c>
    </row>
    <row r="34" customFormat="false" ht="15" hidden="false" customHeight="false" outlineLevel="0" collapsed="false"/>
  </sheetData>
  <printOptions headings="false" gridLines="false" gridLinesSet="true" horizontalCentered="false" verticalCentered="false"/>
  <pageMargins left="1.37777777777778" right="0.511805555555555" top="0.315277777777778" bottom="0.426388888888889" header="0.315277777777778" footer="0.315277777777778"/>
  <pageSetup paperSize="9" scale="76" firstPageNumber="0" fitToWidth="1" fitToHeight="1" pageOrder="downThenOver" orientation="portrait" blackAndWhite="false" draft="false" cellComments="none" useFirstPageNumber="false" horizontalDpi="300" verticalDpi="300" copies="1"/>
  <headerFooter differentFirst="false" differentOddEven="false">
    <oddHeader/>
    <oddFooter>&amp;R&amp;8&amp;A</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G156"/>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08"/>
    <col collapsed="false" customWidth="true" hidden="false" outlineLevel="0" max="2" min="2" style="44" width="54.54"/>
    <col collapsed="false" customWidth="true" hidden="false" outlineLevel="0" max="3" min="3" style="44" width="10.12"/>
    <col collapsed="false" customWidth="true" hidden="false" outlineLevel="0" max="4" min="4" style="44" width="16.87"/>
    <col collapsed="false" customWidth="true" hidden="false" outlineLevel="0" max="5" min="5" style="44" width="12.69"/>
    <col collapsed="false" customWidth="true" hidden="false" outlineLevel="0" max="1025" min="6" style="44" width="8.64"/>
  </cols>
  <sheetData>
    <row r="1" customFormat="false" ht="12.75" hidden="false" customHeight="false" outlineLevel="0" collapsed="false">
      <c r="A1" s="492" t="s">
        <v>374</v>
      </c>
      <c r="B1" s="492"/>
      <c r="C1" s="492"/>
      <c r="D1" s="492"/>
      <c r="E1" s="493"/>
      <c r="F1" s="493"/>
    </row>
    <row r="3" customFormat="false" ht="12.75" hidden="false" customHeight="false" outlineLevel="0" collapsed="false">
      <c r="A3" s="494" t="s">
        <v>375</v>
      </c>
      <c r="B3" s="494"/>
      <c r="C3" s="494"/>
      <c r="D3" s="494"/>
    </row>
    <row r="4" s="498" customFormat="true" ht="28.5" hidden="false" customHeight="true" outlineLevel="0" collapsed="false">
      <c r="A4" s="495" t="n">
        <v>1</v>
      </c>
      <c r="B4" s="496" t="s">
        <v>376</v>
      </c>
      <c r="C4" s="497" t="s">
        <v>377</v>
      </c>
      <c r="D4" s="497"/>
    </row>
    <row r="5" s="498" customFormat="true" ht="12.75" hidden="false" customHeight="false" outlineLevel="0" collapsed="false">
      <c r="A5" s="495" t="n">
        <v>2</v>
      </c>
      <c r="B5" s="496" t="s">
        <v>378</v>
      </c>
      <c r="C5" s="499" t="s">
        <v>379</v>
      </c>
      <c r="D5" s="499"/>
    </row>
    <row r="6" s="498" customFormat="true" ht="12.75" hidden="false" customHeight="false" outlineLevel="0" collapsed="false">
      <c r="A6" s="495" t="n">
        <v>3</v>
      </c>
      <c r="B6" s="496" t="s">
        <v>380</v>
      </c>
      <c r="C6" s="500" t="n">
        <f aca="false">+APRESENTACAO!G22</f>
        <v>0</v>
      </c>
      <c r="D6" s="500"/>
    </row>
    <row r="7" s="498" customFormat="true" ht="42.75" hidden="false" customHeight="true" outlineLevel="0" collapsed="false">
      <c r="A7" s="495" t="n">
        <v>4</v>
      </c>
      <c r="B7" s="496" t="s">
        <v>381</v>
      </c>
      <c r="C7" s="501" t="s">
        <v>382</v>
      </c>
      <c r="D7" s="501"/>
    </row>
    <row r="8" s="498" customFormat="true" ht="12.75" hidden="false" customHeight="false" outlineLevel="0" collapsed="false">
      <c r="A8" s="495" t="n">
        <v>5</v>
      </c>
      <c r="B8" s="496" t="s">
        <v>383</v>
      </c>
      <c r="C8" s="502" t="n">
        <v>43524</v>
      </c>
      <c r="D8" s="502"/>
    </row>
    <row r="9" customFormat="false" ht="12.75" hidden="false" customHeight="false" outlineLevel="0" collapsed="false">
      <c r="A9" s="503"/>
      <c r="B9" s="503"/>
      <c r="C9" s="503"/>
      <c r="D9" s="504"/>
    </row>
    <row r="10" customFormat="false" ht="12.75" hidden="false" customHeight="false" outlineLevel="0" collapsed="false">
      <c r="A10" s="505" t="s">
        <v>384</v>
      </c>
      <c r="B10" s="505"/>
      <c r="C10" s="505"/>
      <c r="D10" s="505"/>
    </row>
    <row r="11" customFormat="false" ht="12.75" hidden="false" customHeight="false" outlineLevel="0" collapsed="false">
      <c r="A11" s="506" t="n">
        <v>1</v>
      </c>
      <c r="B11" s="507" t="s">
        <v>385</v>
      </c>
      <c r="C11" s="492" t="s">
        <v>386</v>
      </c>
      <c r="D11" s="508" t="s">
        <v>387</v>
      </c>
    </row>
    <row r="12" customFormat="false" ht="12.75" hidden="false" customHeight="false" outlineLevel="0" collapsed="false">
      <c r="A12" s="509" t="s">
        <v>15</v>
      </c>
      <c r="B12" s="509" t="s">
        <v>388</v>
      </c>
      <c r="C12" s="509"/>
      <c r="D12" s="510" t="n">
        <f aca="false">+C6</f>
        <v>0</v>
      </c>
    </row>
    <row r="13" customFormat="false" ht="12.75" hidden="false" customHeight="false" outlineLevel="0" collapsed="false">
      <c r="A13" s="509" t="s">
        <v>17</v>
      </c>
      <c r="B13" s="511" t="s">
        <v>389</v>
      </c>
      <c r="C13" s="512"/>
      <c r="D13" s="510"/>
      <c r="E13" s="513"/>
    </row>
    <row r="14" customFormat="false" ht="12.75" hidden="false" customHeight="false" outlineLevel="0" collapsed="false">
      <c r="A14" s="509" t="s">
        <v>20</v>
      </c>
      <c r="B14" s="511" t="s">
        <v>390</v>
      </c>
      <c r="C14" s="512" t="n">
        <v>0.4</v>
      </c>
      <c r="D14" s="510" t="n">
        <f aca="false">+C14*D12</f>
        <v>0</v>
      </c>
    </row>
    <row r="15" customFormat="false" ht="12.75" hidden="false" customHeight="false" outlineLevel="0" collapsed="false">
      <c r="A15" s="509" t="s">
        <v>22</v>
      </c>
      <c r="B15" s="509" t="s">
        <v>391</v>
      </c>
      <c r="C15" s="509"/>
      <c r="D15" s="510"/>
    </row>
    <row r="16" customFormat="false" ht="12.75" hidden="false" customHeight="false" outlineLevel="0" collapsed="false">
      <c r="A16" s="509" t="s">
        <v>392</v>
      </c>
      <c r="B16" s="509" t="s">
        <v>393</v>
      </c>
      <c r="C16" s="509"/>
      <c r="D16" s="510"/>
    </row>
    <row r="17" customFormat="false" ht="12.75" hidden="false" customHeight="false" outlineLevel="0" collapsed="false">
      <c r="A17" s="509" t="s">
        <v>394</v>
      </c>
      <c r="B17" s="509" t="s">
        <v>395</v>
      </c>
      <c r="C17" s="509"/>
      <c r="D17" s="510"/>
    </row>
    <row r="18" customFormat="false" ht="12.75" hidden="false" customHeight="false" outlineLevel="0" collapsed="false">
      <c r="A18" s="509" t="s">
        <v>396</v>
      </c>
      <c r="B18" s="509" t="s">
        <v>397</v>
      </c>
      <c r="C18" s="509"/>
      <c r="D18" s="510"/>
    </row>
    <row r="19" customFormat="false" ht="12.75" hidden="false" customHeight="false" outlineLevel="0" collapsed="false">
      <c r="A19" s="509" t="s">
        <v>398</v>
      </c>
      <c r="B19" s="509" t="s">
        <v>399</v>
      </c>
      <c r="C19" s="509"/>
      <c r="D19" s="514"/>
    </row>
    <row r="20" customFormat="false" ht="12.75" hidden="false" customHeight="false" outlineLevel="0" collapsed="false">
      <c r="A20" s="509" t="s">
        <v>400</v>
      </c>
      <c r="B20" s="511" t="s">
        <v>401</v>
      </c>
      <c r="C20" s="512"/>
      <c r="D20" s="510"/>
    </row>
    <row r="21" customFormat="false" ht="12.75" hidden="false" customHeight="false" outlineLevel="0" collapsed="false">
      <c r="A21" s="509" t="s">
        <v>402</v>
      </c>
      <c r="B21" s="509" t="s">
        <v>403</v>
      </c>
      <c r="C21" s="509"/>
      <c r="D21" s="515"/>
      <c r="F21" s="516"/>
    </row>
    <row r="22" customFormat="false" ht="12.75" hidden="false" customHeight="false" outlineLevel="0" collapsed="false">
      <c r="A22" s="509" t="s">
        <v>404</v>
      </c>
      <c r="B22" s="509" t="s">
        <v>405</v>
      </c>
      <c r="C22" s="509"/>
      <c r="D22" s="515"/>
    </row>
    <row r="23" customFormat="false" ht="12.75" hidden="false" customHeight="false" outlineLevel="0" collapsed="false">
      <c r="A23" s="494" t="s">
        <v>406</v>
      </c>
      <c r="B23" s="494"/>
      <c r="C23" s="494"/>
      <c r="D23" s="517" t="n">
        <f aca="false">SUM(D12:D22)</f>
        <v>0</v>
      </c>
    </row>
    <row r="25" customFormat="false" ht="12.75" hidden="false" customHeight="false" outlineLevel="0" collapsed="false">
      <c r="A25" s="505" t="s">
        <v>407</v>
      </c>
      <c r="B25" s="505"/>
      <c r="C25" s="505"/>
      <c r="D25" s="505"/>
    </row>
    <row r="27" customFormat="false" ht="12.75" hidden="false" customHeight="false" outlineLevel="0" collapsed="false">
      <c r="A27" s="505" t="s">
        <v>408</v>
      </c>
      <c r="B27" s="505"/>
      <c r="C27" s="505"/>
      <c r="D27" s="505"/>
    </row>
    <row r="28" customFormat="false" ht="12.75" hidden="false" customHeight="false" outlineLevel="0" collapsed="false">
      <c r="A28" s="518" t="s">
        <v>409</v>
      </c>
      <c r="B28" s="519" t="s">
        <v>410</v>
      </c>
      <c r="C28" s="520" t="s">
        <v>386</v>
      </c>
      <c r="D28" s="521" t="s">
        <v>387</v>
      </c>
    </row>
    <row r="29" customFormat="false" ht="12.75" hidden="false" customHeight="false" outlineLevel="0" collapsed="false">
      <c r="A29" s="509" t="s">
        <v>15</v>
      </c>
      <c r="B29" s="522" t="s">
        <v>411</v>
      </c>
      <c r="C29" s="523" t="e">
        <f aca="false">ROUND(+D29/$D$23,4)</f>
        <v>#DIV/0!</v>
      </c>
      <c r="D29" s="515" t="n">
        <f aca="false">ROUND(+D23/12,2)</f>
        <v>0</v>
      </c>
    </row>
    <row r="30" customFormat="false" ht="12.75" hidden="false" customHeight="false" outlineLevel="0" collapsed="false">
      <c r="A30" s="524" t="s">
        <v>17</v>
      </c>
      <c r="B30" s="525" t="s">
        <v>412</v>
      </c>
      <c r="C30" s="526" t="e">
        <f aca="false">ROUND(+D30/$D$23,4)</f>
        <v>#DIV/0!</v>
      </c>
      <c r="D30" s="527" t="n">
        <f aca="false">+D31+D32</f>
        <v>0</v>
      </c>
    </row>
    <row r="31" customFormat="false" ht="12.75" hidden="false" customHeight="false" outlineLevel="0" collapsed="false">
      <c r="A31" s="509" t="s">
        <v>77</v>
      </c>
      <c r="B31" s="528" t="s">
        <v>413</v>
      </c>
      <c r="C31" s="529" t="e">
        <f aca="false">ROUND(+D31/$D$23,4)</f>
        <v>#DIV/0!</v>
      </c>
      <c r="D31" s="530" t="n">
        <f aca="false">ROUND(+D23/12,2)</f>
        <v>0</v>
      </c>
    </row>
    <row r="32" customFormat="false" ht="12.75" hidden="false" customHeight="false" outlineLevel="0" collapsed="false">
      <c r="A32" s="509" t="s">
        <v>91</v>
      </c>
      <c r="B32" s="528" t="s">
        <v>414</v>
      </c>
      <c r="C32" s="529" t="e">
        <f aca="false">ROUND(+D32/$D$23,4)</f>
        <v>#DIV/0!</v>
      </c>
      <c r="D32" s="530" t="n">
        <f aca="false">ROUND(+(D23*1/3)/12,2)</f>
        <v>0</v>
      </c>
    </row>
    <row r="33" customFormat="false" ht="12.75" hidden="false" customHeight="false" outlineLevel="0" collapsed="false">
      <c r="A33" s="494" t="s">
        <v>406</v>
      </c>
      <c r="B33" s="494"/>
      <c r="C33" s="494"/>
      <c r="D33" s="517" t="n">
        <f aca="false">+D30+D29</f>
        <v>0</v>
      </c>
    </row>
    <row r="35" customFormat="false" ht="23.25" hidden="false" customHeight="true" outlineLevel="0" collapsed="false">
      <c r="A35" s="531" t="s">
        <v>415</v>
      </c>
      <c r="B35" s="531"/>
      <c r="C35" s="531"/>
      <c r="D35" s="531"/>
    </row>
    <row r="36" customFormat="false" ht="12.75" hidden="false" customHeight="false" outlineLevel="0" collapsed="false">
      <c r="A36" s="518" t="s">
        <v>416</v>
      </c>
      <c r="B36" s="532" t="s">
        <v>417</v>
      </c>
      <c r="C36" s="520" t="s">
        <v>386</v>
      </c>
      <c r="D36" s="521" t="s">
        <v>387</v>
      </c>
    </row>
    <row r="37" customFormat="false" ht="12.75" hidden="false" customHeight="false" outlineLevel="0" collapsed="false">
      <c r="A37" s="509" t="s">
        <v>15</v>
      </c>
      <c r="B37" s="522" t="s">
        <v>418</v>
      </c>
      <c r="C37" s="533" t="n">
        <v>0.2</v>
      </c>
      <c r="D37" s="534" t="n">
        <f aca="false">ROUND(C37*($D$23+$D$33),2)</f>
        <v>0</v>
      </c>
    </row>
    <row r="38" customFormat="false" ht="12.75" hidden="false" customHeight="false" outlineLevel="0" collapsed="false">
      <c r="A38" s="509" t="s">
        <v>17</v>
      </c>
      <c r="B38" s="522" t="s">
        <v>419</v>
      </c>
      <c r="C38" s="533" t="n">
        <v>0.025</v>
      </c>
      <c r="D38" s="534" t="n">
        <f aca="false">ROUND(C38*($D$23+$D$33),2)</f>
        <v>0</v>
      </c>
    </row>
    <row r="39" customFormat="false" ht="12.75" hidden="false" customHeight="false" outlineLevel="0" collapsed="false">
      <c r="A39" s="509" t="s">
        <v>20</v>
      </c>
      <c r="B39" s="522" t="s">
        <v>420</v>
      </c>
      <c r="C39" s="533" t="n">
        <f aca="false">3%</f>
        <v>0.03</v>
      </c>
      <c r="D39" s="534" t="n">
        <f aca="false">ROUND(C39*($D$23+$D$33),2)</f>
        <v>0</v>
      </c>
    </row>
    <row r="40" customFormat="false" ht="12.75" hidden="false" customHeight="false" outlineLevel="0" collapsed="false">
      <c r="A40" s="509" t="s">
        <v>22</v>
      </c>
      <c r="B40" s="522" t="s">
        <v>421</v>
      </c>
      <c r="C40" s="533" t="n">
        <v>0.015</v>
      </c>
      <c r="D40" s="534" t="n">
        <f aca="false">ROUND(C40*($D$23+$D$33),2)</f>
        <v>0</v>
      </c>
    </row>
    <row r="41" customFormat="false" ht="12.75" hidden="false" customHeight="false" outlineLevel="0" collapsed="false">
      <c r="A41" s="509" t="s">
        <v>392</v>
      </c>
      <c r="B41" s="522" t="s">
        <v>422</v>
      </c>
      <c r="C41" s="533" t="n">
        <v>0.01</v>
      </c>
      <c r="D41" s="534" t="n">
        <f aca="false">ROUND(C41*($D$23+$D$33),2)</f>
        <v>0</v>
      </c>
    </row>
    <row r="42" customFormat="false" ht="12.75" hidden="false" customHeight="false" outlineLevel="0" collapsed="false">
      <c r="A42" s="509" t="s">
        <v>394</v>
      </c>
      <c r="B42" s="522" t="s">
        <v>423</v>
      </c>
      <c r="C42" s="533" t="n">
        <v>0.006</v>
      </c>
      <c r="D42" s="534" t="n">
        <f aca="false">ROUND(C42*($D$23+$D$33),2)</f>
        <v>0</v>
      </c>
    </row>
    <row r="43" customFormat="false" ht="12.75" hidden="false" customHeight="false" outlineLevel="0" collapsed="false">
      <c r="A43" s="509" t="s">
        <v>396</v>
      </c>
      <c r="B43" s="522" t="s">
        <v>424</v>
      </c>
      <c r="C43" s="533" t="n">
        <v>0.002</v>
      </c>
      <c r="D43" s="534" t="n">
        <f aca="false">ROUND(C43*($D$23+$D$33),2)</f>
        <v>0</v>
      </c>
    </row>
    <row r="44" customFormat="false" ht="12.75" hidden="false" customHeight="false" outlineLevel="0" collapsed="false">
      <c r="A44" s="509" t="s">
        <v>398</v>
      </c>
      <c r="B44" s="522" t="s">
        <v>425</v>
      </c>
      <c r="C44" s="533" t="n">
        <v>0.08</v>
      </c>
      <c r="D44" s="534" t="n">
        <f aca="false">ROUND(C44*($D$23+$D$33),2)</f>
        <v>0</v>
      </c>
    </row>
    <row r="45" customFormat="false" ht="12.75" hidden="false" customHeight="false" outlineLevel="0" collapsed="false">
      <c r="A45" s="535" t="s">
        <v>406</v>
      </c>
      <c r="B45" s="536"/>
      <c r="C45" s="537" t="n">
        <f aca="false">SUM(C37:C44)</f>
        <v>0.368</v>
      </c>
      <c r="D45" s="538" t="n">
        <f aca="false">SUM(D37:D44)</f>
        <v>0</v>
      </c>
    </row>
    <row r="46" customFormat="false" ht="12.75" hidden="false" customHeight="false" outlineLevel="0" collapsed="false">
      <c r="A46" s="539"/>
      <c r="B46" s="539"/>
      <c r="C46" s="539"/>
      <c r="D46" s="539"/>
    </row>
    <row r="47" customFormat="false" ht="12.75" hidden="false" customHeight="true" outlineLevel="0" collapsed="false">
      <c r="A47" s="531" t="s">
        <v>426</v>
      </c>
      <c r="B47" s="531"/>
      <c r="C47" s="531"/>
      <c r="D47" s="531"/>
    </row>
    <row r="48" customFormat="false" ht="12.75" hidden="false" customHeight="false" outlineLevel="0" collapsed="false">
      <c r="A48" s="518" t="s">
        <v>427</v>
      </c>
      <c r="B48" s="532" t="s">
        <v>428</v>
      </c>
      <c r="C48" s="520"/>
      <c r="D48" s="521" t="s">
        <v>387</v>
      </c>
    </row>
    <row r="49" customFormat="false" ht="12.75" hidden="false" customHeight="false" outlineLevel="0" collapsed="false">
      <c r="A49" s="540" t="s">
        <v>15</v>
      </c>
      <c r="B49" s="522" t="s">
        <v>429</v>
      </c>
      <c r="C49" s="541"/>
      <c r="D49" s="534" t="n">
        <f aca="false">+Men_Cal_Coletor!C16</f>
        <v>0</v>
      </c>
    </row>
    <row r="50" s="46" customFormat="true" ht="12.75" hidden="false" customHeight="false" outlineLevel="0" collapsed="false">
      <c r="A50" s="542" t="s">
        <v>52</v>
      </c>
      <c r="B50" s="543" t="s">
        <v>336</v>
      </c>
      <c r="C50" s="523" t="n">
        <f aca="false">+$C$131+$C$132</f>
        <v>0.0925</v>
      </c>
      <c r="D50" s="544" t="n">
        <f aca="false">+(C50*D49)*-1</f>
        <v>0</v>
      </c>
    </row>
    <row r="51" customFormat="false" ht="12.75" hidden="false" customHeight="false" outlineLevel="0" collapsed="false">
      <c r="A51" s="540" t="s">
        <v>17</v>
      </c>
      <c r="B51" s="522" t="s">
        <v>430</v>
      </c>
      <c r="C51" s="541"/>
      <c r="D51" s="534" t="n">
        <f aca="false">+Men_Cal_Coletor!C25</f>
        <v>0</v>
      </c>
    </row>
    <row r="52" s="46" customFormat="true" ht="12.75" hidden="false" customHeight="false" outlineLevel="0" collapsed="false">
      <c r="A52" s="542" t="s">
        <v>77</v>
      </c>
      <c r="B52" s="543" t="s">
        <v>336</v>
      </c>
      <c r="C52" s="523" t="n">
        <f aca="false">+$C$131+$C$132</f>
        <v>0.0925</v>
      </c>
      <c r="D52" s="544" t="n">
        <f aca="false">+(C52*D51)*-1</f>
        <v>0</v>
      </c>
      <c r="F52" s="545"/>
    </row>
    <row r="53" customFormat="false" ht="12.75" hidden="false" customHeight="false" outlineLevel="0" collapsed="false">
      <c r="A53" s="546" t="s">
        <v>20</v>
      </c>
      <c r="B53" s="546" t="s">
        <v>431</v>
      </c>
      <c r="C53" s="541"/>
      <c r="D53" s="547"/>
    </row>
    <row r="54" customFormat="false" ht="12.75" hidden="false" customHeight="false" outlineLevel="0" collapsed="false">
      <c r="A54" s="546" t="s">
        <v>22</v>
      </c>
      <c r="B54" s="548" t="s">
        <v>432</v>
      </c>
      <c r="C54" s="541"/>
      <c r="D54" s="547"/>
    </row>
    <row r="55" customFormat="false" ht="25.5" hidden="false" customHeight="false" outlineLevel="0" collapsed="false">
      <c r="A55" s="546" t="s">
        <v>392</v>
      </c>
      <c r="B55" s="549" t="s">
        <v>433</v>
      </c>
      <c r="C55" s="541"/>
      <c r="D55" s="550"/>
      <c r="F55" s="551"/>
    </row>
    <row r="56" customFormat="false" ht="12.75" hidden="false" customHeight="false" outlineLevel="0" collapsed="false">
      <c r="A56" s="546" t="s">
        <v>394</v>
      </c>
      <c r="B56" s="552" t="s">
        <v>434</v>
      </c>
      <c r="C56" s="541"/>
      <c r="D56" s="553"/>
    </row>
    <row r="57" customFormat="false" ht="12.75" hidden="false" customHeight="false" outlineLevel="0" collapsed="false">
      <c r="A57" s="494" t="s">
        <v>406</v>
      </c>
      <c r="B57" s="494"/>
      <c r="C57" s="554"/>
      <c r="D57" s="555" t="n">
        <f aca="false">SUM(D49:D56)</f>
        <v>0</v>
      </c>
    </row>
    <row r="59" customFormat="false" ht="12.75" hidden="false" customHeight="false" outlineLevel="0" collapsed="false">
      <c r="A59" s="505" t="s">
        <v>435</v>
      </c>
      <c r="B59" s="505"/>
      <c r="C59" s="505"/>
      <c r="D59" s="505"/>
    </row>
    <row r="60" customFormat="false" ht="12.75" hidden="false" customHeight="false" outlineLevel="0" collapsed="false">
      <c r="A60" s="556" t="n">
        <v>2</v>
      </c>
      <c r="B60" s="557" t="s">
        <v>436</v>
      </c>
      <c r="C60" s="557"/>
      <c r="D60" s="558" t="s">
        <v>387</v>
      </c>
    </row>
    <row r="61" customFormat="false" ht="12.75" hidden="false" customHeight="false" outlineLevel="0" collapsed="false">
      <c r="A61" s="543" t="s">
        <v>409</v>
      </c>
      <c r="B61" s="559" t="s">
        <v>410</v>
      </c>
      <c r="C61" s="559"/>
      <c r="D61" s="534" t="n">
        <f aca="false">+D33</f>
        <v>0</v>
      </c>
    </row>
    <row r="62" customFormat="false" ht="12.75" hidden="false" customHeight="false" outlineLevel="0" collapsed="false">
      <c r="A62" s="543" t="s">
        <v>416</v>
      </c>
      <c r="B62" s="559" t="s">
        <v>417</v>
      </c>
      <c r="C62" s="559"/>
      <c r="D62" s="534" t="n">
        <f aca="false">+D45</f>
        <v>0</v>
      </c>
    </row>
    <row r="63" customFormat="false" ht="12.75" hidden="false" customHeight="false" outlineLevel="0" collapsed="false">
      <c r="A63" s="543" t="s">
        <v>427</v>
      </c>
      <c r="B63" s="559" t="s">
        <v>428</v>
      </c>
      <c r="C63" s="559"/>
      <c r="D63" s="560" t="n">
        <f aca="false">+D57</f>
        <v>0</v>
      </c>
    </row>
    <row r="64" customFormat="false" ht="12.75" hidden="false" customHeight="false" outlineLevel="0" collapsed="false">
      <c r="A64" s="557" t="s">
        <v>406</v>
      </c>
      <c r="B64" s="557"/>
      <c r="C64" s="557"/>
      <c r="D64" s="561" t="n">
        <f aca="false">SUM(D61:D63)</f>
        <v>0</v>
      </c>
    </row>
    <row r="66" customFormat="false" ht="12.75" hidden="false" customHeight="false" outlineLevel="0" collapsed="false">
      <c r="A66" s="505" t="s">
        <v>437</v>
      </c>
      <c r="B66" s="505"/>
      <c r="C66" s="505"/>
      <c r="D66" s="505"/>
    </row>
    <row r="68" customFormat="false" ht="12.75" hidden="false" customHeight="false" outlineLevel="0" collapsed="false">
      <c r="A68" s="562" t="n">
        <v>3</v>
      </c>
      <c r="B68" s="519" t="s">
        <v>438</v>
      </c>
      <c r="C68" s="492" t="s">
        <v>386</v>
      </c>
      <c r="D68" s="492" t="s">
        <v>387</v>
      </c>
    </row>
    <row r="69" customFormat="false" ht="12.75" hidden="false" customHeight="false" outlineLevel="0" collapsed="false">
      <c r="A69" s="509" t="s">
        <v>15</v>
      </c>
      <c r="B69" s="543" t="s">
        <v>439</v>
      </c>
      <c r="C69" s="523" t="e">
        <f aca="false">+D69/$D$23</f>
        <v>#DIV/0!</v>
      </c>
      <c r="D69" s="563" t="n">
        <f aca="false">+Men_Cal_Coletor!C31</f>
        <v>0</v>
      </c>
    </row>
    <row r="70" customFormat="false" ht="12.75" hidden="false" customHeight="false" outlineLevel="0" collapsed="false">
      <c r="A70" s="509" t="s">
        <v>17</v>
      </c>
      <c r="B70" s="522" t="s">
        <v>440</v>
      </c>
      <c r="C70" s="564"/>
      <c r="D70" s="515" t="n">
        <f aca="false">ROUND(+D69*$C$44,2)</f>
        <v>0</v>
      </c>
    </row>
    <row r="71" customFormat="false" ht="25.5" hidden="false" customHeight="false" outlineLevel="0" collapsed="false">
      <c r="A71" s="509" t="s">
        <v>20</v>
      </c>
      <c r="B71" s="565" t="s">
        <v>441</v>
      </c>
      <c r="C71" s="533" t="e">
        <f aca="false">+D71/$D$23</f>
        <v>#DIV/0!</v>
      </c>
      <c r="D71" s="515" t="n">
        <f aca="false">+Men_Cal_Coletor!C43</f>
        <v>0</v>
      </c>
    </row>
    <row r="72" customFormat="false" ht="12.75" hidden="false" customHeight="false" outlineLevel="0" collapsed="false">
      <c r="A72" s="559" t="s">
        <v>22</v>
      </c>
      <c r="B72" s="522" t="s">
        <v>442</v>
      </c>
      <c r="C72" s="533" t="e">
        <f aca="false">+D72/$D$23</f>
        <v>#DIV/0!</v>
      </c>
      <c r="D72" s="515" t="n">
        <f aca="false">+Men_Cal_Coletor!C51</f>
        <v>0</v>
      </c>
    </row>
    <row r="73" customFormat="false" ht="25.5" hidden="false" customHeight="false" outlineLevel="0" collapsed="false">
      <c r="A73" s="559" t="s">
        <v>392</v>
      </c>
      <c r="B73" s="565" t="s">
        <v>443</v>
      </c>
      <c r="C73" s="564"/>
      <c r="D73" s="566"/>
    </row>
    <row r="74" customFormat="false" ht="25.5" hidden="false" customHeight="false" outlineLevel="0" collapsed="false">
      <c r="A74" s="559" t="s">
        <v>394</v>
      </c>
      <c r="B74" s="565" t="s">
        <v>444</v>
      </c>
      <c r="C74" s="533" t="e">
        <f aca="false">+D74/$D$23</f>
        <v>#DIV/0!</v>
      </c>
      <c r="D74" s="534" t="n">
        <f aca="false">+Men_Cal_Coletor!C63</f>
        <v>0</v>
      </c>
    </row>
    <row r="75" customFormat="false" ht="12.75" hidden="false" customHeight="false" outlineLevel="0" collapsed="false">
      <c r="A75" s="494" t="s">
        <v>406</v>
      </c>
      <c r="B75" s="494"/>
      <c r="C75" s="494"/>
      <c r="D75" s="567" t="n">
        <f aca="false">SUM(D69:D74)</f>
        <v>0</v>
      </c>
    </row>
    <row r="77" customFormat="false" ht="12.75" hidden="false" customHeight="false" outlineLevel="0" collapsed="false">
      <c r="A77" s="505" t="s">
        <v>445</v>
      </c>
      <c r="B77" s="505"/>
      <c r="C77" s="505"/>
      <c r="D77" s="505"/>
    </row>
    <row r="79" customFormat="false" ht="12.75" hidden="false" customHeight="true" outlineLevel="0" collapsed="false">
      <c r="A79" s="568" t="s">
        <v>446</v>
      </c>
      <c r="B79" s="568"/>
      <c r="C79" s="568"/>
      <c r="D79" s="568"/>
    </row>
    <row r="80" customFormat="false" ht="12.75" hidden="false" customHeight="false" outlineLevel="0" collapsed="false">
      <c r="A80" s="562" t="s">
        <v>447</v>
      </c>
      <c r="B80" s="494" t="s">
        <v>448</v>
      </c>
      <c r="C80" s="494"/>
      <c r="D80" s="492" t="s">
        <v>387</v>
      </c>
    </row>
    <row r="81" customFormat="false" ht="12.75" hidden="false" customHeight="false" outlineLevel="0" collapsed="false">
      <c r="A81" s="522" t="s">
        <v>15</v>
      </c>
      <c r="B81" s="305" t="s">
        <v>449</v>
      </c>
      <c r="C81" s="305"/>
      <c r="D81" s="515"/>
    </row>
    <row r="82" customFormat="false" ht="12.75" hidden="false" customHeight="false" outlineLevel="0" collapsed="false">
      <c r="A82" s="543" t="s">
        <v>17</v>
      </c>
      <c r="B82" s="569" t="s">
        <v>448</v>
      </c>
      <c r="C82" s="569"/>
      <c r="D82" s="570" t="n">
        <f aca="false">+Men_Cal_Coletor!C76</f>
        <v>0</v>
      </c>
    </row>
    <row r="83" s="46" customFormat="true" ht="12.75" hidden="false" customHeight="false" outlineLevel="0" collapsed="false">
      <c r="A83" s="543" t="s">
        <v>20</v>
      </c>
      <c r="B83" s="569" t="s">
        <v>450</v>
      </c>
      <c r="C83" s="569"/>
      <c r="D83" s="570" t="n">
        <f aca="false">+Men_Cal_Coletor!C85</f>
        <v>0</v>
      </c>
    </row>
    <row r="84" s="46" customFormat="true" ht="12.75" hidden="false" customHeight="false" outlineLevel="0" collapsed="false">
      <c r="A84" s="543" t="s">
        <v>22</v>
      </c>
      <c r="B84" s="569" t="s">
        <v>451</v>
      </c>
      <c r="C84" s="569"/>
      <c r="D84" s="570" t="n">
        <f aca="false">+Men_Cal_Coletor!C93</f>
        <v>0</v>
      </c>
    </row>
    <row r="85" s="46" customFormat="true" ht="14.25" hidden="false" customHeight="false" outlineLevel="0" collapsed="false">
      <c r="A85" s="543" t="s">
        <v>392</v>
      </c>
      <c r="B85" s="569" t="s">
        <v>452</v>
      </c>
      <c r="C85" s="569"/>
      <c r="D85" s="570"/>
    </row>
    <row r="86" s="46" customFormat="true" ht="12.75" hidden="false" customHeight="false" outlineLevel="0" collapsed="false">
      <c r="A86" s="543" t="s">
        <v>394</v>
      </c>
      <c r="B86" s="569" t="s">
        <v>453</v>
      </c>
      <c r="C86" s="569"/>
      <c r="D86" s="570" t="n">
        <f aca="false">+Men_Cal_Coletor!C101</f>
        <v>0</v>
      </c>
    </row>
    <row r="87" customFormat="false" ht="12.75" hidden="false" customHeight="false" outlineLevel="0" collapsed="false">
      <c r="A87" s="522" t="s">
        <v>396</v>
      </c>
      <c r="B87" s="305" t="s">
        <v>405</v>
      </c>
      <c r="C87" s="305"/>
      <c r="D87" s="515"/>
    </row>
    <row r="88" customFormat="false" ht="12.75" hidden="false" customHeight="false" outlineLevel="0" collapsed="false">
      <c r="A88" s="522" t="s">
        <v>398</v>
      </c>
      <c r="B88" s="305" t="s">
        <v>454</v>
      </c>
      <c r="C88" s="305"/>
      <c r="D88" s="566"/>
    </row>
    <row r="89" customFormat="false" ht="12.75" hidden="false" customHeight="false" outlineLevel="0" collapsed="false">
      <c r="A89" s="494" t="s">
        <v>406</v>
      </c>
      <c r="B89" s="494"/>
      <c r="C89" s="494"/>
      <c r="D89" s="517" t="n">
        <f aca="false">SUM(D81:D88)</f>
        <v>0</v>
      </c>
    </row>
    <row r="90" customFormat="false" ht="12.75" hidden="false" customHeight="false" outlineLevel="0" collapsed="false">
      <c r="D90" s="571"/>
    </row>
    <row r="91" customFormat="false" ht="12.75" hidden="false" customHeight="false" outlineLevel="0" collapsed="false">
      <c r="A91" s="562" t="s">
        <v>455</v>
      </c>
      <c r="B91" s="494" t="s">
        <v>456</v>
      </c>
      <c r="C91" s="494"/>
      <c r="D91" s="492" t="s">
        <v>387</v>
      </c>
    </row>
    <row r="92" s="46" customFormat="true" ht="12.75" hidden="false" customHeight="false" outlineLevel="0" collapsed="false">
      <c r="A92" s="543" t="s">
        <v>15</v>
      </c>
      <c r="B92" s="559" t="s">
        <v>457</v>
      </c>
      <c r="C92" s="559"/>
      <c r="D92" s="570" t="n">
        <f aca="false">+Men_Cal_Coletor!C112</f>
        <v>0</v>
      </c>
    </row>
    <row r="93" s="46" customFormat="true" ht="28.5" hidden="false" customHeight="true" outlineLevel="0" collapsed="false">
      <c r="A93" s="543" t="s">
        <v>17</v>
      </c>
      <c r="B93" s="572" t="s">
        <v>458</v>
      </c>
      <c r="C93" s="572"/>
      <c r="D93" s="566"/>
    </row>
    <row r="94" s="46" customFormat="true" ht="31.5" hidden="false" customHeight="true" outlineLevel="0" collapsed="false">
      <c r="A94" s="543" t="s">
        <v>20</v>
      </c>
      <c r="B94" s="572" t="s">
        <v>459</v>
      </c>
      <c r="C94" s="572"/>
      <c r="D94" s="566"/>
    </row>
    <row r="95" customFormat="false" ht="12.75" hidden="false" customHeight="false" outlineLevel="0" collapsed="false">
      <c r="A95" s="522" t="s">
        <v>22</v>
      </c>
      <c r="B95" s="305" t="s">
        <v>405</v>
      </c>
      <c r="C95" s="305"/>
      <c r="D95" s="515"/>
    </row>
    <row r="96" customFormat="false" ht="12.75" hidden="false" customHeight="false" outlineLevel="0" collapsed="false">
      <c r="A96" s="494" t="s">
        <v>406</v>
      </c>
      <c r="B96" s="494"/>
      <c r="C96" s="494"/>
      <c r="D96" s="517" t="n">
        <f aca="false">SUM(D92:D95)</f>
        <v>0</v>
      </c>
    </row>
    <row r="97" customFormat="false" ht="12.75" hidden="false" customHeight="false" outlineLevel="0" collapsed="false">
      <c r="D97" s="571"/>
    </row>
    <row r="98" customFormat="false" ht="12.75" hidden="false" customHeight="false" outlineLevel="0" collapsed="false">
      <c r="A98" s="562" t="s">
        <v>460</v>
      </c>
      <c r="B98" s="494" t="s">
        <v>461</v>
      </c>
      <c r="C98" s="494"/>
      <c r="D98" s="492" t="s">
        <v>387</v>
      </c>
    </row>
    <row r="99" s="574" customFormat="true" ht="12.75" hidden="false" customHeight="true" outlineLevel="0" collapsed="false">
      <c r="A99" s="559" t="s">
        <v>15</v>
      </c>
      <c r="B99" s="572" t="s">
        <v>462</v>
      </c>
      <c r="C99" s="572"/>
      <c r="D99" s="573"/>
    </row>
    <row r="100" customFormat="false" ht="12.75" hidden="false" customHeight="false" outlineLevel="0" collapsed="false">
      <c r="A100" s="494" t="s">
        <v>406</v>
      </c>
      <c r="B100" s="494"/>
      <c r="C100" s="494"/>
      <c r="D100" s="517" t="n">
        <f aca="false">SUM(D99:D99)</f>
        <v>0</v>
      </c>
    </row>
    <row r="102" customFormat="false" ht="12.75" hidden="false" customHeight="false" outlineLevel="0" collapsed="false">
      <c r="A102" s="575" t="s">
        <v>463</v>
      </c>
      <c r="B102" s="575"/>
      <c r="C102" s="575"/>
      <c r="D102" s="575"/>
    </row>
    <row r="103" customFormat="false" ht="12.75" hidden="false" customHeight="false" outlineLevel="0" collapsed="false">
      <c r="A103" s="522" t="s">
        <v>447</v>
      </c>
      <c r="B103" s="305" t="s">
        <v>448</v>
      </c>
      <c r="C103" s="305"/>
      <c r="D103" s="534" t="n">
        <f aca="false">+D89</f>
        <v>0</v>
      </c>
    </row>
    <row r="104" customFormat="false" ht="12.75" hidden="false" customHeight="false" outlineLevel="0" collapsed="false">
      <c r="A104" s="522" t="s">
        <v>455</v>
      </c>
      <c r="B104" s="305" t="s">
        <v>456</v>
      </c>
      <c r="C104" s="305"/>
      <c r="D104" s="534" t="n">
        <f aca="false">+D96</f>
        <v>0</v>
      </c>
    </row>
    <row r="105" customFormat="false" ht="12.75" hidden="false" customHeight="false" outlineLevel="0" collapsed="false">
      <c r="A105" s="576"/>
      <c r="B105" s="577" t="s">
        <v>464</v>
      </c>
      <c r="C105" s="577"/>
      <c r="D105" s="578" t="n">
        <f aca="false">+D104+D103</f>
        <v>0</v>
      </c>
    </row>
    <row r="106" customFormat="false" ht="12.75" hidden="false" customHeight="false" outlineLevel="0" collapsed="false">
      <c r="A106" s="522" t="s">
        <v>460</v>
      </c>
      <c r="B106" s="305" t="s">
        <v>461</v>
      </c>
      <c r="C106" s="305"/>
      <c r="D106" s="534" t="n">
        <f aca="false">+D100</f>
        <v>0</v>
      </c>
    </row>
    <row r="107" customFormat="false" ht="12.75" hidden="false" customHeight="false" outlineLevel="0" collapsed="false">
      <c r="A107" s="575" t="s">
        <v>406</v>
      </c>
      <c r="B107" s="575"/>
      <c r="C107" s="575"/>
      <c r="D107" s="579" t="n">
        <f aca="false">+D106+D105</f>
        <v>0</v>
      </c>
    </row>
    <row r="109" customFormat="false" ht="12.75" hidden="false" customHeight="false" outlineLevel="0" collapsed="false">
      <c r="A109" s="505" t="s">
        <v>465</v>
      </c>
      <c r="B109" s="505"/>
      <c r="C109" s="505"/>
      <c r="D109" s="505"/>
    </row>
    <row r="111" customFormat="false" ht="12.75" hidden="false" customHeight="false" outlineLevel="0" collapsed="false">
      <c r="A111" s="562" t="n">
        <v>5</v>
      </c>
      <c r="B111" s="494" t="s">
        <v>466</v>
      </c>
      <c r="C111" s="494"/>
      <c r="D111" s="492" t="s">
        <v>387</v>
      </c>
    </row>
    <row r="112" customFormat="false" ht="12.75" hidden="false" customHeight="false" outlineLevel="0" collapsed="false">
      <c r="A112" s="522" t="s">
        <v>15</v>
      </c>
      <c r="B112" s="509" t="s">
        <v>467</v>
      </c>
      <c r="C112" s="509"/>
      <c r="D112" s="515" t="n">
        <f aca="false">+Uniformes!F32</f>
        <v>0</v>
      </c>
    </row>
    <row r="113" customFormat="false" ht="12.75" hidden="false" customHeight="false" outlineLevel="0" collapsed="false">
      <c r="A113" s="522" t="s">
        <v>52</v>
      </c>
      <c r="B113" s="543" t="s">
        <v>336</v>
      </c>
      <c r="C113" s="523" t="n">
        <f aca="false">+$C$131+$C$132</f>
        <v>0.0925</v>
      </c>
      <c r="D113" s="544" t="n">
        <f aca="false">+(C113*D112)*-1</f>
        <v>0</v>
      </c>
    </row>
    <row r="114" customFormat="false" ht="12.75" hidden="false" customHeight="false" outlineLevel="0" collapsed="false">
      <c r="A114" s="522" t="s">
        <v>17</v>
      </c>
      <c r="B114" s="509" t="s">
        <v>468</v>
      </c>
      <c r="C114" s="509"/>
      <c r="D114" s="515"/>
    </row>
    <row r="115" customFormat="false" ht="12.75" hidden="false" customHeight="false" outlineLevel="0" collapsed="false">
      <c r="A115" s="522" t="s">
        <v>77</v>
      </c>
      <c r="B115" s="543" t="s">
        <v>336</v>
      </c>
      <c r="C115" s="523" t="n">
        <f aca="false">+$C$131+$C$132</f>
        <v>0.0925</v>
      </c>
      <c r="D115" s="544" t="n">
        <f aca="false">+(C115*D114)*-1</f>
        <v>0</v>
      </c>
    </row>
    <row r="116" customFormat="false" ht="12.75" hidden="false" customHeight="false" outlineLevel="0" collapsed="false">
      <c r="A116" s="522" t="s">
        <v>20</v>
      </c>
      <c r="B116" s="509" t="s">
        <v>469</v>
      </c>
      <c r="C116" s="509"/>
      <c r="D116" s="515"/>
    </row>
    <row r="117" customFormat="false" ht="12.75" hidden="false" customHeight="false" outlineLevel="0" collapsed="false">
      <c r="A117" s="522" t="s">
        <v>96</v>
      </c>
      <c r="B117" s="543" t="s">
        <v>336</v>
      </c>
      <c r="C117" s="523" t="n">
        <f aca="false">+$C$131+$C$132</f>
        <v>0.0925</v>
      </c>
      <c r="D117" s="544" t="n">
        <f aca="false">+(C117*D116)*-1</f>
        <v>0</v>
      </c>
    </row>
    <row r="118" customFormat="false" ht="12.75" hidden="false" customHeight="false" outlineLevel="0" collapsed="false">
      <c r="A118" s="522" t="s">
        <v>22</v>
      </c>
      <c r="B118" s="509" t="s">
        <v>405</v>
      </c>
      <c r="C118" s="509"/>
      <c r="D118" s="515"/>
    </row>
    <row r="119" customFormat="false" ht="12.75" hidden="false" customHeight="false" outlineLevel="0" collapsed="false">
      <c r="A119" s="522" t="s">
        <v>470</v>
      </c>
      <c r="B119" s="543" t="s">
        <v>336</v>
      </c>
      <c r="C119" s="523" t="n">
        <f aca="false">+$C$131+$C$132</f>
        <v>0.0925</v>
      </c>
      <c r="D119" s="544" t="n">
        <f aca="false">+(C119*D118)*-1</f>
        <v>0</v>
      </c>
    </row>
    <row r="120" customFormat="false" ht="12.75" hidden="false" customHeight="false" outlineLevel="0" collapsed="false">
      <c r="A120" s="494" t="s">
        <v>406</v>
      </c>
      <c r="B120" s="494"/>
      <c r="C120" s="494"/>
      <c r="D120" s="517" t="n">
        <f aca="false">SUM(D112:D118)</f>
        <v>0</v>
      </c>
    </row>
    <row r="122" customFormat="false" ht="12.75" hidden="false" customHeight="false" outlineLevel="0" collapsed="false">
      <c r="A122" s="505" t="s">
        <v>471</v>
      </c>
      <c r="B122" s="505"/>
      <c r="C122" s="505"/>
      <c r="D122" s="505"/>
    </row>
    <row r="124" customFormat="false" ht="12.75" hidden="false" customHeight="false" outlineLevel="0" collapsed="false">
      <c r="A124" s="562" t="n">
        <v>6</v>
      </c>
      <c r="B124" s="519" t="s">
        <v>472</v>
      </c>
      <c r="C124" s="580" t="s">
        <v>386</v>
      </c>
      <c r="D124" s="492" t="s">
        <v>387</v>
      </c>
    </row>
    <row r="125" customFormat="false" ht="12.75" hidden="false" customHeight="false" outlineLevel="0" collapsed="false">
      <c r="A125" s="522" t="s">
        <v>15</v>
      </c>
      <c r="B125" s="522" t="s">
        <v>328</v>
      </c>
      <c r="C125" s="533" t="n">
        <v>0.03</v>
      </c>
      <c r="D125" s="581" t="n">
        <f aca="false">($D$120+$D$107+$D$75+$D$64+$D$23)*C125</f>
        <v>0</v>
      </c>
    </row>
    <row r="126" customFormat="false" ht="12.75" hidden="false" customHeight="false" outlineLevel="0" collapsed="false">
      <c r="A126" s="522" t="s">
        <v>17</v>
      </c>
      <c r="B126" s="522" t="s">
        <v>329</v>
      </c>
      <c r="C126" s="533" t="n">
        <v>0.03</v>
      </c>
      <c r="D126" s="581" t="n">
        <f aca="false">($D$120+$D$107+$D$75+$D$64+$D$23+D125)*C126</f>
        <v>0</v>
      </c>
    </row>
    <row r="127" s="584" customFormat="true" ht="12.75" hidden="false" customHeight="false" outlineLevel="0" collapsed="false">
      <c r="A127" s="582" t="s">
        <v>473</v>
      </c>
      <c r="B127" s="582"/>
      <c r="C127" s="582"/>
      <c r="D127" s="583" t="n">
        <f aca="false">++D126+D125+D120+D107+D75+D64+D23</f>
        <v>0</v>
      </c>
    </row>
    <row r="128" s="584" customFormat="true" ht="33" hidden="false" customHeight="true" outlineLevel="0" collapsed="false">
      <c r="A128" s="585" t="s">
        <v>474</v>
      </c>
      <c r="B128" s="585"/>
      <c r="C128" s="585"/>
      <c r="D128" s="583" t="n">
        <f aca="false">ROUND(D127/(1-(C131+C132+C134+C136+C137)),2)</f>
        <v>0</v>
      </c>
    </row>
    <row r="129" customFormat="false" ht="12.75" hidden="false" customHeight="false" outlineLevel="0" collapsed="false">
      <c r="A129" s="522" t="s">
        <v>20</v>
      </c>
      <c r="B129" s="522" t="s">
        <v>475</v>
      </c>
      <c r="C129" s="533"/>
      <c r="D129" s="522"/>
    </row>
    <row r="130" customFormat="false" ht="12.75" hidden="false" customHeight="false" outlineLevel="0" collapsed="false">
      <c r="A130" s="522" t="s">
        <v>96</v>
      </c>
      <c r="B130" s="522" t="s">
        <v>476</v>
      </c>
      <c r="C130" s="533"/>
      <c r="D130" s="522"/>
    </row>
    <row r="131" customFormat="false" ht="12.75" hidden="false" customHeight="false" outlineLevel="0" collapsed="false">
      <c r="A131" s="522" t="s">
        <v>477</v>
      </c>
      <c r="B131" s="522" t="s">
        <v>330</v>
      </c>
      <c r="C131" s="533" t="n">
        <v>0.0165</v>
      </c>
      <c r="D131" s="581" t="n">
        <f aca="false">ROUND(C131*$D$128,2)</f>
        <v>0</v>
      </c>
      <c r="G131" s="586"/>
    </row>
    <row r="132" customFormat="false" ht="12.75" hidden="false" customHeight="false" outlineLevel="0" collapsed="false">
      <c r="A132" s="522" t="s">
        <v>478</v>
      </c>
      <c r="B132" s="522" t="s">
        <v>331</v>
      </c>
      <c r="C132" s="533" t="n">
        <v>0.076</v>
      </c>
      <c r="D132" s="581" t="n">
        <f aca="false">ROUND(C132*$D$128,2)</f>
        <v>0</v>
      </c>
      <c r="G132" s="586"/>
    </row>
    <row r="133" customFormat="false" ht="12.75" hidden="false" customHeight="false" outlineLevel="0" collapsed="false">
      <c r="A133" s="522" t="s">
        <v>479</v>
      </c>
      <c r="B133" s="522" t="s">
        <v>480</v>
      </c>
      <c r="C133" s="533"/>
      <c r="D133" s="581"/>
      <c r="G133" s="586"/>
    </row>
    <row r="134" customFormat="false" ht="12.75" hidden="false" customHeight="false" outlineLevel="0" collapsed="false">
      <c r="A134" s="522" t="s">
        <v>481</v>
      </c>
      <c r="B134" s="522" t="s">
        <v>482</v>
      </c>
      <c r="C134" s="533"/>
      <c r="D134" s="581"/>
      <c r="G134" s="586"/>
    </row>
    <row r="135" customFormat="false" ht="12.75" hidden="false" customHeight="false" outlineLevel="0" collapsed="false">
      <c r="A135" s="522" t="s">
        <v>483</v>
      </c>
      <c r="B135" s="522" t="s">
        <v>484</v>
      </c>
      <c r="C135" s="533"/>
      <c r="D135" s="581"/>
    </row>
    <row r="136" customFormat="false" ht="12.75" hidden="false" customHeight="false" outlineLevel="0" collapsed="false">
      <c r="A136" s="522" t="s">
        <v>485</v>
      </c>
      <c r="B136" s="522" t="s">
        <v>332</v>
      </c>
      <c r="C136" s="533" t="n">
        <v>0.05</v>
      </c>
      <c r="D136" s="581" t="n">
        <f aca="false">ROUND(C136*$D$128,2)</f>
        <v>0</v>
      </c>
    </row>
    <row r="137" customFormat="false" ht="12.75" hidden="false" customHeight="false" outlineLevel="0" collapsed="false">
      <c r="A137" s="522" t="s">
        <v>486</v>
      </c>
      <c r="B137" s="522" t="s">
        <v>487</v>
      </c>
      <c r="C137" s="533"/>
      <c r="D137" s="581"/>
    </row>
    <row r="138" customFormat="false" ht="12.75" hidden="false" customHeight="false" outlineLevel="0" collapsed="false">
      <c r="A138" s="522" t="s">
        <v>22</v>
      </c>
      <c r="B138" s="522" t="s">
        <v>488</v>
      </c>
      <c r="C138" s="533"/>
      <c r="D138" s="581"/>
    </row>
    <row r="139" customFormat="false" ht="14.25" hidden="false" customHeight="false" outlineLevel="0" collapsed="false">
      <c r="A139" s="522" t="s">
        <v>489</v>
      </c>
      <c r="B139" s="522" t="s">
        <v>490</v>
      </c>
      <c r="C139" s="533"/>
      <c r="D139" s="581" t="n">
        <f aca="false">+'LOTE_I_-_Custo_M2'!$T$192</f>
        <v>0.33</v>
      </c>
    </row>
    <row r="140" customFormat="false" ht="12.75" hidden="false" customHeight="false" outlineLevel="0" collapsed="false">
      <c r="A140" s="522" t="s">
        <v>491</v>
      </c>
      <c r="B140" s="522" t="s">
        <v>492</v>
      </c>
      <c r="C140" s="533"/>
      <c r="D140" s="581" t="n">
        <f aca="false">+'LOTE_I_-_Custo_M2'!$T$193</f>
        <v>0.88</v>
      </c>
    </row>
    <row r="141" customFormat="false" ht="12.75" hidden="false" customHeight="false" outlineLevel="0" collapsed="false">
      <c r="A141" s="535" t="s">
        <v>406</v>
      </c>
      <c r="B141" s="535"/>
      <c r="C141" s="587" t="n">
        <f aca="false">+C137+C136+C134+C132+C131+C126+C125</f>
        <v>0.2025</v>
      </c>
      <c r="D141" s="588" t="n">
        <f aca="false">+D136+D134+D132+D131+D126+D125+D139+D140</f>
        <v>1.21</v>
      </c>
    </row>
    <row r="143" customFormat="false" ht="12.75" hidden="false" customHeight="false" outlineLevel="0" collapsed="false">
      <c r="A143" s="589" t="s">
        <v>493</v>
      </c>
      <c r="B143" s="589"/>
      <c r="C143" s="589"/>
      <c r="D143" s="589"/>
    </row>
    <row r="144" customFormat="false" ht="12.75" hidden="false" customHeight="false" outlineLevel="0" collapsed="false">
      <c r="A144" s="522" t="s">
        <v>15</v>
      </c>
      <c r="B144" s="305" t="s">
        <v>494</v>
      </c>
      <c r="C144" s="305"/>
      <c r="D144" s="590" t="n">
        <f aca="false">+D23</f>
        <v>0</v>
      </c>
    </row>
    <row r="145" customFormat="false" ht="12.75" hidden="false" customHeight="false" outlineLevel="0" collapsed="false">
      <c r="A145" s="522" t="s">
        <v>495</v>
      </c>
      <c r="B145" s="305" t="s">
        <v>496</v>
      </c>
      <c r="C145" s="305"/>
      <c r="D145" s="590" t="n">
        <f aca="false">+D64</f>
        <v>0</v>
      </c>
    </row>
    <row r="146" customFormat="false" ht="12.75" hidden="false" customHeight="false" outlineLevel="0" collapsed="false">
      <c r="A146" s="522" t="s">
        <v>20</v>
      </c>
      <c r="B146" s="305" t="s">
        <v>497</v>
      </c>
      <c r="C146" s="305"/>
      <c r="D146" s="590" t="n">
        <f aca="false">+D75</f>
        <v>0</v>
      </c>
    </row>
    <row r="147" customFormat="false" ht="12.75" hidden="false" customHeight="false" outlineLevel="0" collapsed="false">
      <c r="A147" s="522" t="s">
        <v>22</v>
      </c>
      <c r="B147" s="305" t="s">
        <v>498</v>
      </c>
      <c r="C147" s="305"/>
      <c r="D147" s="590" t="n">
        <f aca="false">+D107</f>
        <v>0</v>
      </c>
    </row>
    <row r="148" customFormat="false" ht="12.75" hidden="false" customHeight="false" outlineLevel="0" collapsed="false">
      <c r="A148" s="522" t="s">
        <v>392</v>
      </c>
      <c r="B148" s="305" t="s">
        <v>499</v>
      </c>
      <c r="C148" s="305"/>
      <c r="D148" s="590" t="n">
        <f aca="false">+D120</f>
        <v>0</v>
      </c>
    </row>
    <row r="149" customFormat="false" ht="12.75" hidden="false" customHeight="false" outlineLevel="0" collapsed="false">
      <c r="B149" s="591" t="s">
        <v>500</v>
      </c>
      <c r="C149" s="591"/>
      <c r="D149" s="592" t="n">
        <f aca="false">SUM(D144:D148)</f>
        <v>0</v>
      </c>
    </row>
    <row r="150" customFormat="false" ht="12.75" hidden="false" customHeight="false" outlineLevel="0" collapsed="false">
      <c r="A150" s="522" t="s">
        <v>394</v>
      </c>
      <c r="B150" s="305" t="s">
        <v>501</v>
      </c>
      <c r="C150" s="305"/>
      <c r="D150" s="590" t="n">
        <f aca="false">+D141</f>
        <v>1.21</v>
      </c>
    </row>
    <row r="151" customFormat="false" ht="12.75" hidden="false" customHeight="false" outlineLevel="0" collapsed="false">
      <c r="D151" s="593"/>
    </row>
    <row r="152" customFormat="false" ht="12.75" hidden="false" customHeight="false" outlineLevel="0" collapsed="false">
      <c r="A152" s="594" t="s">
        <v>502</v>
      </c>
      <c r="B152" s="594"/>
      <c r="C152" s="594"/>
      <c r="D152" s="595" t="n">
        <f aca="false">ROUND(+D150+D149,2)</f>
        <v>1.21</v>
      </c>
    </row>
    <row r="154" customFormat="false" ht="12.75" hidden="false" customHeight="false" outlineLevel="0" collapsed="false">
      <c r="B154" s="596"/>
      <c r="C154" s="596"/>
      <c r="D154" s="596"/>
    </row>
    <row r="155" customFormat="false" ht="39" hidden="false" customHeight="true" outlineLevel="0" collapsed="false">
      <c r="A155" s="597" t="s">
        <v>503</v>
      </c>
      <c r="B155" s="597"/>
      <c r="C155" s="597"/>
      <c r="D155" s="597"/>
      <c r="E155" s="598"/>
    </row>
    <row r="156" customFormat="false" ht="14.25" hidden="false" customHeight="false" outlineLevel="0" collapsed="false">
      <c r="A156" s="599" t="s">
        <v>504</v>
      </c>
      <c r="B156" s="599"/>
      <c r="C156" s="599"/>
      <c r="D156" s="599"/>
      <c r="E156" s="598"/>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5:D155"/>
    <mergeCell ref="A156:D156"/>
  </mergeCells>
  <printOptions headings="false" gridLines="false" gridLinesSet="true" horizontalCentered="false" verticalCentered="false"/>
  <pageMargins left="1.37777777777778" right="0.511805555555555"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C124"/>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9.66"/>
    <col collapsed="false" customWidth="true" hidden="false" outlineLevel="0" max="2" min="2" style="44" width="15.53"/>
    <col collapsed="false" customWidth="true" hidden="false" outlineLevel="0" max="3" min="3" style="44" width="13.09"/>
    <col collapsed="false" customWidth="true" hidden="false" outlineLevel="0" max="4" min="4" style="44" width="10.12"/>
    <col collapsed="false" customWidth="true" hidden="false" outlineLevel="0" max="5" min="5" style="44" width="74.65"/>
    <col collapsed="false" customWidth="true" hidden="false" outlineLevel="0" max="1025" min="6" style="44" width="8.64"/>
  </cols>
  <sheetData>
    <row r="1" customFormat="false" ht="12.75" hidden="false" customHeight="false" outlineLevel="0" collapsed="false">
      <c r="A1" s="600" t="s">
        <v>505</v>
      </c>
      <c r="B1" s="600"/>
      <c r="C1" s="600"/>
    </row>
    <row r="3" customFormat="false" ht="12.75" hidden="false" customHeight="false" outlineLevel="0" collapsed="false">
      <c r="A3" s="522" t="s">
        <v>506</v>
      </c>
      <c r="B3" s="522" t="n">
        <v>220</v>
      </c>
    </row>
    <row r="4" customFormat="false" ht="12.75" hidden="false" customHeight="false" outlineLevel="0" collapsed="false">
      <c r="A4" s="522" t="s">
        <v>507</v>
      </c>
      <c r="B4" s="522" t="n">
        <v>365.25</v>
      </c>
    </row>
    <row r="5" customFormat="false" ht="12.75" hidden="false" customHeight="false" outlineLevel="0" collapsed="false">
      <c r="A5" s="522" t="s">
        <v>508</v>
      </c>
      <c r="B5" s="601" t="n">
        <f aca="false">(365.25/12)/(7/5)</f>
        <v>21.7410714285714</v>
      </c>
    </row>
    <row r="6" customFormat="false" ht="12.75" hidden="false" customHeight="false" outlineLevel="0" collapsed="false">
      <c r="A6" s="543" t="s">
        <v>388</v>
      </c>
      <c r="B6" s="534" t="n">
        <f aca="false">+Coletor_de_Residuo_Seg_a_Sex!D12</f>
        <v>0</v>
      </c>
    </row>
    <row r="7" customFormat="false" ht="12.75" hidden="false" customHeight="false" outlineLevel="0" collapsed="false">
      <c r="A7" s="543" t="s">
        <v>509</v>
      </c>
      <c r="B7" s="534" t="n">
        <f aca="false">+Coletor_de_Residuo_Seg_a_Sex!D23</f>
        <v>0</v>
      </c>
    </row>
    <row r="9" customFormat="false" ht="12.75" hidden="false" customHeight="false" outlineLevel="0" collapsed="false">
      <c r="A9" s="602" t="s">
        <v>510</v>
      </c>
      <c r="B9" s="602"/>
      <c r="C9" s="602"/>
    </row>
    <row r="10" customFormat="false" ht="12.75" hidden="false" customHeight="false" outlineLevel="0" collapsed="false">
      <c r="A10" s="522" t="s">
        <v>511</v>
      </c>
      <c r="B10" s="522" t="n">
        <f aca="false">+$B$4</f>
        <v>365.25</v>
      </c>
      <c r="C10" s="564"/>
    </row>
    <row r="11" customFormat="false" ht="12.75" hidden="false" customHeight="false" outlineLevel="0" collapsed="false">
      <c r="A11" s="522" t="s">
        <v>512</v>
      </c>
      <c r="B11" s="543" t="n">
        <v>12</v>
      </c>
      <c r="C11" s="564"/>
    </row>
    <row r="12" customFormat="false" ht="12.75" hidden="false" customHeight="false" outlineLevel="0" collapsed="false">
      <c r="A12" s="522" t="s">
        <v>513</v>
      </c>
      <c r="B12" s="533" t="n">
        <v>1</v>
      </c>
      <c r="C12" s="564"/>
    </row>
    <row r="13" customFormat="false" ht="12.75" hidden="false" customHeight="false" outlineLevel="0" collapsed="false">
      <c r="A13" s="543" t="s">
        <v>514</v>
      </c>
      <c r="B13" s="603" t="n">
        <f aca="false">+B5</f>
        <v>21.7410714285714</v>
      </c>
      <c r="C13" s="564"/>
    </row>
    <row r="14" customFormat="false" ht="12.75" hidden="false" customHeight="false" outlineLevel="0" collapsed="false">
      <c r="A14" s="548" t="s">
        <v>515</v>
      </c>
      <c r="B14" s="604"/>
      <c r="C14" s="564"/>
    </row>
    <row r="15" customFormat="false" ht="12.75" hidden="false" customHeight="false" outlineLevel="0" collapsed="false">
      <c r="A15" s="522" t="s">
        <v>516</v>
      </c>
      <c r="B15" s="533" t="n">
        <v>0.06</v>
      </c>
      <c r="C15" s="564"/>
    </row>
    <row r="16" customFormat="false" ht="12.75" hidden="false" customHeight="false" outlineLevel="0" collapsed="false">
      <c r="A16" s="575" t="s">
        <v>517</v>
      </c>
      <c r="B16" s="575"/>
      <c r="C16" s="605" t="n">
        <f aca="false">ROUND((B13*(B14*2)-($B$6*B15)),2)</f>
        <v>0</v>
      </c>
    </row>
    <row r="18" customFormat="false" ht="12.75" hidden="false" customHeight="false" outlineLevel="0" collapsed="false">
      <c r="A18" s="602" t="s">
        <v>518</v>
      </c>
      <c r="B18" s="602"/>
      <c r="C18" s="602"/>
    </row>
    <row r="19" customFormat="false" ht="12.75" hidden="false" customHeight="false" outlineLevel="0" collapsed="false">
      <c r="A19" s="522" t="s">
        <v>511</v>
      </c>
      <c r="B19" s="522" t="n">
        <f aca="false">+$B$4</f>
        <v>365.25</v>
      </c>
      <c r="C19" s="564"/>
    </row>
    <row r="20" customFormat="false" ht="12.75" hidden="false" customHeight="false" outlineLevel="0" collapsed="false">
      <c r="A20" s="522" t="s">
        <v>512</v>
      </c>
      <c r="B20" s="543" t="n">
        <v>12</v>
      </c>
      <c r="C20" s="564"/>
    </row>
    <row r="21" customFormat="false" ht="12.75" hidden="false" customHeight="false" outlineLevel="0" collapsed="false">
      <c r="A21" s="522" t="s">
        <v>513</v>
      </c>
      <c r="B21" s="533" t="n">
        <v>1</v>
      </c>
      <c r="C21" s="564"/>
    </row>
    <row r="22" customFormat="false" ht="12.75" hidden="false" customHeight="false" outlineLevel="0" collapsed="false">
      <c r="A22" s="543" t="s">
        <v>514</v>
      </c>
      <c r="B22" s="603" t="n">
        <f aca="false">+B5</f>
        <v>21.7410714285714</v>
      </c>
      <c r="C22" s="564"/>
    </row>
    <row r="23" customFormat="false" ht="12.75" hidden="false" customHeight="false" outlineLevel="0" collapsed="false">
      <c r="A23" s="548" t="s">
        <v>519</v>
      </c>
      <c r="B23" s="604"/>
      <c r="C23" s="564"/>
    </row>
    <row r="24" customFormat="false" ht="12.75" hidden="false" customHeight="false" outlineLevel="0" collapsed="false">
      <c r="A24" s="522" t="s">
        <v>520</v>
      </c>
      <c r="B24" s="533" t="n">
        <v>0.1</v>
      </c>
      <c r="C24" s="564"/>
    </row>
    <row r="25" customFormat="false" ht="12.75" hidden="false" customHeight="false" outlineLevel="0" collapsed="false">
      <c r="A25" s="575" t="s">
        <v>519</v>
      </c>
      <c r="B25" s="575"/>
      <c r="C25" s="605" t="n">
        <f aca="false">ROUND((B22*(B23)-((B22*B23)*B24)),2)</f>
        <v>0</v>
      </c>
    </row>
    <row r="27" customFormat="false" ht="12.75" hidden="false" customHeight="false" outlineLevel="0" collapsed="false">
      <c r="A27" s="602" t="s">
        <v>521</v>
      </c>
      <c r="B27" s="602"/>
      <c r="C27" s="602"/>
    </row>
    <row r="28" customFormat="false" ht="12.75" hidden="false" customHeight="false" outlineLevel="0" collapsed="false">
      <c r="A28" s="522" t="s">
        <v>522</v>
      </c>
      <c r="B28" s="534" t="n">
        <f aca="false">+B7</f>
        <v>0</v>
      </c>
      <c r="C28" s="564"/>
    </row>
    <row r="29" customFormat="false" ht="12.75" hidden="false" customHeight="false" outlineLevel="0" collapsed="false">
      <c r="A29" s="522" t="s">
        <v>523</v>
      </c>
      <c r="B29" s="522" t="n">
        <v>12</v>
      </c>
      <c r="C29" s="564"/>
    </row>
    <row r="30" customFormat="false" ht="12.75" hidden="false" customHeight="false" outlineLevel="0" collapsed="false">
      <c r="A30" s="546" t="s">
        <v>524</v>
      </c>
      <c r="B30" s="606"/>
      <c r="C30" s="564"/>
    </row>
    <row r="31" customFormat="false" ht="12.75" hidden="false" customHeight="false" outlineLevel="0" collapsed="false">
      <c r="A31" s="575" t="s">
        <v>525</v>
      </c>
      <c r="B31" s="575"/>
      <c r="C31" s="605" t="n">
        <f aca="false">ROUND(+(B28/B29)*B30,2)</f>
        <v>0</v>
      </c>
    </row>
    <row r="33" customFormat="false" ht="12.75" hidden="false" customHeight="true" outlineLevel="0" collapsed="false">
      <c r="A33" s="607" t="s">
        <v>526</v>
      </c>
      <c r="B33" s="607"/>
      <c r="C33" s="607"/>
    </row>
    <row r="34" s="46" customFormat="true" ht="12.75" hidden="false" customHeight="false" outlineLevel="0" collapsed="false">
      <c r="A34" s="608" t="s">
        <v>527</v>
      </c>
      <c r="B34" s="606" t="n">
        <f aca="false">+B30</f>
        <v>0</v>
      </c>
      <c r="C34" s="564"/>
    </row>
    <row r="35" customFormat="false" ht="12.75" hidden="false" customHeight="false" outlineLevel="0" collapsed="false">
      <c r="A35" s="522" t="s">
        <v>528</v>
      </c>
      <c r="B35" s="534" t="n">
        <f aca="false">+Coletor_de_Residuo_Seg_a_Sex!$D$23</f>
        <v>0</v>
      </c>
      <c r="C35" s="564"/>
    </row>
    <row r="36" customFormat="false" ht="12.75" hidden="false" customHeight="false" outlineLevel="0" collapsed="false">
      <c r="A36" s="522" t="s">
        <v>411</v>
      </c>
      <c r="B36" s="534" t="n">
        <f aca="false">+Coletor_de_Residuo_Seg_a_Sex!$D$29</f>
        <v>0</v>
      </c>
      <c r="C36" s="564"/>
    </row>
    <row r="37" customFormat="false" ht="12.75" hidden="false" customHeight="false" outlineLevel="0" collapsed="false">
      <c r="A37" s="522" t="s">
        <v>413</v>
      </c>
      <c r="B37" s="534" t="n">
        <f aca="false">+Coletor_de_Residuo_Seg_a_Sex!$D$31</f>
        <v>0</v>
      </c>
      <c r="C37" s="564"/>
    </row>
    <row r="38" customFormat="false" ht="12.75" hidden="false" customHeight="false" outlineLevel="0" collapsed="false">
      <c r="A38" s="522" t="s">
        <v>414</v>
      </c>
      <c r="B38" s="534" t="n">
        <f aca="false">+Coletor_de_Residuo_Seg_a_Sex!$D$32</f>
        <v>0</v>
      </c>
      <c r="C38" s="564"/>
    </row>
    <row r="39" customFormat="false" ht="12.75" hidden="false" customHeight="false" outlineLevel="0" collapsed="false">
      <c r="A39" s="609" t="s">
        <v>529</v>
      </c>
      <c r="B39" s="610" t="n">
        <f aca="false">SUM(B35:B38)</f>
        <v>0</v>
      </c>
      <c r="C39" s="564"/>
    </row>
    <row r="40" customFormat="false" ht="12.75" hidden="false" customHeight="false" outlineLevel="0" collapsed="false">
      <c r="A40" s="543" t="s">
        <v>530</v>
      </c>
      <c r="B40" s="533" t="n">
        <v>0.4</v>
      </c>
      <c r="C40" s="564"/>
    </row>
    <row r="41" customFormat="false" ht="12.75" hidden="false" customHeight="false" outlineLevel="0" collapsed="false">
      <c r="A41" s="543" t="s">
        <v>531</v>
      </c>
      <c r="B41" s="533" t="n">
        <f aca="false">+Coletor_de_Residuo_Seg_a_Sex!$C$44</f>
        <v>0.08</v>
      </c>
      <c r="C41" s="564"/>
    </row>
    <row r="42" customFormat="false" ht="12.75" hidden="false" customHeight="false" outlineLevel="0" collapsed="false">
      <c r="A42" s="577" t="s">
        <v>532</v>
      </c>
      <c r="B42" s="577"/>
      <c r="C42" s="578" t="n">
        <f aca="false">ROUND(+B39*B40*B41*B34,2)</f>
        <v>0</v>
      </c>
    </row>
    <row r="43" customFormat="false" ht="12.75" hidden="false" customHeight="false" outlineLevel="0" collapsed="false">
      <c r="A43" s="575" t="s">
        <v>533</v>
      </c>
      <c r="B43" s="575"/>
      <c r="C43" s="579" t="n">
        <f aca="false">+C42</f>
        <v>0</v>
      </c>
    </row>
    <row r="45" customFormat="false" ht="12.75" hidden="false" customHeight="false" outlineLevel="0" collapsed="false">
      <c r="A45" s="602" t="s">
        <v>534</v>
      </c>
      <c r="B45" s="602"/>
      <c r="C45" s="602"/>
    </row>
    <row r="46" customFormat="false" ht="12.75" hidden="false" customHeight="false" outlineLevel="0" collapsed="false">
      <c r="A46" s="522" t="s">
        <v>522</v>
      </c>
      <c r="B46" s="534" t="n">
        <f aca="false">+B7</f>
        <v>0</v>
      </c>
      <c r="C46" s="564"/>
    </row>
    <row r="47" customFormat="false" ht="12.75" hidden="false" customHeight="false" outlineLevel="0" collapsed="false">
      <c r="A47" s="522" t="s">
        <v>535</v>
      </c>
      <c r="B47" s="611" t="n">
        <v>30</v>
      </c>
      <c r="C47" s="564"/>
    </row>
    <row r="48" customFormat="false" ht="12.75" hidden="false" customHeight="false" outlineLevel="0" collapsed="false">
      <c r="A48" s="522" t="s">
        <v>523</v>
      </c>
      <c r="B48" s="522" t="n">
        <v>12</v>
      </c>
      <c r="C48" s="564"/>
    </row>
    <row r="49" customFormat="false" ht="12.75" hidden="false" customHeight="false" outlineLevel="0" collapsed="false">
      <c r="A49" s="522" t="s">
        <v>536</v>
      </c>
      <c r="B49" s="522" t="n">
        <v>7</v>
      </c>
      <c r="C49" s="564"/>
    </row>
    <row r="50" customFormat="false" ht="12.75" hidden="false" customHeight="false" outlineLevel="0" collapsed="false">
      <c r="A50" s="546" t="s">
        <v>537</v>
      </c>
      <c r="B50" s="606"/>
      <c r="C50" s="564"/>
    </row>
    <row r="51" customFormat="false" ht="12.75" hidden="false" customHeight="false" outlineLevel="0" collapsed="false">
      <c r="A51" s="575" t="s">
        <v>538</v>
      </c>
      <c r="B51" s="575"/>
      <c r="C51" s="605" t="n">
        <f aca="false">+ROUND(((B46/B47/B48)*B49)*B50,2)</f>
        <v>0</v>
      </c>
    </row>
    <row r="53" customFormat="false" ht="12.75" hidden="false" customHeight="true" outlineLevel="0" collapsed="false">
      <c r="A53" s="607" t="s">
        <v>539</v>
      </c>
      <c r="B53" s="607"/>
      <c r="C53" s="607"/>
    </row>
    <row r="54" customFormat="false" ht="12.75" hidden="false" customHeight="false" outlineLevel="0" collapsed="false">
      <c r="A54" s="608" t="s">
        <v>540</v>
      </c>
      <c r="B54" s="606" t="n">
        <f aca="false">+B50</f>
        <v>0</v>
      </c>
      <c r="C54" s="564"/>
    </row>
    <row r="55" customFormat="false" ht="12.75" hidden="false" customHeight="false" outlineLevel="0" collapsed="false">
      <c r="A55" s="522" t="s">
        <v>528</v>
      </c>
      <c r="B55" s="534" t="n">
        <f aca="false">+Coletor_de_Residuo_Seg_a_Sex!$D$23</f>
        <v>0</v>
      </c>
      <c r="C55" s="564"/>
    </row>
    <row r="56" customFormat="false" ht="12.75" hidden="false" customHeight="false" outlineLevel="0" collapsed="false">
      <c r="A56" s="522" t="s">
        <v>411</v>
      </c>
      <c r="B56" s="534" t="n">
        <f aca="false">+Coletor_de_Residuo_Seg_a_Sex!$D$29</f>
        <v>0</v>
      </c>
      <c r="C56" s="564"/>
    </row>
    <row r="57" customFormat="false" ht="12.75" hidden="false" customHeight="false" outlineLevel="0" collapsed="false">
      <c r="A57" s="522" t="s">
        <v>413</v>
      </c>
      <c r="B57" s="534" t="n">
        <f aca="false">+Coletor_de_Residuo_Seg_a_Sex!$D$31</f>
        <v>0</v>
      </c>
      <c r="C57" s="564"/>
    </row>
    <row r="58" customFormat="false" ht="12.75" hidden="false" customHeight="false" outlineLevel="0" collapsed="false">
      <c r="A58" s="522" t="s">
        <v>414</v>
      </c>
      <c r="B58" s="534" t="n">
        <f aca="false">+Coletor_de_Residuo_Seg_a_Sex!$D$32</f>
        <v>0</v>
      </c>
      <c r="C58" s="564"/>
    </row>
    <row r="59" customFormat="false" ht="12.75" hidden="false" customHeight="false" outlineLevel="0" collapsed="false">
      <c r="A59" s="609" t="s">
        <v>529</v>
      </c>
      <c r="B59" s="610" t="n">
        <f aca="false">SUM(B55:B58)</f>
        <v>0</v>
      </c>
      <c r="C59" s="564"/>
    </row>
    <row r="60" customFormat="false" ht="12.75" hidden="false" customHeight="false" outlineLevel="0" collapsed="false">
      <c r="A60" s="543" t="s">
        <v>530</v>
      </c>
      <c r="B60" s="533" t="n">
        <v>0.4</v>
      </c>
      <c r="C60" s="564"/>
    </row>
    <row r="61" customFormat="false" ht="12.75" hidden="false" customHeight="false" outlineLevel="0" collapsed="false">
      <c r="A61" s="543" t="s">
        <v>531</v>
      </c>
      <c r="B61" s="533" t="n">
        <f aca="false">+Coletor_de_Residuo_Seg_a_Sex!$C$44</f>
        <v>0.08</v>
      </c>
      <c r="C61" s="564"/>
    </row>
    <row r="62" customFormat="false" ht="12.75" hidden="false" customHeight="false" outlineLevel="0" collapsed="false">
      <c r="A62" s="577" t="s">
        <v>532</v>
      </c>
      <c r="B62" s="577"/>
      <c r="C62" s="578" t="n">
        <f aca="false">ROUND(+B59*B60*B61*B54,2)</f>
        <v>0</v>
      </c>
    </row>
    <row r="63" customFormat="false" ht="12.75" hidden="false" customHeight="false" outlineLevel="0" collapsed="false">
      <c r="A63" s="575" t="s">
        <v>541</v>
      </c>
      <c r="B63" s="575"/>
      <c r="C63" s="579" t="n">
        <f aca="false">+C62</f>
        <v>0</v>
      </c>
    </row>
    <row r="65" customFormat="false" ht="12.75" hidden="false" customHeight="true" outlineLevel="0" collapsed="false">
      <c r="A65" s="607" t="s">
        <v>542</v>
      </c>
      <c r="B65" s="607"/>
      <c r="C65" s="607"/>
    </row>
    <row r="66" customFormat="false" ht="12.75" hidden="false" customHeight="true" outlineLevel="0" collapsed="false">
      <c r="A66" s="612" t="s">
        <v>543</v>
      </c>
      <c r="B66" s="612"/>
      <c r="C66" s="612"/>
    </row>
    <row r="67" customFormat="false" ht="12.75" hidden="false" customHeight="false" outlineLevel="0" collapsed="false">
      <c r="A67" s="612"/>
      <c r="B67" s="612"/>
      <c r="C67" s="612"/>
    </row>
    <row r="68" customFormat="false" ht="12.75" hidden="false" customHeight="false" outlineLevel="0" collapsed="false">
      <c r="A68" s="612"/>
      <c r="B68" s="612"/>
      <c r="C68" s="612"/>
    </row>
    <row r="69" customFormat="false" ht="12.75" hidden="false" customHeight="false" outlineLevel="0" collapsed="false">
      <c r="A69" s="612"/>
      <c r="B69" s="612"/>
      <c r="C69" s="612"/>
    </row>
    <row r="70" customFormat="false" ht="12.75" hidden="false" customHeight="false" outlineLevel="0" collapsed="false">
      <c r="A70" s="613"/>
      <c r="B70" s="613"/>
      <c r="C70" s="613"/>
    </row>
    <row r="71" customFormat="false" ht="12.75" hidden="false" customHeight="true" outlineLevel="0" collapsed="false">
      <c r="A71" s="607" t="s">
        <v>544</v>
      </c>
      <c r="B71" s="607"/>
      <c r="C71" s="607"/>
    </row>
    <row r="72" customFormat="false" ht="12.75" hidden="false" customHeight="false" outlineLevel="0" collapsed="false">
      <c r="A72" s="522" t="s">
        <v>545</v>
      </c>
      <c r="B72" s="534" t="n">
        <f aca="false">+$B$7</f>
        <v>0</v>
      </c>
      <c r="C72" s="564"/>
    </row>
    <row r="73" customFormat="false" ht="12.75" hidden="false" customHeight="false" outlineLevel="0" collapsed="false">
      <c r="A73" s="522" t="s">
        <v>512</v>
      </c>
      <c r="B73" s="522" t="n">
        <v>30</v>
      </c>
      <c r="C73" s="564"/>
    </row>
    <row r="74" customFormat="false" ht="12.75" hidden="false" customHeight="false" outlineLevel="0" collapsed="false">
      <c r="A74" s="522" t="s">
        <v>546</v>
      </c>
      <c r="B74" s="522" t="n">
        <v>12</v>
      </c>
      <c r="C74" s="564"/>
    </row>
    <row r="75" customFormat="false" ht="12.75" hidden="false" customHeight="false" outlineLevel="0" collapsed="false">
      <c r="A75" s="546" t="s">
        <v>547</v>
      </c>
      <c r="B75" s="546"/>
      <c r="C75" s="564"/>
    </row>
    <row r="76" customFormat="false" ht="12.75" hidden="false" customHeight="false" outlineLevel="0" collapsed="false">
      <c r="A76" s="575" t="s">
        <v>548</v>
      </c>
      <c r="B76" s="575"/>
      <c r="C76" s="556" t="n">
        <f aca="false">+ROUND((B72/B73/B74)*B75,2)</f>
        <v>0</v>
      </c>
    </row>
    <row r="78" customFormat="false" ht="12.75" hidden="false" customHeight="true" outlineLevel="0" collapsed="false">
      <c r="A78" s="607" t="s">
        <v>549</v>
      </c>
      <c r="B78" s="607"/>
      <c r="C78" s="607"/>
    </row>
    <row r="79" customFormat="false" ht="12.75" hidden="false" customHeight="false" outlineLevel="0" collapsed="false">
      <c r="A79" s="522" t="s">
        <v>545</v>
      </c>
      <c r="B79" s="534" t="n">
        <f aca="false">+$B$7</f>
        <v>0</v>
      </c>
      <c r="C79" s="564"/>
    </row>
    <row r="80" customFormat="false" ht="12.75" hidden="false" customHeight="false" outlineLevel="0" collapsed="false">
      <c r="A80" s="522" t="s">
        <v>512</v>
      </c>
      <c r="B80" s="522" t="n">
        <v>30</v>
      </c>
      <c r="C80" s="564"/>
    </row>
    <row r="81" customFormat="false" ht="12.75" hidden="false" customHeight="false" outlineLevel="0" collapsed="false">
      <c r="A81" s="522" t="s">
        <v>546</v>
      </c>
      <c r="B81" s="522" t="n">
        <v>12</v>
      </c>
      <c r="C81" s="564"/>
    </row>
    <row r="82" customFormat="false" ht="12.75" hidden="false" customHeight="false" outlineLevel="0" collapsed="false">
      <c r="A82" s="543" t="s">
        <v>550</v>
      </c>
      <c r="B82" s="522" t="n">
        <v>5</v>
      </c>
      <c r="C82" s="564"/>
    </row>
    <row r="83" customFormat="false" ht="12.75" hidden="false" customHeight="false" outlineLevel="0" collapsed="false">
      <c r="A83" s="546" t="s">
        <v>551</v>
      </c>
      <c r="B83" s="606"/>
      <c r="C83" s="564"/>
    </row>
    <row r="84" customFormat="false" ht="12.75" hidden="false" customHeight="false" outlineLevel="0" collapsed="false">
      <c r="A84" s="546" t="s">
        <v>552</v>
      </c>
      <c r="B84" s="606"/>
      <c r="C84" s="564"/>
    </row>
    <row r="85" customFormat="false" ht="12.75" hidden="false" customHeight="false" outlineLevel="0" collapsed="false">
      <c r="A85" s="575" t="s">
        <v>553</v>
      </c>
      <c r="B85" s="575"/>
      <c r="C85" s="605" t="n">
        <f aca="false">ROUND(+B79/B80/B81*B82*B83*B84,2)</f>
        <v>0</v>
      </c>
    </row>
    <row r="87" customFormat="false" ht="12.75" hidden="false" customHeight="true" outlineLevel="0" collapsed="false">
      <c r="A87" s="607" t="s">
        <v>554</v>
      </c>
      <c r="B87" s="607"/>
      <c r="C87" s="607"/>
    </row>
    <row r="88" customFormat="false" ht="12.75" hidden="false" customHeight="false" outlineLevel="0" collapsed="false">
      <c r="A88" s="522" t="s">
        <v>545</v>
      </c>
      <c r="B88" s="534" t="n">
        <f aca="false">+$B$7</f>
        <v>0</v>
      </c>
      <c r="C88" s="564"/>
    </row>
    <row r="89" customFormat="false" ht="12.75" hidden="false" customHeight="false" outlineLevel="0" collapsed="false">
      <c r="A89" s="522" t="s">
        <v>512</v>
      </c>
      <c r="B89" s="522" t="n">
        <v>30</v>
      </c>
      <c r="C89" s="564"/>
    </row>
    <row r="90" customFormat="false" ht="12.75" hidden="false" customHeight="false" outlineLevel="0" collapsed="false">
      <c r="A90" s="522" t="s">
        <v>546</v>
      </c>
      <c r="B90" s="522" t="n">
        <v>12</v>
      </c>
      <c r="C90" s="564"/>
    </row>
    <row r="91" customFormat="false" ht="12.75" hidden="false" customHeight="false" outlineLevel="0" collapsed="false">
      <c r="A91" s="543" t="s">
        <v>555</v>
      </c>
      <c r="B91" s="522" t="n">
        <v>15</v>
      </c>
      <c r="C91" s="564"/>
    </row>
    <row r="92" customFormat="false" ht="12.75" hidden="false" customHeight="false" outlineLevel="0" collapsed="false">
      <c r="A92" s="546" t="s">
        <v>556</v>
      </c>
      <c r="B92" s="606"/>
      <c r="C92" s="564"/>
    </row>
    <row r="93" customFormat="false" ht="12.75" hidden="false" customHeight="false" outlineLevel="0" collapsed="false">
      <c r="A93" s="575" t="s">
        <v>557</v>
      </c>
      <c r="B93" s="575"/>
      <c r="C93" s="605" t="n">
        <f aca="false">ROUND(+B88/B89/B90*B91*B92,2)</f>
        <v>0</v>
      </c>
    </row>
    <row r="95" customFormat="false" ht="12.75" hidden="false" customHeight="true" outlineLevel="0" collapsed="false">
      <c r="A95" s="607" t="s">
        <v>558</v>
      </c>
      <c r="B95" s="607"/>
      <c r="C95" s="607"/>
    </row>
    <row r="96" customFormat="false" ht="12.75" hidden="false" customHeight="false" outlineLevel="0" collapsed="false">
      <c r="A96" s="522" t="s">
        <v>545</v>
      </c>
      <c r="B96" s="534" t="n">
        <f aca="false">+$B$7</f>
        <v>0</v>
      </c>
      <c r="C96" s="564"/>
    </row>
    <row r="97" customFormat="false" ht="12.75" hidden="false" customHeight="false" outlineLevel="0" collapsed="false">
      <c r="A97" s="522" t="s">
        <v>512</v>
      </c>
      <c r="B97" s="522" t="n">
        <v>30</v>
      </c>
      <c r="C97" s="564"/>
    </row>
    <row r="98" customFormat="false" ht="12.75" hidden="false" customHeight="false" outlineLevel="0" collapsed="false">
      <c r="A98" s="522" t="s">
        <v>546</v>
      </c>
      <c r="B98" s="522" t="n">
        <v>12</v>
      </c>
      <c r="C98" s="564"/>
    </row>
    <row r="99" customFormat="false" ht="12.75" hidden="false" customHeight="false" outlineLevel="0" collapsed="false">
      <c r="A99" s="543" t="s">
        <v>555</v>
      </c>
      <c r="B99" s="522" t="n">
        <v>5</v>
      </c>
      <c r="C99" s="564"/>
    </row>
    <row r="100" customFormat="false" ht="12.75" hidden="false" customHeight="false" outlineLevel="0" collapsed="false">
      <c r="A100" s="546" t="s">
        <v>559</v>
      </c>
      <c r="B100" s="606"/>
      <c r="C100" s="564"/>
    </row>
    <row r="101" customFormat="false" ht="12.75" hidden="false" customHeight="false" outlineLevel="0" collapsed="false">
      <c r="A101" s="575" t="s">
        <v>560</v>
      </c>
      <c r="B101" s="575"/>
      <c r="C101" s="605" t="n">
        <f aca="false">ROUND(+B96/B97/B98*B99*B100,2)</f>
        <v>0</v>
      </c>
    </row>
    <row r="102" customFormat="false" ht="12.75" hidden="false" customHeight="false" outlineLevel="0" collapsed="false">
      <c r="A102" s="44" t="s">
        <v>561</v>
      </c>
    </row>
    <row r="103" customFormat="false" ht="12.75" hidden="false" customHeight="true" outlineLevel="0" collapsed="false">
      <c r="A103" s="607" t="s">
        <v>562</v>
      </c>
      <c r="B103" s="607"/>
      <c r="C103" s="607"/>
    </row>
    <row r="104" customFormat="false" ht="12.75" hidden="false" customHeight="true" outlineLevel="0" collapsed="false">
      <c r="A104" s="614" t="s">
        <v>563</v>
      </c>
      <c r="B104" s="614"/>
      <c r="C104" s="614"/>
    </row>
    <row r="105" customFormat="false" ht="12.75" hidden="false" customHeight="false" outlineLevel="0" collapsed="false">
      <c r="A105" s="522" t="s">
        <v>545</v>
      </c>
      <c r="B105" s="534" t="n">
        <f aca="false">+$B$7</f>
        <v>0</v>
      </c>
      <c r="C105" s="564"/>
    </row>
    <row r="106" customFormat="false" ht="12.75" hidden="false" customHeight="false" outlineLevel="0" collapsed="false">
      <c r="A106" s="522" t="s">
        <v>564</v>
      </c>
      <c r="B106" s="534" t="n">
        <f aca="false">+B105*(1/3)</f>
        <v>0</v>
      </c>
      <c r="C106" s="564"/>
    </row>
    <row r="107" customFormat="false" ht="12.75" hidden="false" customHeight="false" outlineLevel="0" collapsed="false">
      <c r="A107" s="609" t="s">
        <v>529</v>
      </c>
      <c r="B107" s="610" t="n">
        <f aca="false">SUM(B105:B106)</f>
        <v>0</v>
      </c>
      <c r="C107" s="564"/>
    </row>
    <row r="108" customFormat="false" ht="12.75" hidden="false" customHeight="false" outlineLevel="0" collapsed="false">
      <c r="A108" s="522" t="s">
        <v>565</v>
      </c>
      <c r="B108" s="522" t="n">
        <v>4</v>
      </c>
      <c r="C108" s="564"/>
    </row>
    <row r="109" customFormat="false" ht="12.75" hidden="false" customHeight="false" outlineLevel="0" collapsed="false">
      <c r="A109" s="522" t="s">
        <v>546</v>
      </c>
      <c r="B109" s="522" t="n">
        <v>12</v>
      </c>
      <c r="C109" s="564"/>
    </row>
    <row r="110" customFormat="false" ht="12.75" hidden="false" customHeight="false" outlineLevel="0" collapsed="false">
      <c r="A110" s="546" t="s">
        <v>566</v>
      </c>
      <c r="B110" s="606"/>
      <c r="C110" s="564"/>
    </row>
    <row r="111" customFormat="false" ht="12.75" hidden="false" customHeight="false" outlineLevel="0" collapsed="false">
      <c r="A111" s="546" t="s">
        <v>567</v>
      </c>
      <c r="B111" s="606"/>
      <c r="C111" s="564"/>
    </row>
    <row r="112" customFormat="false" ht="12.75" hidden="false" customHeight="false" outlineLevel="0" collapsed="false">
      <c r="A112" s="575" t="s">
        <v>568</v>
      </c>
      <c r="B112" s="575"/>
      <c r="C112" s="605" t="n">
        <f aca="false">ROUND((((+B107*(B108/B109)/B109)*B110)*B111),2)</f>
        <v>0</v>
      </c>
    </row>
    <row r="113" customFormat="false" ht="12.75" hidden="false" customHeight="false" outlineLevel="0" collapsed="false">
      <c r="A113" s="575" t="s">
        <v>569</v>
      </c>
      <c r="B113" s="575"/>
      <c r="C113" s="575"/>
    </row>
    <row r="114" customFormat="false" ht="12.75" hidden="false" customHeight="false" outlineLevel="0" collapsed="false">
      <c r="A114" s="522" t="s">
        <v>545</v>
      </c>
      <c r="B114" s="534" t="n">
        <f aca="false">+Coletor_de_Residuo_Seg_a_Sex!D23</f>
        <v>0</v>
      </c>
      <c r="C114" s="564"/>
    </row>
    <row r="115" customFormat="false" ht="12.75" hidden="false" customHeight="false" outlineLevel="0" collapsed="false">
      <c r="A115" s="522" t="s">
        <v>411</v>
      </c>
      <c r="B115" s="534" t="n">
        <f aca="false">+Coletor_de_Residuo_Seg_a_Sex!D29</f>
        <v>0</v>
      </c>
      <c r="C115" s="564"/>
    </row>
    <row r="116" customFormat="false" ht="12.75" hidden="false" customHeight="false" outlineLevel="0" collapsed="false">
      <c r="A116" s="609" t="s">
        <v>529</v>
      </c>
      <c r="B116" s="610" t="n">
        <f aca="false">SUM(B114:B115)</f>
        <v>0</v>
      </c>
      <c r="C116" s="564"/>
    </row>
    <row r="117" customFormat="false" ht="12.75" hidden="false" customHeight="false" outlineLevel="0" collapsed="false">
      <c r="A117" s="522" t="s">
        <v>565</v>
      </c>
      <c r="B117" s="522" t="n">
        <v>4</v>
      </c>
      <c r="C117" s="564"/>
    </row>
    <row r="118" customFormat="false" ht="12.75" hidden="false" customHeight="false" outlineLevel="0" collapsed="false">
      <c r="A118" s="522" t="s">
        <v>546</v>
      </c>
      <c r="B118" s="522" t="n">
        <v>12</v>
      </c>
      <c r="C118" s="564"/>
    </row>
    <row r="119" customFormat="false" ht="12.75" hidden="false" customHeight="false" outlineLevel="0" collapsed="false">
      <c r="A119" s="546" t="s">
        <v>566</v>
      </c>
      <c r="B119" s="606" t="n">
        <f aca="false">+B110</f>
        <v>0</v>
      </c>
      <c r="C119" s="564"/>
    </row>
    <row r="120" customFormat="false" ht="12.75" hidden="false" customHeight="false" outlineLevel="0" collapsed="false">
      <c r="A120" s="546" t="s">
        <v>567</v>
      </c>
      <c r="B120" s="606" t="n">
        <f aca="false">+B111</f>
        <v>0</v>
      </c>
      <c r="C120" s="564"/>
    </row>
    <row r="121" customFormat="false" ht="12.75" hidden="false" customHeight="false" outlineLevel="0" collapsed="false">
      <c r="A121" s="543" t="s">
        <v>570</v>
      </c>
      <c r="B121" s="533" t="n">
        <f aca="false">+Coletor_de_Residuo_Seg_a_Sex!C45</f>
        <v>0.368</v>
      </c>
      <c r="C121" s="564"/>
    </row>
    <row r="122" customFormat="false" ht="12.75" hidden="false" customHeight="false" outlineLevel="0" collapsed="false">
      <c r="A122" s="575" t="s">
        <v>571</v>
      </c>
      <c r="B122" s="575"/>
      <c r="C122" s="579" t="n">
        <f aca="false">ROUND((((B116*(B117/B118)*B119)*B120)*B121),2)</f>
        <v>0</v>
      </c>
    </row>
    <row r="124" customFormat="false" ht="30.75" hidden="false" customHeight="true" outlineLevel="0" collapsed="false">
      <c r="A124" s="615" t="s">
        <v>572</v>
      </c>
      <c r="B124" s="615"/>
      <c r="C124" s="615"/>
    </row>
  </sheetData>
  <mergeCells count="31">
    <mergeCell ref="A1:C1"/>
    <mergeCell ref="A9:C9"/>
    <mergeCell ref="A16:B16"/>
    <mergeCell ref="A18:C18"/>
    <mergeCell ref="A25:B25"/>
    <mergeCell ref="A27:C27"/>
    <mergeCell ref="A31:B31"/>
    <mergeCell ref="A33:C33"/>
    <mergeCell ref="A42:B42"/>
    <mergeCell ref="A43:B43"/>
    <mergeCell ref="A45:C45"/>
    <mergeCell ref="A51:B51"/>
    <mergeCell ref="A53:C53"/>
    <mergeCell ref="A62:B62"/>
    <mergeCell ref="A63:B63"/>
    <mergeCell ref="A65:C65"/>
    <mergeCell ref="A66:C69"/>
    <mergeCell ref="A71:C71"/>
    <mergeCell ref="A76:B76"/>
    <mergeCell ref="A78:C78"/>
    <mergeCell ref="A85:B85"/>
    <mergeCell ref="A87:C87"/>
    <mergeCell ref="A93:B93"/>
    <mergeCell ref="A95:C95"/>
    <mergeCell ref="A101:B101"/>
    <mergeCell ref="A103:C103"/>
    <mergeCell ref="A104:C104"/>
    <mergeCell ref="A112:B112"/>
    <mergeCell ref="A113:C113"/>
    <mergeCell ref="A122:B122"/>
    <mergeCell ref="A124:C124"/>
  </mergeCells>
  <printOptions headings="false" gridLines="false" gridLinesSet="true" horizontalCentered="false" verticalCentered="false"/>
  <pageMargins left="1.34027777777778" right="0.511805555555555" top="0.315277777777778" bottom="0.454166666666667" header="0.315277777777778" footer="0.315277777777778"/>
  <pageSetup paperSize="9" scale="7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G155"/>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08"/>
    <col collapsed="false" customWidth="true" hidden="false" outlineLevel="0" max="2" min="2" style="44" width="54.54"/>
    <col collapsed="false" customWidth="true" hidden="false" outlineLevel="0" max="3" min="3" style="44" width="10.12"/>
    <col collapsed="false" customWidth="true" hidden="false" outlineLevel="0" max="4" min="4" style="44" width="16.87"/>
    <col collapsed="false" customWidth="true" hidden="false" outlineLevel="0" max="5" min="5" style="44" width="12.69"/>
    <col collapsed="false" customWidth="true" hidden="false" outlineLevel="0" max="1025" min="6" style="44" width="8.64"/>
  </cols>
  <sheetData>
    <row r="1" customFormat="false" ht="12.75" hidden="false" customHeight="false" outlineLevel="0" collapsed="false">
      <c r="A1" s="492" t="s">
        <v>374</v>
      </c>
      <c r="B1" s="492"/>
      <c r="C1" s="492"/>
      <c r="D1" s="492"/>
      <c r="E1" s="493"/>
      <c r="F1" s="493"/>
    </row>
    <row r="3" customFormat="false" ht="12.75" hidden="false" customHeight="false" outlineLevel="0" collapsed="false">
      <c r="A3" s="494" t="s">
        <v>375</v>
      </c>
      <c r="B3" s="494"/>
      <c r="C3" s="494"/>
      <c r="D3" s="494"/>
    </row>
    <row r="4" s="498" customFormat="true" ht="28.5" hidden="false" customHeight="true" outlineLevel="0" collapsed="false">
      <c r="A4" s="616" t="n">
        <v>1</v>
      </c>
      <c r="B4" s="617" t="s">
        <v>376</v>
      </c>
      <c r="C4" s="618" t="s">
        <v>573</v>
      </c>
      <c r="D4" s="618"/>
    </row>
    <row r="5" s="498" customFormat="true" ht="12.75" hidden="false" customHeight="false" outlineLevel="0" collapsed="false">
      <c r="A5" s="616" t="n">
        <v>2</v>
      </c>
      <c r="B5" s="617" t="s">
        <v>378</v>
      </c>
      <c r="C5" s="619" t="s">
        <v>574</v>
      </c>
      <c r="D5" s="619"/>
    </row>
    <row r="6" s="498" customFormat="true" ht="12.75" hidden="false" customHeight="false" outlineLevel="0" collapsed="false">
      <c r="A6" s="616" t="n">
        <v>3</v>
      </c>
      <c r="B6" s="617" t="s">
        <v>380</v>
      </c>
      <c r="C6" s="620" t="n">
        <f aca="false">+APRESENTACAO!G21</f>
        <v>0</v>
      </c>
      <c r="D6" s="620"/>
    </row>
    <row r="7" s="498" customFormat="true" ht="42.75" hidden="false" customHeight="true" outlineLevel="0" collapsed="false">
      <c r="A7" s="616" t="n">
        <v>4</v>
      </c>
      <c r="B7" s="617" t="s">
        <v>381</v>
      </c>
      <c r="C7" s="621" t="s">
        <v>382</v>
      </c>
      <c r="D7" s="621"/>
    </row>
    <row r="8" s="498" customFormat="true" ht="12.75" hidden="false" customHeight="false" outlineLevel="0" collapsed="false">
      <c r="A8" s="616" t="n">
        <v>5</v>
      </c>
      <c r="B8" s="617" t="s">
        <v>383</v>
      </c>
      <c r="C8" s="622" t="n">
        <v>43524</v>
      </c>
      <c r="D8" s="622"/>
    </row>
    <row r="9" customFormat="false" ht="12.75" hidden="false" customHeight="false" outlineLevel="0" collapsed="false">
      <c r="D9" s="623"/>
    </row>
    <row r="10" customFormat="false" ht="12.75" hidden="false" customHeight="false" outlineLevel="0" collapsed="false">
      <c r="A10" s="505" t="s">
        <v>384</v>
      </c>
      <c r="B10" s="505"/>
      <c r="C10" s="505"/>
      <c r="D10" s="505"/>
    </row>
    <row r="11" customFormat="false" ht="12.75" hidden="false" customHeight="false" outlineLevel="0" collapsed="false">
      <c r="A11" s="506" t="n">
        <v>1</v>
      </c>
      <c r="B11" s="507" t="s">
        <v>385</v>
      </c>
      <c r="C11" s="492" t="s">
        <v>386</v>
      </c>
      <c r="D11" s="508" t="s">
        <v>387</v>
      </c>
    </row>
    <row r="12" customFormat="false" ht="12.75" hidden="false" customHeight="false" outlineLevel="0" collapsed="false">
      <c r="A12" s="509" t="s">
        <v>15</v>
      </c>
      <c r="B12" s="509" t="s">
        <v>388</v>
      </c>
      <c r="C12" s="509"/>
      <c r="D12" s="510" t="n">
        <f aca="false">+C6</f>
        <v>0</v>
      </c>
    </row>
    <row r="13" customFormat="false" ht="12.75" hidden="false" customHeight="false" outlineLevel="0" collapsed="false">
      <c r="A13" s="509" t="s">
        <v>17</v>
      </c>
      <c r="B13" s="511" t="s">
        <v>389</v>
      </c>
      <c r="C13" s="512"/>
      <c r="D13" s="510"/>
      <c r="E13" s="513"/>
    </row>
    <row r="14" customFormat="false" ht="12.75" hidden="false" customHeight="false" outlineLevel="0" collapsed="false">
      <c r="A14" s="509" t="s">
        <v>20</v>
      </c>
      <c r="B14" s="511" t="s">
        <v>390</v>
      </c>
      <c r="C14" s="512"/>
      <c r="D14" s="510" t="n">
        <f aca="false">+C14*D12</f>
        <v>0</v>
      </c>
    </row>
    <row r="15" customFormat="false" ht="12.75" hidden="false" customHeight="false" outlineLevel="0" collapsed="false">
      <c r="A15" s="509" t="s">
        <v>22</v>
      </c>
      <c r="B15" s="509" t="s">
        <v>391</v>
      </c>
      <c r="C15" s="509"/>
      <c r="D15" s="510"/>
    </row>
    <row r="16" customFormat="false" ht="12.75" hidden="false" customHeight="false" outlineLevel="0" collapsed="false">
      <c r="A16" s="509" t="s">
        <v>392</v>
      </c>
      <c r="B16" s="509" t="s">
        <v>393</v>
      </c>
      <c r="C16" s="509"/>
      <c r="D16" s="510"/>
    </row>
    <row r="17" customFormat="false" ht="12.75" hidden="false" customHeight="false" outlineLevel="0" collapsed="false">
      <c r="A17" s="509" t="s">
        <v>394</v>
      </c>
      <c r="B17" s="509" t="s">
        <v>395</v>
      </c>
      <c r="C17" s="509"/>
      <c r="D17" s="510"/>
    </row>
    <row r="18" customFormat="false" ht="12.75" hidden="false" customHeight="false" outlineLevel="0" collapsed="false">
      <c r="A18" s="509" t="s">
        <v>396</v>
      </c>
      <c r="B18" s="509" t="s">
        <v>397</v>
      </c>
      <c r="C18" s="509"/>
      <c r="D18" s="510"/>
    </row>
    <row r="19" customFormat="false" ht="12.75" hidden="false" customHeight="false" outlineLevel="0" collapsed="false">
      <c r="A19" s="509" t="s">
        <v>398</v>
      </c>
      <c r="B19" s="509" t="s">
        <v>399</v>
      </c>
      <c r="C19" s="509"/>
      <c r="D19" s="514"/>
    </row>
    <row r="20" customFormat="false" ht="12.75" hidden="false" customHeight="false" outlineLevel="0" collapsed="false">
      <c r="A20" s="509" t="s">
        <v>400</v>
      </c>
      <c r="B20" s="511" t="s">
        <v>401</v>
      </c>
      <c r="C20" s="512"/>
      <c r="D20" s="510"/>
    </row>
    <row r="21" customFormat="false" ht="12.75" hidden="false" customHeight="false" outlineLevel="0" collapsed="false">
      <c r="A21" s="509" t="s">
        <v>402</v>
      </c>
      <c r="B21" s="509" t="s">
        <v>403</v>
      </c>
      <c r="C21" s="509"/>
      <c r="D21" s="515"/>
      <c r="F21" s="516"/>
    </row>
    <row r="22" customFormat="false" ht="12.75" hidden="false" customHeight="false" outlineLevel="0" collapsed="false">
      <c r="A22" s="509" t="s">
        <v>404</v>
      </c>
      <c r="B22" s="509" t="s">
        <v>405</v>
      </c>
      <c r="C22" s="509"/>
      <c r="D22" s="515"/>
    </row>
    <row r="23" customFormat="false" ht="12.75" hidden="false" customHeight="false" outlineLevel="0" collapsed="false">
      <c r="A23" s="494" t="s">
        <v>406</v>
      </c>
      <c r="B23" s="494"/>
      <c r="C23" s="494"/>
      <c r="D23" s="517" t="n">
        <f aca="false">SUM(D12:D22)</f>
        <v>0</v>
      </c>
    </row>
    <row r="25" customFormat="false" ht="12.75" hidden="false" customHeight="false" outlineLevel="0" collapsed="false">
      <c r="A25" s="505" t="s">
        <v>407</v>
      </c>
      <c r="B25" s="505"/>
      <c r="C25" s="505"/>
      <c r="D25" s="505"/>
    </row>
    <row r="27" customFormat="false" ht="12.75" hidden="false" customHeight="false" outlineLevel="0" collapsed="false">
      <c r="A27" s="505" t="s">
        <v>408</v>
      </c>
      <c r="B27" s="505"/>
      <c r="C27" s="505"/>
      <c r="D27" s="505"/>
    </row>
    <row r="28" customFormat="false" ht="12.75" hidden="false" customHeight="false" outlineLevel="0" collapsed="false">
      <c r="A28" s="518" t="s">
        <v>409</v>
      </c>
      <c r="B28" s="519" t="s">
        <v>410</v>
      </c>
      <c r="C28" s="520" t="s">
        <v>386</v>
      </c>
      <c r="D28" s="521" t="s">
        <v>387</v>
      </c>
    </row>
    <row r="29" customFormat="false" ht="12.75" hidden="false" customHeight="false" outlineLevel="0" collapsed="false">
      <c r="A29" s="509" t="s">
        <v>15</v>
      </c>
      <c r="B29" s="522" t="s">
        <v>411</v>
      </c>
      <c r="C29" s="523" t="e">
        <f aca="false">ROUND(+D29/$D$23,4)</f>
        <v>#DIV/0!</v>
      </c>
      <c r="D29" s="515" t="n">
        <f aca="false">ROUND(+D23/12,2)</f>
        <v>0</v>
      </c>
    </row>
    <row r="30" customFormat="false" ht="12.75" hidden="false" customHeight="false" outlineLevel="0" collapsed="false">
      <c r="A30" s="524" t="s">
        <v>17</v>
      </c>
      <c r="B30" s="525" t="s">
        <v>412</v>
      </c>
      <c r="C30" s="526" t="e">
        <f aca="false">ROUND(+D30/$D$23,4)</f>
        <v>#DIV/0!</v>
      </c>
      <c r="D30" s="527" t="n">
        <f aca="false">+D31+D32</f>
        <v>0</v>
      </c>
    </row>
    <row r="31" customFormat="false" ht="12.75" hidden="false" customHeight="false" outlineLevel="0" collapsed="false">
      <c r="A31" s="509" t="s">
        <v>77</v>
      </c>
      <c r="B31" s="528" t="s">
        <v>413</v>
      </c>
      <c r="C31" s="529" t="e">
        <f aca="false">ROUND(+D31/$D$23,4)</f>
        <v>#DIV/0!</v>
      </c>
      <c r="D31" s="530" t="n">
        <f aca="false">ROUND(+D23/12,2)</f>
        <v>0</v>
      </c>
    </row>
    <row r="32" customFormat="false" ht="12.75" hidden="false" customHeight="false" outlineLevel="0" collapsed="false">
      <c r="A32" s="509" t="s">
        <v>91</v>
      </c>
      <c r="B32" s="528" t="s">
        <v>414</v>
      </c>
      <c r="C32" s="529" t="e">
        <f aca="false">ROUND(+D32/$D$23,4)</f>
        <v>#DIV/0!</v>
      </c>
      <c r="D32" s="530" t="n">
        <f aca="false">ROUND(+(D23*1/3)/12,2)</f>
        <v>0</v>
      </c>
    </row>
    <row r="33" customFormat="false" ht="12.75" hidden="false" customHeight="false" outlineLevel="0" collapsed="false">
      <c r="A33" s="494" t="s">
        <v>406</v>
      </c>
      <c r="B33" s="494"/>
      <c r="C33" s="494"/>
      <c r="D33" s="517" t="n">
        <f aca="false">+D30+D29</f>
        <v>0</v>
      </c>
    </row>
    <row r="35" customFormat="false" ht="23.25" hidden="false" customHeight="true" outlineLevel="0" collapsed="false">
      <c r="A35" s="531" t="s">
        <v>415</v>
      </c>
      <c r="B35" s="531"/>
      <c r="C35" s="531"/>
      <c r="D35" s="531"/>
    </row>
    <row r="36" customFormat="false" ht="12.75" hidden="false" customHeight="false" outlineLevel="0" collapsed="false">
      <c r="A36" s="518" t="s">
        <v>416</v>
      </c>
      <c r="B36" s="532" t="s">
        <v>417</v>
      </c>
      <c r="C36" s="520" t="s">
        <v>386</v>
      </c>
      <c r="D36" s="521" t="s">
        <v>387</v>
      </c>
    </row>
    <row r="37" customFormat="false" ht="12.75" hidden="false" customHeight="false" outlineLevel="0" collapsed="false">
      <c r="A37" s="509" t="s">
        <v>15</v>
      </c>
      <c r="B37" s="522" t="s">
        <v>418</v>
      </c>
      <c r="C37" s="533" t="n">
        <v>0.2</v>
      </c>
      <c r="D37" s="534" t="n">
        <f aca="false">ROUND(C37*($D$23+$D$33),2)</f>
        <v>0</v>
      </c>
    </row>
    <row r="38" customFormat="false" ht="12.75" hidden="false" customHeight="false" outlineLevel="0" collapsed="false">
      <c r="A38" s="509" t="s">
        <v>17</v>
      </c>
      <c r="B38" s="522" t="s">
        <v>419</v>
      </c>
      <c r="C38" s="533" t="n">
        <v>0.025</v>
      </c>
      <c r="D38" s="534" t="n">
        <f aca="false">ROUND(C38*($D$23+$D$33),2)</f>
        <v>0</v>
      </c>
    </row>
    <row r="39" customFormat="false" ht="12.75" hidden="false" customHeight="false" outlineLevel="0" collapsed="false">
      <c r="A39" s="509" t="s">
        <v>20</v>
      </c>
      <c r="B39" s="522" t="s">
        <v>420</v>
      </c>
      <c r="C39" s="533" t="n">
        <f aca="false">3%</f>
        <v>0.03</v>
      </c>
      <c r="D39" s="534" t="n">
        <f aca="false">ROUND(C39*($D$23+$D$33),2)</f>
        <v>0</v>
      </c>
    </row>
    <row r="40" customFormat="false" ht="12.75" hidden="false" customHeight="false" outlineLevel="0" collapsed="false">
      <c r="A40" s="509" t="s">
        <v>22</v>
      </c>
      <c r="B40" s="522" t="s">
        <v>421</v>
      </c>
      <c r="C40" s="533" t="n">
        <v>0.015</v>
      </c>
      <c r="D40" s="534" t="n">
        <f aca="false">ROUND(C40*($D$23+$D$33),2)</f>
        <v>0</v>
      </c>
    </row>
    <row r="41" customFormat="false" ht="12.75" hidden="false" customHeight="false" outlineLevel="0" collapsed="false">
      <c r="A41" s="509" t="s">
        <v>392</v>
      </c>
      <c r="B41" s="522" t="s">
        <v>422</v>
      </c>
      <c r="C41" s="533" t="n">
        <v>0.01</v>
      </c>
      <c r="D41" s="534" t="n">
        <f aca="false">ROUND(C41*($D$23+$D$33),2)</f>
        <v>0</v>
      </c>
    </row>
    <row r="42" customFormat="false" ht="12.75" hidden="false" customHeight="false" outlineLevel="0" collapsed="false">
      <c r="A42" s="509" t="s">
        <v>394</v>
      </c>
      <c r="B42" s="522" t="s">
        <v>423</v>
      </c>
      <c r="C42" s="533" t="n">
        <v>0.006</v>
      </c>
      <c r="D42" s="534" t="n">
        <f aca="false">ROUND(C42*($D$23+$D$33),2)</f>
        <v>0</v>
      </c>
    </row>
    <row r="43" customFormat="false" ht="12.75" hidden="false" customHeight="false" outlineLevel="0" collapsed="false">
      <c r="A43" s="509" t="s">
        <v>396</v>
      </c>
      <c r="B43" s="522" t="s">
        <v>424</v>
      </c>
      <c r="C43" s="533" t="n">
        <v>0.002</v>
      </c>
      <c r="D43" s="534" t="n">
        <f aca="false">ROUND(C43*($D$23+$D$33),2)</f>
        <v>0</v>
      </c>
    </row>
    <row r="44" customFormat="false" ht="12.75" hidden="false" customHeight="false" outlineLevel="0" collapsed="false">
      <c r="A44" s="509" t="s">
        <v>398</v>
      </c>
      <c r="B44" s="522" t="s">
        <v>425</v>
      </c>
      <c r="C44" s="533" t="n">
        <v>0.08</v>
      </c>
      <c r="D44" s="534" t="n">
        <f aca="false">ROUND(C44*($D$23+$D$33),2)</f>
        <v>0</v>
      </c>
    </row>
    <row r="45" customFormat="false" ht="12.75" hidden="false" customHeight="false" outlineLevel="0" collapsed="false">
      <c r="A45" s="535" t="s">
        <v>406</v>
      </c>
      <c r="B45" s="536"/>
      <c r="C45" s="537" t="n">
        <f aca="false">SUM(C37:C44)</f>
        <v>0.368</v>
      </c>
      <c r="D45" s="538" t="n">
        <f aca="false">SUM(D37:D44)</f>
        <v>0</v>
      </c>
    </row>
    <row r="46" customFormat="false" ht="12.75" hidden="false" customHeight="false" outlineLevel="0" collapsed="false">
      <c r="A46" s="539"/>
      <c r="B46" s="539"/>
      <c r="C46" s="539"/>
      <c r="D46" s="539"/>
    </row>
    <row r="47" customFormat="false" ht="12.75" hidden="false" customHeight="true" outlineLevel="0" collapsed="false">
      <c r="A47" s="531" t="s">
        <v>426</v>
      </c>
      <c r="B47" s="531"/>
      <c r="C47" s="531"/>
      <c r="D47" s="531"/>
    </row>
    <row r="48" customFormat="false" ht="12.75" hidden="false" customHeight="false" outlineLevel="0" collapsed="false">
      <c r="A48" s="518" t="s">
        <v>427</v>
      </c>
      <c r="B48" s="532" t="s">
        <v>428</v>
      </c>
      <c r="C48" s="520"/>
      <c r="D48" s="521" t="s">
        <v>387</v>
      </c>
    </row>
    <row r="49" customFormat="false" ht="12.75" hidden="false" customHeight="false" outlineLevel="0" collapsed="false">
      <c r="A49" s="540" t="s">
        <v>15</v>
      </c>
      <c r="B49" s="522" t="s">
        <v>429</v>
      </c>
      <c r="C49" s="541"/>
      <c r="D49" s="534" t="n">
        <f aca="false">+Mem_Cal_Serv_44_seg_a_sex!C16</f>
        <v>0</v>
      </c>
    </row>
    <row r="50" s="46" customFormat="true" ht="12.75" hidden="false" customHeight="false" outlineLevel="0" collapsed="false">
      <c r="A50" s="542" t="s">
        <v>52</v>
      </c>
      <c r="B50" s="543" t="s">
        <v>336</v>
      </c>
      <c r="C50" s="523" t="n">
        <f aca="false">+$C$131+$C$132</f>
        <v>0.0925</v>
      </c>
      <c r="D50" s="544" t="n">
        <f aca="false">+(C50*D49)*-1</f>
        <v>0</v>
      </c>
    </row>
    <row r="51" customFormat="false" ht="12.75" hidden="false" customHeight="false" outlineLevel="0" collapsed="false">
      <c r="A51" s="540" t="s">
        <v>17</v>
      </c>
      <c r="B51" s="522" t="s">
        <v>430</v>
      </c>
      <c r="C51" s="541"/>
      <c r="D51" s="534" t="n">
        <f aca="false">+Mem_Cal_Serv_44_seg_a_sex!C25</f>
        <v>0</v>
      </c>
    </row>
    <row r="52" s="46" customFormat="true" ht="12.75" hidden="false" customHeight="false" outlineLevel="0" collapsed="false">
      <c r="A52" s="542" t="s">
        <v>77</v>
      </c>
      <c r="B52" s="543" t="s">
        <v>336</v>
      </c>
      <c r="C52" s="523" t="n">
        <f aca="false">+$C$131+$C$132</f>
        <v>0.0925</v>
      </c>
      <c r="D52" s="544" t="n">
        <f aca="false">+(C52*D51)*-1</f>
        <v>0</v>
      </c>
      <c r="F52" s="545"/>
    </row>
    <row r="53" customFormat="false" ht="12.75" hidden="false" customHeight="false" outlineLevel="0" collapsed="false">
      <c r="A53" s="546" t="s">
        <v>20</v>
      </c>
      <c r="B53" s="546" t="s">
        <v>431</v>
      </c>
      <c r="C53" s="541"/>
      <c r="D53" s="547"/>
    </row>
    <row r="54" customFormat="false" ht="12.75" hidden="false" customHeight="false" outlineLevel="0" collapsed="false">
      <c r="A54" s="546" t="s">
        <v>22</v>
      </c>
      <c r="B54" s="548" t="s">
        <v>432</v>
      </c>
      <c r="C54" s="541"/>
      <c r="D54" s="547"/>
    </row>
    <row r="55" customFormat="false" ht="25.5" hidden="false" customHeight="false" outlineLevel="0" collapsed="false">
      <c r="A55" s="546" t="s">
        <v>392</v>
      </c>
      <c r="B55" s="549" t="s">
        <v>433</v>
      </c>
      <c r="C55" s="541"/>
      <c r="D55" s="550"/>
      <c r="F55" s="551"/>
    </row>
    <row r="56" customFormat="false" ht="12.75" hidden="false" customHeight="false" outlineLevel="0" collapsed="false">
      <c r="A56" s="546" t="s">
        <v>394</v>
      </c>
      <c r="B56" s="552" t="s">
        <v>434</v>
      </c>
      <c r="C56" s="541"/>
      <c r="D56" s="553"/>
    </row>
    <row r="57" customFormat="false" ht="12.75" hidden="false" customHeight="false" outlineLevel="0" collapsed="false">
      <c r="A57" s="494" t="s">
        <v>406</v>
      </c>
      <c r="B57" s="494"/>
      <c r="C57" s="554"/>
      <c r="D57" s="555" t="n">
        <f aca="false">SUM(D49:D56)</f>
        <v>0</v>
      </c>
    </row>
    <row r="59" customFormat="false" ht="12.75" hidden="false" customHeight="false" outlineLevel="0" collapsed="false">
      <c r="A59" s="505" t="s">
        <v>435</v>
      </c>
      <c r="B59" s="505"/>
      <c r="C59" s="505"/>
      <c r="D59" s="505"/>
    </row>
    <row r="60" customFormat="false" ht="12.75" hidden="false" customHeight="false" outlineLevel="0" collapsed="false">
      <c r="A60" s="556" t="n">
        <v>2</v>
      </c>
      <c r="B60" s="557" t="s">
        <v>436</v>
      </c>
      <c r="C60" s="557"/>
      <c r="D60" s="558" t="s">
        <v>387</v>
      </c>
    </row>
    <row r="61" customFormat="false" ht="12.75" hidden="false" customHeight="false" outlineLevel="0" collapsed="false">
      <c r="A61" s="543" t="s">
        <v>409</v>
      </c>
      <c r="B61" s="559" t="s">
        <v>410</v>
      </c>
      <c r="C61" s="559"/>
      <c r="D61" s="534" t="n">
        <f aca="false">+D33</f>
        <v>0</v>
      </c>
    </row>
    <row r="62" customFormat="false" ht="12.75" hidden="false" customHeight="false" outlineLevel="0" collapsed="false">
      <c r="A62" s="543" t="s">
        <v>416</v>
      </c>
      <c r="B62" s="559" t="s">
        <v>417</v>
      </c>
      <c r="C62" s="559"/>
      <c r="D62" s="534" t="n">
        <f aca="false">+D45</f>
        <v>0</v>
      </c>
    </row>
    <row r="63" customFormat="false" ht="12.75" hidden="false" customHeight="false" outlineLevel="0" collapsed="false">
      <c r="A63" s="543" t="s">
        <v>427</v>
      </c>
      <c r="B63" s="559" t="s">
        <v>428</v>
      </c>
      <c r="C63" s="559"/>
      <c r="D63" s="560" t="n">
        <f aca="false">+D57</f>
        <v>0</v>
      </c>
    </row>
    <row r="64" customFormat="false" ht="12.75" hidden="false" customHeight="false" outlineLevel="0" collapsed="false">
      <c r="A64" s="557" t="s">
        <v>406</v>
      </c>
      <c r="B64" s="557"/>
      <c r="C64" s="557"/>
      <c r="D64" s="561" t="n">
        <f aca="false">SUM(D61:D63)</f>
        <v>0</v>
      </c>
    </row>
    <row r="66" customFormat="false" ht="12.75" hidden="false" customHeight="false" outlineLevel="0" collapsed="false">
      <c r="A66" s="505" t="s">
        <v>437</v>
      </c>
      <c r="B66" s="505"/>
      <c r="C66" s="505"/>
      <c r="D66" s="505"/>
    </row>
    <row r="68" customFormat="false" ht="12.75" hidden="false" customHeight="false" outlineLevel="0" collapsed="false">
      <c r="A68" s="562" t="n">
        <v>3</v>
      </c>
      <c r="B68" s="519" t="s">
        <v>438</v>
      </c>
      <c r="C68" s="492" t="s">
        <v>386</v>
      </c>
      <c r="D68" s="492" t="s">
        <v>387</v>
      </c>
    </row>
    <row r="69" customFormat="false" ht="12.75" hidden="false" customHeight="false" outlineLevel="0" collapsed="false">
      <c r="A69" s="509" t="s">
        <v>15</v>
      </c>
      <c r="B69" s="543" t="s">
        <v>439</v>
      </c>
      <c r="C69" s="523" t="e">
        <f aca="false">+D69/$D$23</f>
        <v>#DIV/0!</v>
      </c>
      <c r="D69" s="563" t="n">
        <f aca="false">+Mem_Cal_Serv_44_seg_a_sex!C31</f>
        <v>0</v>
      </c>
    </row>
    <row r="70" customFormat="false" ht="12.75" hidden="false" customHeight="false" outlineLevel="0" collapsed="false">
      <c r="A70" s="509" t="s">
        <v>17</v>
      </c>
      <c r="B70" s="522" t="s">
        <v>440</v>
      </c>
      <c r="C70" s="564"/>
      <c r="D70" s="515" t="n">
        <f aca="false">ROUND(+D69*$C$44,2)</f>
        <v>0</v>
      </c>
    </row>
    <row r="71" customFormat="false" ht="25.5" hidden="false" customHeight="false" outlineLevel="0" collapsed="false">
      <c r="A71" s="509" t="s">
        <v>20</v>
      </c>
      <c r="B71" s="565" t="s">
        <v>441</v>
      </c>
      <c r="C71" s="533" t="e">
        <f aca="false">+D71/$D$23</f>
        <v>#DIV/0!</v>
      </c>
      <c r="D71" s="515" t="n">
        <f aca="false">+Mem_Cal_Serv_44_seg_a_sex!C43</f>
        <v>0</v>
      </c>
    </row>
    <row r="72" customFormat="false" ht="12.75" hidden="false" customHeight="false" outlineLevel="0" collapsed="false">
      <c r="A72" s="559" t="s">
        <v>22</v>
      </c>
      <c r="B72" s="522" t="s">
        <v>442</v>
      </c>
      <c r="C72" s="533" t="e">
        <f aca="false">+D72/$D$23</f>
        <v>#DIV/0!</v>
      </c>
      <c r="D72" s="515" t="n">
        <f aca="false">+Mem_Cal_Serv_44_seg_a_sex!C51</f>
        <v>0</v>
      </c>
    </row>
    <row r="73" customFormat="false" ht="25.5" hidden="false" customHeight="false" outlineLevel="0" collapsed="false">
      <c r="A73" s="559" t="s">
        <v>392</v>
      </c>
      <c r="B73" s="565" t="s">
        <v>443</v>
      </c>
      <c r="C73" s="564"/>
      <c r="D73" s="566"/>
    </row>
    <row r="74" customFormat="false" ht="25.5" hidden="false" customHeight="false" outlineLevel="0" collapsed="false">
      <c r="A74" s="559" t="s">
        <v>394</v>
      </c>
      <c r="B74" s="565" t="s">
        <v>444</v>
      </c>
      <c r="C74" s="533" t="e">
        <f aca="false">+D74/$D$23</f>
        <v>#DIV/0!</v>
      </c>
      <c r="D74" s="534" t="n">
        <f aca="false">+Mem_Cal_Serv_44_seg_a_sex!C63</f>
        <v>0</v>
      </c>
    </row>
    <row r="75" customFormat="false" ht="12.75" hidden="false" customHeight="false" outlineLevel="0" collapsed="false">
      <c r="A75" s="494" t="s">
        <v>406</v>
      </c>
      <c r="B75" s="494"/>
      <c r="C75" s="494"/>
      <c r="D75" s="567" t="n">
        <f aca="false">SUM(D69:D74)</f>
        <v>0</v>
      </c>
    </row>
    <row r="77" customFormat="false" ht="12.75" hidden="false" customHeight="false" outlineLevel="0" collapsed="false">
      <c r="A77" s="505" t="s">
        <v>445</v>
      </c>
      <c r="B77" s="505"/>
      <c r="C77" s="505"/>
      <c r="D77" s="505"/>
    </row>
    <row r="79" customFormat="false" ht="12.75" hidden="false" customHeight="true" outlineLevel="0" collapsed="false">
      <c r="A79" s="568" t="s">
        <v>446</v>
      </c>
      <c r="B79" s="568"/>
      <c r="C79" s="568"/>
      <c r="D79" s="568"/>
    </row>
    <row r="80" customFormat="false" ht="12.75" hidden="false" customHeight="false" outlineLevel="0" collapsed="false">
      <c r="A80" s="562" t="s">
        <v>447</v>
      </c>
      <c r="B80" s="494" t="s">
        <v>448</v>
      </c>
      <c r="C80" s="494"/>
      <c r="D80" s="492" t="s">
        <v>387</v>
      </c>
    </row>
    <row r="81" customFormat="false" ht="12.75" hidden="false" customHeight="false" outlineLevel="0" collapsed="false">
      <c r="A81" s="522" t="s">
        <v>15</v>
      </c>
      <c r="B81" s="305" t="s">
        <v>449</v>
      </c>
      <c r="C81" s="305"/>
      <c r="D81" s="515"/>
    </row>
    <row r="82" customFormat="false" ht="12.75" hidden="false" customHeight="false" outlineLevel="0" collapsed="false">
      <c r="A82" s="543" t="s">
        <v>17</v>
      </c>
      <c r="B82" s="569" t="s">
        <v>448</v>
      </c>
      <c r="C82" s="569"/>
      <c r="D82" s="570" t="n">
        <f aca="false">+Mem_Cal_Serv_44_seg_a_sex!C76</f>
        <v>0</v>
      </c>
    </row>
    <row r="83" s="46" customFormat="true" ht="12.75" hidden="false" customHeight="false" outlineLevel="0" collapsed="false">
      <c r="A83" s="543" t="s">
        <v>20</v>
      </c>
      <c r="B83" s="569" t="s">
        <v>450</v>
      </c>
      <c r="C83" s="569"/>
      <c r="D83" s="570" t="n">
        <f aca="false">+Mem_Cal_Serv_44_seg_a_sex!C85</f>
        <v>0</v>
      </c>
    </row>
    <row r="84" s="46" customFormat="true" ht="12.75" hidden="false" customHeight="false" outlineLevel="0" collapsed="false">
      <c r="A84" s="543" t="s">
        <v>22</v>
      </c>
      <c r="B84" s="569" t="s">
        <v>451</v>
      </c>
      <c r="C84" s="569"/>
      <c r="D84" s="570" t="n">
        <f aca="false">+Mem_Cal_Serv_44_seg_a_sex!C93</f>
        <v>0</v>
      </c>
    </row>
    <row r="85" s="46" customFormat="true" ht="14.25" hidden="false" customHeight="false" outlineLevel="0" collapsed="false">
      <c r="A85" s="543" t="s">
        <v>392</v>
      </c>
      <c r="B85" s="569" t="s">
        <v>452</v>
      </c>
      <c r="C85" s="569"/>
      <c r="D85" s="570"/>
    </row>
    <row r="86" s="46" customFormat="true" ht="12.75" hidden="false" customHeight="false" outlineLevel="0" collapsed="false">
      <c r="A86" s="543" t="s">
        <v>394</v>
      </c>
      <c r="B86" s="569" t="s">
        <v>453</v>
      </c>
      <c r="C86" s="569"/>
      <c r="D86" s="570" t="n">
        <f aca="false">+Mem_Cal_Serv_44_seg_a_sex!C101</f>
        <v>0</v>
      </c>
    </row>
    <row r="87" customFormat="false" ht="12.75" hidden="false" customHeight="false" outlineLevel="0" collapsed="false">
      <c r="A87" s="522" t="s">
        <v>396</v>
      </c>
      <c r="B87" s="305" t="s">
        <v>405</v>
      </c>
      <c r="C87" s="305"/>
      <c r="D87" s="515"/>
    </row>
    <row r="88" customFormat="false" ht="12.75" hidden="false" customHeight="false" outlineLevel="0" collapsed="false">
      <c r="A88" s="522" t="s">
        <v>398</v>
      </c>
      <c r="B88" s="305" t="s">
        <v>454</v>
      </c>
      <c r="C88" s="305"/>
      <c r="D88" s="566"/>
    </row>
    <row r="89" customFormat="false" ht="12.75" hidden="false" customHeight="false" outlineLevel="0" collapsed="false">
      <c r="A89" s="494" t="s">
        <v>406</v>
      </c>
      <c r="B89" s="494"/>
      <c r="C89" s="494"/>
      <c r="D89" s="517" t="n">
        <f aca="false">SUM(D81:D88)</f>
        <v>0</v>
      </c>
    </row>
    <row r="90" customFormat="false" ht="12.75" hidden="false" customHeight="false" outlineLevel="0" collapsed="false">
      <c r="D90" s="571"/>
    </row>
    <row r="91" customFormat="false" ht="12.75" hidden="false" customHeight="false" outlineLevel="0" collapsed="false">
      <c r="A91" s="562" t="s">
        <v>455</v>
      </c>
      <c r="B91" s="494" t="s">
        <v>456</v>
      </c>
      <c r="C91" s="494"/>
      <c r="D91" s="492" t="s">
        <v>387</v>
      </c>
    </row>
    <row r="92" s="46" customFormat="true" ht="12.75" hidden="false" customHeight="false" outlineLevel="0" collapsed="false">
      <c r="A92" s="543" t="s">
        <v>15</v>
      </c>
      <c r="B92" s="559" t="s">
        <v>457</v>
      </c>
      <c r="C92" s="559"/>
      <c r="D92" s="570" t="n">
        <f aca="false">+Mem_Cal_Serv_44_seg_a_sex!C112</f>
        <v>0</v>
      </c>
    </row>
    <row r="93" s="46" customFormat="true" ht="28.5" hidden="false" customHeight="true" outlineLevel="0" collapsed="false">
      <c r="A93" s="543" t="s">
        <v>17</v>
      </c>
      <c r="B93" s="572" t="s">
        <v>458</v>
      </c>
      <c r="C93" s="572"/>
      <c r="D93" s="566"/>
    </row>
    <row r="94" s="46" customFormat="true" ht="31.5" hidden="false" customHeight="true" outlineLevel="0" collapsed="false">
      <c r="A94" s="543" t="s">
        <v>20</v>
      </c>
      <c r="B94" s="572" t="s">
        <v>459</v>
      </c>
      <c r="C94" s="572"/>
      <c r="D94" s="566"/>
    </row>
    <row r="95" customFormat="false" ht="12.75" hidden="false" customHeight="false" outlineLevel="0" collapsed="false">
      <c r="A95" s="522" t="s">
        <v>22</v>
      </c>
      <c r="B95" s="305" t="s">
        <v>405</v>
      </c>
      <c r="C95" s="305"/>
      <c r="D95" s="515"/>
    </row>
    <row r="96" customFormat="false" ht="12.75" hidden="false" customHeight="false" outlineLevel="0" collapsed="false">
      <c r="A96" s="494" t="s">
        <v>406</v>
      </c>
      <c r="B96" s="494"/>
      <c r="C96" s="494"/>
      <c r="D96" s="517" t="n">
        <f aca="false">SUM(D92:D95)</f>
        <v>0</v>
      </c>
    </row>
    <row r="97" customFormat="false" ht="12.75" hidden="false" customHeight="false" outlineLevel="0" collapsed="false">
      <c r="D97" s="571"/>
    </row>
    <row r="98" customFormat="false" ht="12.75" hidden="false" customHeight="false" outlineLevel="0" collapsed="false">
      <c r="A98" s="562" t="s">
        <v>460</v>
      </c>
      <c r="B98" s="494" t="s">
        <v>461</v>
      </c>
      <c r="C98" s="494"/>
      <c r="D98" s="492" t="s">
        <v>387</v>
      </c>
    </row>
    <row r="99" s="574" customFormat="true" ht="42.75" hidden="false" customHeight="true" outlineLevel="0" collapsed="false">
      <c r="A99" s="559" t="s">
        <v>15</v>
      </c>
      <c r="B99" s="572" t="s">
        <v>462</v>
      </c>
      <c r="C99" s="572"/>
      <c r="D99" s="573"/>
    </row>
    <row r="100" customFormat="false" ht="12.75" hidden="false" customHeight="false" outlineLevel="0" collapsed="false">
      <c r="A100" s="494" t="s">
        <v>406</v>
      </c>
      <c r="B100" s="494"/>
      <c r="C100" s="494"/>
      <c r="D100" s="517" t="n">
        <f aca="false">SUM(D99:D99)</f>
        <v>0</v>
      </c>
    </row>
    <row r="102" customFormat="false" ht="12.75" hidden="false" customHeight="false" outlineLevel="0" collapsed="false">
      <c r="A102" s="575" t="s">
        <v>463</v>
      </c>
      <c r="B102" s="575"/>
      <c r="C102" s="575"/>
      <c r="D102" s="575"/>
    </row>
    <row r="103" customFormat="false" ht="12.75" hidden="false" customHeight="false" outlineLevel="0" collapsed="false">
      <c r="A103" s="522" t="s">
        <v>447</v>
      </c>
      <c r="B103" s="305" t="s">
        <v>448</v>
      </c>
      <c r="C103" s="305"/>
      <c r="D103" s="534" t="n">
        <f aca="false">+D89</f>
        <v>0</v>
      </c>
    </row>
    <row r="104" customFormat="false" ht="12.75" hidden="false" customHeight="false" outlineLevel="0" collapsed="false">
      <c r="A104" s="522" t="s">
        <v>455</v>
      </c>
      <c r="B104" s="305" t="s">
        <v>456</v>
      </c>
      <c r="C104" s="305"/>
      <c r="D104" s="534" t="n">
        <f aca="false">+D96</f>
        <v>0</v>
      </c>
    </row>
    <row r="105" customFormat="false" ht="12.75" hidden="false" customHeight="false" outlineLevel="0" collapsed="false">
      <c r="A105" s="576"/>
      <c r="B105" s="577" t="s">
        <v>464</v>
      </c>
      <c r="C105" s="577"/>
      <c r="D105" s="578" t="n">
        <f aca="false">+D104+D103</f>
        <v>0</v>
      </c>
    </row>
    <row r="106" customFormat="false" ht="12.75" hidden="false" customHeight="false" outlineLevel="0" collapsed="false">
      <c r="A106" s="522" t="s">
        <v>460</v>
      </c>
      <c r="B106" s="305" t="s">
        <v>461</v>
      </c>
      <c r="C106" s="305"/>
      <c r="D106" s="534" t="n">
        <f aca="false">+D100</f>
        <v>0</v>
      </c>
    </row>
    <row r="107" customFormat="false" ht="12.75" hidden="false" customHeight="false" outlineLevel="0" collapsed="false">
      <c r="A107" s="575" t="s">
        <v>406</v>
      </c>
      <c r="B107" s="575"/>
      <c r="C107" s="575"/>
      <c r="D107" s="579" t="n">
        <f aca="false">+D106+D105</f>
        <v>0</v>
      </c>
    </row>
    <row r="109" customFormat="false" ht="12.75" hidden="false" customHeight="false" outlineLevel="0" collapsed="false">
      <c r="A109" s="505" t="s">
        <v>465</v>
      </c>
      <c r="B109" s="505"/>
      <c r="C109" s="505"/>
      <c r="D109" s="505"/>
    </row>
    <row r="111" customFormat="false" ht="12.75" hidden="false" customHeight="false" outlineLevel="0" collapsed="false">
      <c r="A111" s="562" t="n">
        <v>5</v>
      </c>
      <c r="B111" s="494" t="s">
        <v>466</v>
      </c>
      <c r="C111" s="494"/>
      <c r="D111" s="492" t="s">
        <v>387</v>
      </c>
    </row>
    <row r="112" customFormat="false" ht="12.75" hidden="false" customHeight="false" outlineLevel="0" collapsed="false">
      <c r="A112" s="522" t="s">
        <v>15</v>
      </c>
      <c r="B112" s="509" t="s">
        <v>467</v>
      </c>
      <c r="C112" s="509"/>
      <c r="D112" s="515" t="n">
        <f aca="false">+Uniformes!F8</f>
        <v>0</v>
      </c>
    </row>
    <row r="113" customFormat="false" ht="12.75" hidden="false" customHeight="false" outlineLevel="0" collapsed="false">
      <c r="A113" s="522" t="s">
        <v>52</v>
      </c>
      <c r="B113" s="543" t="s">
        <v>336</v>
      </c>
      <c r="C113" s="523" t="n">
        <f aca="false">+$C$131+$C$132</f>
        <v>0.0925</v>
      </c>
      <c r="D113" s="544" t="n">
        <f aca="false">+(C113*D112)*-1</f>
        <v>0</v>
      </c>
    </row>
    <row r="114" customFormat="false" ht="12.75" hidden="false" customHeight="false" outlineLevel="0" collapsed="false">
      <c r="A114" s="522" t="s">
        <v>17</v>
      </c>
      <c r="B114" s="509" t="s">
        <v>468</v>
      </c>
      <c r="C114" s="509"/>
      <c r="D114" s="515"/>
    </row>
    <row r="115" customFormat="false" ht="12.75" hidden="false" customHeight="false" outlineLevel="0" collapsed="false">
      <c r="A115" s="522" t="s">
        <v>77</v>
      </c>
      <c r="B115" s="543" t="s">
        <v>336</v>
      </c>
      <c r="C115" s="523" t="n">
        <f aca="false">+$C$131+$C$132</f>
        <v>0.0925</v>
      </c>
      <c r="D115" s="544" t="n">
        <f aca="false">+(C115*D114)*-1</f>
        <v>0</v>
      </c>
    </row>
    <row r="116" customFormat="false" ht="12.75" hidden="false" customHeight="false" outlineLevel="0" collapsed="false">
      <c r="A116" s="522" t="s">
        <v>20</v>
      </c>
      <c r="B116" s="509" t="s">
        <v>469</v>
      </c>
      <c r="C116" s="509"/>
      <c r="D116" s="515"/>
    </row>
    <row r="117" customFormat="false" ht="12.75" hidden="false" customHeight="false" outlineLevel="0" collapsed="false">
      <c r="A117" s="522" t="s">
        <v>96</v>
      </c>
      <c r="B117" s="543" t="s">
        <v>336</v>
      </c>
      <c r="C117" s="523" t="n">
        <f aca="false">+$C$131+$C$132</f>
        <v>0.0925</v>
      </c>
      <c r="D117" s="544" t="n">
        <f aca="false">+(C117*D116)*-1</f>
        <v>0</v>
      </c>
    </row>
    <row r="118" customFormat="false" ht="12.75" hidden="false" customHeight="false" outlineLevel="0" collapsed="false">
      <c r="A118" s="522" t="s">
        <v>22</v>
      </c>
      <c r="B118" s="509" t="s">
        <v>405</v>
      </c>
      <c r="C118" s="509"/>
      <c r="D118" s="515"/>
    </row>
    <row r="119" customFormat="false" ht="12.75" hidden="false" customHeight="false" outlineLevel="0" collapsed="false">
      <c r="A119" s="522" t="s">
        <v>470</v>
      </c>
      <c r="B119" s="543" t="s">
        <v>336</v>
      </c>
      <c r="C119" s="523" t="n">
        <f aca="false">+$C$131+$C$132</f>
        <v>0.0925</v>
      </c>
      <c r="D119" s="544" t="n">
        <f aca="false">+(C119*D118)*-1</f>
        <v>0</v>
      </c>
    </row>
    <row r="120" customFormat="false" ht="12.75" hidden="false" customHeight="false" outlineLevel="0" collapsed="false">
      <c r="A120" s="494" t="s">
        <v>406</v>
      </c>
      <c r="B120" s="494"/>
      <c r="C120" s="494"/>
      <c r="D120" s="517" t="n">
        <f aca="false">SUM(D112:D118)</f>
        <v>0</v>
      </c>
    </row>
    <row r="122" customFormat="false" ht="12.75" hidden="false" customHeight="false" outlineLevel="0" collapsed="false">
      <c r="A122" s="505" t="s">
        <v>471</v>
      </c>
      <c r="B122" s="505"/>
      <c r="C122" s="505"/>
      <c r="D122" s="505"/>
    </row>
    <row r="124" customFormat="false" ht="12.75" hidden="false" customHeight="false" outlineLevel="0" collapsed="false">
      <c r="A124" s="562" t="n">
        <v>6</v>
      </c>
      <c r="B124" s="519" t="s">
        <v>472</v>
      </c>
      <c r="C124" s="580" t="s">
        <v>386</v>
      </c>
      <c r="D124" s="492" t="s">
        <v>387</v>
      </c>
    </row>
    <row r="125" customFormat="false" ht="12.75" hidden="false" customHeight="false" outlineLevel="0" collapsed="false">
      <c r="A125" s="522" t="s">
        <v>15</v>
      </c>
      <c r="B125" s="522" t="s">
        <v>328</v>
      </c>
      <c r="C125" s="533" t="n">
        <v>0.03</v>
      </c>
      <c r="D125" s="624" t="n">
        <f aca="false">($D$120+$D$107+$D$75+$D$64+$D$23)*C125</f>
        <v>0</v>
      </c>
    </row>
    <row r="126" customFormat="false" ht="12.75" hidden="false" customHeight="false" outlineLevel="0" collapsed="false">
      <c r="A126" s="522" t="s">
        <v>17</v>
      </c>
      <c r="B126" s="522" t="s">
        <v>329</v>
      </c>
      <c r="C126" s="533" t="n">
        <v>0.03</v>
      </c>
      <c r="D126" s="624" t="n">
        <f aca="false">($D$120+$D$107+$D$75+$D$64+$D$23+D125)*C126</f>
        <v>0</v>
      </c>
    </row>
    <row r="127" s="584" customFormat="true" ht="12.75" hidden="false" customHeight="false" outlineLevel="0" collapsed="false">
      <c r="A127" s="582" t="s">
        <v>473</v>
      </c>
      <c r="B127" s="582"/>
      <c r="C127" s="582"/>
      <c r="D127" s="583" t="n">
        <f aca="false">++D126+D125+D120+D107+D75+D64+D23</f>
        <v>0</v>
      </c>
    </row>
    <row r="128" s="584" customFormat="true" ht="33" hidden="false" customHeight="true" outlineLevel="0" collapsed="false">
      <c r="A128" s="585" t="s">
        <v>474</v>
      </c>
      <c r="B128" s="585"/>
      <c r="C128" s="585"/>
      <c r="D128" s="583" t="n">
        <f aca="false">ROUND(D127/(1-(C131+C132+C134+C136+C137)),2)</f>
        <v>0</v>
      </c>
    </row>
    <row r="129" customFormat="false" ht="12.75" hidden="false" customHeight="false" outlineLevel="0" collapsed="false">
      <c r="A129" s="522" t="s">
        <v>20</v>
      </c>
      <c r="B129" s="522" t="s">
        <v>475</v>
      </c>
      <c r="C129" s="533"/>
      <c r="D129" s="624"/>
    </row>
    <row r="130" customFormat="false" ht="12.75" hidden="false" customHeight="false" outlineLevel="0" collapsed="false">
      <c r="A130" s="522" t="s">
        <v>96</v>
      </c>
      <c r="B130" s="522" t="s">
        <v>476</v>
      </c>
      <c r="C130" s="533"/>
      <c r="D130" s="624"/>
    </row>
    <row r="131" customFormat="false" ht="12.75" hidden="false" customHeight="false" outlineLevel="0" collapsed="false">
      <c r="A131" s="522" t="s">
        <v>477</v>
      </c>
      <c r="B131" s="522" t="s">
        <v>330</v>
      </c>
      <c r="C131" s="533" t="n">
        <v>0.0165</v>
      </c>
      <c r="D131" s="624" t="n">
        <f aca="false">ROUND(C131*$D$128,2)</f>
        <v>0</v>
      </c>
      <c r="G131" s="586"/>
    </row>
    <row r="132" customFormat="false" ht="12.75" hidden="false" customHeight="false" outlineLevel="0" collapsed="false">
      <c r="A132" s="522" t="s">
        <v>478</v>
      </c>
      <c r="B132" s="522" t="s">
        <v>331</v>
      </c>
      <c r="C132" s="533" t="n">
        <v>0.076</v>
      </c>
      <c r="D132" s="624" t="n">
        <f aca="false">ROUND(C132*$D$128,2)</f>
        <v>0</v>
      </c>
      <c r="G132" s="586"/>
    </row>
    <row r="133" customFormat="false" ht="12.75" hidden="false" customHeight="false" outlineLevel="0" collapsed="false">
      <c r="A133" s="522" t="s">
        <v>479</v>
      </c>
      <c r="B133" s="522" t="s">
        <v>480</v>
      </c>
      <c r="C133" s="533"/>
      <c r="D133" s="624"/>
      <c r="G133" s="586"/>
    </row>
    <row r="134" customFormat="false" ht="12.75" hidden="false" customHeight="false" outlineLevel="0" collapsed="false">
      <c r="A134" s="522" t="s">
        <v>481</v>
      </c>
      <c r="B134" s="522" t="s">
        <v>482</v>
      </c>
      <c r="C134" s="533"/>
      <c r="D134" s="624"/>
      <c r="G134" s="586"/>
    </row>
    <row r="135" customFormat="false" ht="12.75" hidden="false" customHeight="false" outlineLevel="0" collapsed="false">
      <c r="A135" s="522" t="s">
        <v>483</v>
      </c>
      <c r="B135" s="522" t="s">
        <v>484</v>
      </c>
      <c r="C135" s="533"/>
      <c r="D135" s="624"/>
    </row>
    <row r="136" customFormat="false" ht="12.75" hidden="false" customHeight="false" outlineLevel="0" collapsed="false">
      <c r="A136" s="522" t="s">
        <v>485</v>
      </c>
      <c r="B136" s="522" t="s">
        <v>332</v>
      </c>
      <c r="C136" s="533" t="n">
        <v>0.05</v>
      </c>
      <c r="D136" s="624" t="n">
        <f aca="false">ROUND(C136*$D$128,2)</f>
        <v>0</v>
      </c>
    </row>
    <row r="137" customFormat="false" ht="12.75" hidden="false" customHeight="false" outlineLevel="0" collapsed="false">
      <c r="A137" s="522" t="s">
        <v>486</v>
      </c>
      <c r="B137" s="522" t="s">
        <v>487</v>
      </c>
      <c r="C137" s="533"/>
      <c r="D137" s="624"/>
    </row>
    <row r="138" customFormat="false" ht="12.75" hidden="false" customHeight="false" outlineLevel="0" collapsed="false">
      <c r="A138" s="522" t="s">
        <v>22</v>
      </c>
      <c r="B138" s="522" t="s">
        <v>488</v>
      </c>
      <c r="C138" s="533"/>
      <c r="D138" s="624"/>
    </row>
    <row r="139" customFormat="false" ht="14.25" hidden="false" customHeight="false" outlineLevel="0" collapsed="false">
      <c r="A139" s="522" t="s">
        <v>489</v>
      </c>
      <c r="B139" s="522" t="s">
        <v>490</v>
      </c>
      <c r="C139" s="533"/>
      <c r="D139" s="624" t="n">
        <f aca="false">+'LOTE_I_-_Custo_M2'!$T$192</f>
        <v>0.33</v>
      </c>
    </row>
    <row r="140" customFormat="false" ht="12.75" hidden="false" customHeight="false" outlineLevel="0" collapsed="false">
      <c r="A140" s="522" t="s">
        <v>491</v>
      </c>
      <c r="B140" s="522" t="s">
        <v>492</v>
      </c>
      <c r="C140" s="533"/>
      <c r="D140" s="624" t="n">
        <f aca="false">+'LOTE_I_-_Custo_M2'!$T$193</f>
        <v>0.88</v>
      </c>
    </row>
    <row r="141" customFormat="false" ht="12.75" hidden="false" customHeight="false" outlineLevel="0" collapsed="false">
      <c r="A141" s="535" t="s">
        <v>406</v>
      </c>
      <c r="B141" s="535"/>
      <c r="C141" s="587" t="n">
        <f aca="false">+C137+C136+C134+C132+C131+C126+C125</f>
        <v>0.2025</v>
      </c>
      <c r="D141" s="625" t="n">
        <f aca="false">+D136+D134+D132+D131+D126+D125+D139+D140</f>
        <v>1.21</v>
      </c>
    </row>
    <row r="143" customFormat="false" ht="12.75" hidden="false" customHeight="false" outlineLevel="0" collapsed="false">
      <c r="A143" s="589" t="s">
        <v>493</v>
      </c>
      <c r="B143" s="589"/>
      <c r="C143" s="589"/>
      <c r="D143" s="589"/>
    </row>
    <row r="144" customFormat="false" ht="12.75" hidden="false" customHeight="false" outlineLevel="0" collapsed="false">
      <c r="A144" s="522" t="s">
        <v>15</v>
      </c>
      <c r="B144" s="305" t="s">
        <v>494</v>
      </c>
      <c r="C144" s="305"/>
      <c r="D144" s="626" t="n">
        <f aca="false">+D23</f>
        <v>0</v>
      </c>
    </row>
    <row r="145" customFormat="false" ht="12.75" hidden="false" customHeight="false" outlineLevel="0" collapsed="false">
      <c r="A145" s="522" t="s">
        <v>495</v>
      </c>
      <c r="B145" s="305" t="s">
        <v>496</v>
      </c>
      <c r="C145" s="305"/>
      <c r="D145" s="626" t="n">
        <f aca="false">+D64</f>
        <v>0</v>
      </c>
    </row>
    <row r="146" customFormat="false" ht="12.75" hidden="false" customHeight="false" outlineLevel="0" collapsed="false">
      <c r="A146" s="522" t="s">
        <v>20</v>
      </c>
      <c r="B146" s="305" t="s">
        <v>497</v>
      </c>
      <c r="C146" s="305"/>
      <c r="D146" s="626" t="n">
        <f aca="false">+D75</f>
        <v>0</v>
      </c>
    </row>
    <row r="147" customFormat="false" ht="12.75" hidden="false" customHeight="false" outlineLevel="0" collapsed="false">
      <c r="A147" s="522" t="s">
        <v>22</v>
      </c>
      <c r="B147" s="305" t="s">
        <v>498</v>
      </c>
      <c r="C147" s="305"/>
      <c r="D147" s="626" t="n">
        <f aca="false">+D107</f>
        <v>0</v>
      </c>
    </row>
    <row r="148" customFormat="false" ht="12.75" hidden="false" customHeight="false" outlineLevel="0" collapsed="false">
      <c r="A148" s="522" t="s">
        <v>392</v>
      </c>
      <c r="B148" s="305" t="s">
        <v>499</v>
      </c>
      <c r="C148" s="305"/>
      <c r="D148" s="626" t="n">
        <f aca="false">+D120</f>
        <v>0</v>
      </c>
    </row>
    <row r="149" customFormat="false" ht="12.75" hidden="false" customHeight="false" outlineLevel="0" collapsed="false">
      <c r="B149" s="591" t="s">
        <v>500</v>
      </c>
      <c r="C149" s="591"/>
      <c r="D149" s="627" t="n">
        <f aca="false">SUM(D144:D148)</f>
        <v>0</v>
      </c>
    </row>
    <row r="150" customFormat="false" ht="12.75" hidden="false" customHeight="false" outlineLevel="0" collapsed="false">
      <c r="A150" s="522" t="s">
        <v>394</v>
      </c>
      <c r="B150" s="305" t="s">
        <v>501</v>
      </c>
      <c r="C150" s="305"/>
      <c r="D150" s="626" t="n">
        <f aca="false">+D141</f>
        <v>1.21</v>
      </c>
    </row>
    <row r="151" customFormat="false" ht="12.75" hidden="false" customHeight="false" outlineLevel="0" collapsed="false">
      <c r="D151" s="628"/>
    </row>
    <row r="152" customFormat="false" ht="12.75" hidden="false" customHeight="false" outlineLevel="0" collapsed="false">
      <c r="A152" s="594" t="s">
        <v>502</v>
      </c>
      <c r="B152" s="594"/>
      <c r="C152" s="594"/>
      <c r="D152" s="629" t="n">
        <f aca="false">ROUND(+D150+D149,2)</f>
        <v>1.21</v>
      </c>
    </row>
    <row r="154" customFormat="false" ht="42" hidden="false" customHeight="true" outlineLevel="0" collapsed="false">
      <c r="A154" s="597" t="s">
        <v>503</v>
      </c>
      <c r="B154" s="597"/>
      <c r="C154" s="597"/>
      <c r="D154" s="597"/>
    </row>
    <row r="155" customFormat="false" ht="14.25" hidden="false" customHeight="false" outlineLevel="0" collapsed="false">
      <c r="A155" s="599" t="s">
        <v>504</v>
      </c>
      <c r="B155" s="599"/>
      <c r="C155" s="599"/>
      <c r="D155" s="599"/>
      <c r="E155" s="598"/>
    </row>
  </sheetData>
  <mergeCells count="79">
    <mergeCell ref="A1:D1"/>
    <mergeCell ref="A3:D3"/>
    <mergeCell ref="C4:D4"/>
    <mergeCell ref="C5:D5"/>
    <mergeCell ref="C6:D6"/>
    <mergeCell ref="C7:D7"/>
    <mergeCell ref="C8:D8"/>
    <mergeCell ref="A10:D10"/>
    <mergeCell ref="B12:C12"/>
    <mergeCell ref="B15:C15"/>
    <mergeCell ref="B16:C16"/>
    <mergeCell ref="B17:C17"/>
    <mergeCell ref="B18:C18"/>
    <mergeCell ref="B19:C19"/>
    <mergeCell ref="B21:C21"/>
    <mergeCell ref="B22:C22"/>
    <mergeCell ref="A23:C23"/>
    <mergeCell ref="A25:D25"/>
    <mergeCell ref="A27:D27"/>
    <mergeCell ref="A33:C33"/>
    <mergeCell ref="A35:D35"/>
    <mergeCell ref="A47:D47"/>
    <mergeCell ref="A57:B57"/>
    <mergeCell ref="A59:D59"/>
    <mergeCell ref="B60:C60"/>
    <mergeCell ref="B61:C61"/>
    <mergeCell ref="B62:C62"/>
    <mergeCell ref="B63:C63"/>
    <mergeCell ref="A64:C64"/>
    <mergeCell ref="A66:D66"/>
    <mergeCell ref="A75:C75"/>
    <mergeCell ref="A77:D77"/>
    <mergeCell ref="A79:D79"/>
    <mergeCell ref="B80:C80"/>
    <mergeCell ref="B81:C81"/>
    <mergeCell ref="B82:C82"/>
    <mergeCell ref="B83:C83"/>
    <mergeCell ref="B84:C84"/>
    <mergeCell ref="B85:C85"/>
    <mergeCell ref="B86:C86"/>
    <mergeCell ref="B87:C87"/>
    <mergeCell ref="B88:C88"/>
    <mergeCell ref="A89:C89"/>
    <mergeCell ref="B91:C91"/>
    <mergeCell ref="B92:C92"/>
    <mergeCell ref="B93:C93"/>
    <mergeCell ref="B94:C94"/>
    <mergeCell ref="B95:C95"/>
    <mergeCell ref="A96:C96"/>
    <mergeCell ref="B98:C98"/>
    <mergeCell ref="B99:C99"/>
    <mergeCell ref="A100:C100"/>
    <mergeCell ref="B103:C103"/>
    <mergeCell ref="B104:C104"/>
    <mergeCell ref="B105:C105"/>
    <mergeCell ref="B106:C106"/>
    <mergeCell ref="A107:C107"/>
    <mergeCell ref="A109:D109"/>
    <mergeCell ref="B111:C111"/>
    <mergeCell ref="B112:C112"/>
    <mergeCell ref="B114:C114"/>
    <mergeCell ref="B116:C116"/>
    <mergeCell ref="B118:C118"/>
    <mergeCell ref="A120:C120"/>
    <mergeCell ref="A122:D122"/>
    <mergeCell ref="A127:C127"/>
    <mergeCell ref="A128:C128"/>
    <mergeCell ref="A141:B141"/>
    <mergeCell ref="A143:D143"/>
    <mergeCell ref="B144:C144"/>
    <mergeCell ref="B145:C145"/>
    <mergeCell ref="B146:C146"/>
    <mergeCell ref="B147:C147"/>
    <mergeCell ref="B148:C148"/>
    <mergeCell ref="B149:C149"/>
    <mergeCell ref="B150:C150"/>
    <mergeCell ref="A152:C152"/>
    <mergeCell ref="A154:D154"/>
    <mergeCell ref="A155:D155"/>
  </mergeCells>
  <printOptions headings="false" gridLines="false" gridLinesSet="true" horizontalCentered="false" verticalCentered="false"/>
  <pageMargins left="1.10208333333333" right="0.0784722222222222" top="0.315277777777778" bottom="0.338888888888889" header="0.315277777777778" footer="0.2"/>
  <pageSetup paperSize="9" scale="90"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C124"/>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2.75" zeroHeight="false" outlineLevelRow="0" outlineLevelCol="0"/>
  <cols>
    <col collapsed="false" customWidth="true" hidden="false" outlineLevel="0" max="1" min="1" style="44" width="69.66"/>
    <col collapsed="false" customWidth="true" hidden="false" outlineLevel="0" max="2" min="2" style="44" width="15.53"/>
    <col collapsed="false" customWidth="true" hidden="false" outlineLevel="0" max="3" min="3" style="44" width="13.09"/>
    <col collapsed="false" customWidth="true" hidden="false" outlineLevel="0" max="4" min="4" style="44" width="10.12"/>
    <col collapsed="false" customWidth="true" hidden="false" outlineLevel="0" max="5" min="5" style="44" width="74.65"/>
    <col collapsed="false" customWidth="true" hidden="false" outlineLevel="0" max="1025" min="6" style="44" width="8.64"/>
  </cols>
  <sheetData>
    <row r="1" customFormat="false" ht="12.75" hidden="false" customHeight="false" outlineLevel="0" collapsed="false">
      <c r="A1" s="600" t="s">
        <v>505</v>
      </c>
      <c r="B1" s="600"/>
      <c r="C1" s="600"/>
    </row>
    <row r="3" customFormat="false" ht="12.75" hidden="false" customHeight="false" outlineLevel="0" collapsed="false">
      <c r="A3" s="522" t="s">
        <v>506</v>
      </c>
      <c r="B3" s="522" t="n">
        <v>220</v>
      </c>
    </row>
    <row r="4" customFormat="false" ht="12.75" hidden="false" customHeight="false" outlineLevel="0" collapsed="false">
      <c r="A4" s="522" t="s">
        <v>507</v>
      </c>
      <c r="B4" s="522" t="n">
        <v>365.25</v>
      </c>
    </row>
    <row r="5" customFormat="false" ht="12.75" hidden="false" customHeight="false" outlineLevel="0" collapsed="false">
      <c r="A5" s="522" t="s">
        <v>508</v>
      </c>
      <c r="B5" s="601" t="n">
        <f aca="false">(365.25/12)/(7/5)</f>
        <v>21.7410714285714</v>
      </c>
    </row>
    <row r="6" customFormat="false" ht="12.75" hidden="false" customHeight="false" outlineLevel="0" collapsed="false">
      <c r="A6" s="543" t="s">
        <v>388</v>
      </c>
      <c r="B6" s="534" t="n">
        <f aca="false">+Servente_44_seg_a_sex!D12</f>
        <v>0</v>
      </c>
    </row>
    <row r="7" customFormat="false" ht="12.75" hidden="false" customHeight="false" outlineLevel="0" collapsed="false">
      <c r="A7" s="543" t="s">
        <v>509</v>
      </c>
      <c r="B7" s="534" t="n">
        <f aca="false">+Servente_44_seg_a_sex!D23</f>
        <v>0</v>
      </c>
    </row>
    <row r="9" customFormat="false" ht="12.75" hidden="false" customHeight="false" outlineLevel="0" collapsed="false">
      <c r="A9" s="602" t="s">
        <v>510</v>
      </c>
      <c r="B9" s="602"/>
      <c r="C9" s="602"/>
    </row>
    <row r="10" customFormat="false" ht="12.75" hidden="false" customHeight="false" outlineLevel="0" collapsed="false">
      <c r="A10" s="522" t="s">
        <v>511</v>
      </c>
      <c r="B10" s="522" t="n">
        <f aca="false">+$B$4</f>
        <v>365.25</v>
      </c>
      <c r="C10" s="564"/>
    </row>
    <row r="11" customFormat="false" ht="12.75" hidden="false" customHeight="false" outlineLevel="0" collapsed="false">
      <c r="A11" s="522" t="s">
        <v>512</v>
      </c>
      <c r="B11" s="543" t="n">
        <v>12</v>
      </c>
      <c r="C11" s="564"/>
    </row>
    <row r="12" customFormat="false" ht="12.75" hidden="false" customHeight="false" outlineLevel="0" collapsed="false">
      <c r="A12" s="522" t="s">
        <v>513</v>
      </c>
      <c r="B12" s="533" t="n">
        <v>1</v>
      </c>
      <c r="C12" s="564"/>
    </row>
    <row r="13" customFormat="false" ht="12.75" hidden="false" customHeight="false" outlineLevel="0" collapsed="false">
      <c r="A13" s="543" t="s">
        <v>514</v>
      </c>
      <c r="B13" s="603" t="n">
        <f aca="false">+B5</f>
        <v>21.7410714285714</v>
      </c>
      <c r="C13" s="564"/>
    </row>
    <row r="14" customFormat="false" ht="12.75" hidden="false" customHeight="false" outlineLevel="0" collapsed="false">
      <c r="A14" s="548" t="s">
        <v>515</v>
      </c>
      <c r="B14" s="604"/>
      <c r="C14" s="564"/>
    </row>
    <row r="15" customFormat="false" ht="12.75" hidden="false" customHeight="false" outlineLevel="0" collapsed="false">
      <c r="A15" s="522" t="s">
        <v>516</v>
      </c>
      <c r="B15" s="533" t="n">
        <v>0.06</v>
      </c>
      <c r="C15" s="564"/>
    </row>
    <row r="16" customFormat="false" ht="12.75" hidden="false" customHeight="false" outlineLevel="0" collapsed="false">
      <c r="A16" s="575" t="s">
        <v>517</v>
      </c>
      <c r="B16" s="575"/>
      <c r="C16" s="605" t="n">
        <f aca="false">ROUND((B13*(B14*2)-($B$6*B15)),2)</f>
        <v>0</v>
      </c>
    </row>
    <row r="18" customFormat="false" ht="12.75" hidden="false" customHeight="false" outlineLevel="0" collapsed="false">
      <c r="A18" s="602" t="s">
        <v>518</v>
      </c>
      <c r="B18" s="602"/>
      <c r="C18" s="602"/>
    </row>
    <row r="19" customFormat="false" ht="12.75" hidden="false" customHeight="false" outlineLevel="0" collapsed="false">
      <c r="A19" s="522" t="s">
        <v>511</v>
      </c>
      <c r="B19" s="522" t="n">
        <f aca="false">+$B$4</f>
        <v>365.25</v>
      </c>
      <c r="C19" s="564"/>
    </row>
    <row r="20" customFormat="false" ht="12.75" hidden="false" customHeight="false" outlineLevel="0" collapsed="false">
      <c r="A20" s="522" t="s">
        <v>512</v>
      </c>
      <c r="B20" s="543" t="n">
        <v>12</v>
      </c>
      <c r="C20" s="564"/>
    </row>
    <row r="21" customFormat="false" ht="12.75" hidden="false" customHeight="false" outlineLevel="0" collapsed="false">
      <c r="A21" s="522" t="s">
        <v>513</v>
      </c>
      <c r="B21" s="533" t="n">
        <v>1</v>
      </c>
      <c r="C21" s="564"/>
    </row>
    <row r="22" customFormat="false" ht="12.75" hidden="false" customHeight="false" outlineLevel="0" collapsed="false">
      <c r="A22" s="543" t="s">
        <v>514</v>
      </c>
      <c r="B22" s="603" t="n">
        <f aca="false">+B5</f>
        <v>21.7410714285714</v>
      </c>
      <c r="C22" s="564"/>
    </row>
    <row r="23" customFormat="false" ht="12.75" hidden="false" customHeight="false" outlineLevel="0" collapsed="false">
      <c r="A23" s="548" t="s">
        <v>519</v>
      </c>
      <c r="B23" s="604"/>
      <c r="C23" s="564"/>
    </row>
    <row r="24" customFormat="false" ht="12.75" hidden="false" customHeight="false" outlineLevel="0" collapsed="false">
      <c r="A24" s="522" t="s">
        <v>520</v>
      </c>
      <c r="B24" s="533" t="n">
        <v>0.1</v>
      </c>
      <c r="C24" s="564"/>
    </row>
    <row r="25" customFormat="false" ht="12.75" hidden="false" customHeight="false" outlineLevel="0" collapsed="false">
      <c r="A25" s="575" t="s">
        <v>519</v>
      </c>
      <c r="B25" s="575"/>
      <c r="C25" s="605" t="n">
        <f aca="false">ROUND((B22*(B23)-((B22*B23)*B24)),2)</f>
        <v>0</v>
      </c>
    </row>
    <row r="27" customFormat="false" ht="12.75" hidden="false" customHeight="false" outlineLevel="0" collapsed="false">
      <c r="A27" s="602" t="s">
        <v>521</v>
      </c>
      <c r="B27" s="602"/>
      <c r="C27" s="602"/>
    </row>
    <row r="28" customFormat="false" ht="12.75" hidden="false" customHeight="false" outlineLevel="0" collapsed="false">
      <c r="A28" s="522" t="s">
        <v>522</v>
      </c>
      <c r="B28" s="534" t="n">
        <f aca="false">+B7</f>
        <v>0</v>
      </c>
      <c r="C28" s="564"/>
    </row>
    <row r="29" customFormat="false" ht="12.75" hidden="false" customHeight="false" outlineLevel="0" collapsed="false">
      <c r="A29" s="522" t="s">
        <v>523</v>
      </c>
      <c r="B29" s="522" t="n">
        <v>12</v>
      </c>
      <c r="C29" s="564"/>
    </row>
    <row r="30" customFormat="false" ht="12.75" hidden="false" customHeight="false" outlineLevel="0" collapsed="false">
      <c r="A30" s="546" t="s">
        <v>524</v>
      </c>
      <c r="B30" s="606"/>
      <c r="C30" s="564"/>
    </row>
    <row r="31" customFormat="false" ht="12.75" hidden="false" customHeight="false" outlineLevel="0" collapsed="false">
      <c r="A31" s="575" t="s">
        <v>525</v>
      </c>
      <c r="B31" s="575"/>
      <c r="C31" s="605" t="n">
        <f aca="false">ROUND(+(B28/B29)*B30,2)</f>
        <v>0</v>
      </c>
    </row>
    <row r="33" customFormat="false" ht="12.75" hidden="false" customHeight="true" outlineLevel="0" collapsed="false">
      <c r="A33" s="607" t="s">
        <v>526</v>
      </c>
      <c r="B33" s="607"/>
      <c r="C33" s="607"/>
    </row>
    <row r="34" s="46" customFormat="true" ht="12.75" hidden="false" customHeight="false" outlineLevel="0" collapsed="false">
      <c r="A34" s="608" t="s">
        <v>527</v>
      </c>
      <c r="B34" s="606" t="n">
        <f aca="false">+B30</f>
        <v>0</v>
      </c>
      <c r="C34" s="564"/>
    </row>
    <row r="35" customFormat="false" ht="12.75" hidden="false" customHeight="false" outlineLevel="0" collapsed="false">
      <c r="A35" s="522" t="s">
        <v>528</v>
      </c>
      <c r="B35" s="534" t="n">
        <f aca="false">+Servente_44_seg_a_sex!$D$23</f>
        <v>0</v>
      </c>
      <c r="C35" s="564"/>
    </row>
    <row r="36" customFormat="false" ht="12.75" hidden="false" customHeight="false" outlineLevel="0" collapsed="false">
      <c r="A36" s="522" t="s">
        <v>411</v>
      </c>
      <c r="B36" s="534" t="n">
        <f aca="false">+Servente_44_seg_a_sex!$D$29</f>
        <v>0</v>
      </c>
      <c r="C36" s="564"/>
    </row>
    <row r="37" customFormat="false" ht="12.75" hidden="false" customHeight="false" outlineLevel="0" collapsed="false">
      <c r="A37" s="522" t="s">
        <v>413</v>
      </c>
      <c r="B37" s="534" t="n">
        <f aca="false">+Servente_44_seg_a_sex!$D$31</f>
        <v>0</v>
      </c>
      <c r="C37" s="564"/>
    </row>
    <row r="38" customFormat="false" ht="12.75" hidden="false" customHeight="false" outlineLevel="0" collapsed="false">
      <c r="A38" s="522" t="s">
        <v>414</v>
      </c>
      <c r="B38" s="534" t="n">
        <f aca="false">+Servente_44_seg_a_sex!$D$32</f>
        <v>0</v>
      </c>
      <c r="C38" s="564"/>
    </row>
    <row r="39" customFormat="false" ht="12.75" hidden="false" customHeight="false" outlineLevel="0" collapsed="false">
      <c r="A39" s="609" t="s">
        <v>529</v>
      </c>
      <c r="B39" s="610" t="n">
        <f aca="false">SUM(B35:B38)</f>
        <v>0</v>
      </c>
      <c r="C39" s="564"/>
    </row>
    <row r="40" customFormat="false" ht="12.75" hidden="false" customHeight="false" outlineLevel="0" collapsed="false">
      <c r="A40" s="543" t="s">
        <v>530</v>
      </c>
      <c r="B40" s="533" t="n">
        <v>0.4</v>
      </c>
      <c r="C40" s="564"/>
    </row>
    <row r="41" customFormat="false" ht="12.75" hidden="false" customHeight="false" outlineLevel="0" collapsed="false">
      <c r="A41" s="543" t="s">
        <v>531</v>
      </c>
      <c r="B41" s="533" t="n">
        <f aca="false">+Servente_44_seg_a_sex!$C$44</f>
        <v>0.08</v>
      </c>
      <c r="C41" s="564"/>
    </row>
    <row r="42" customFormat="false" ht="12.75" hidden="false" customHeight="false" outlineLevel="0" collapsed="false">
      <c r="A42" s="577" t="s">
        <v>532</v>
      </c>
      <c r="B42" s="577"/>
      <c r="C42" s="578" t="n">
        <f aca="false">ROUND(+B39*B40*B41*B34,2)</f>
        <v>0</v>
      </c>
    </row>
    <row r="43" customFormat="false" ht="12.75" hidden="false" customHeight="false" outlineLevel="0" collapsed="false">
      <c r="A43" s="575" t="s">
        <v>533</v>
      </c>
      <c r="B43" s="575"/>
      <c r="C43" s="579" t="n">
        <f aca="false">+C42</f>
        <v>0</v>
      </c>
    </row>
    <row r="45" customFormat="false" ht="12.75" hidden="false" customHeight="false" outlineLevel="0" collapsed="false">
      <c r="A45" s="602" t="s">
        <v>534</v>
      </c>
      <c r="B45" s="602"/>
      <c r="C45" s="602"/>
    </row>
    <row r="46" customFormat="false" ht="12.75" hidden="false" customHeight="false" outlineLevel="0" collapsed="false">
      <c r="A46" s="522" t="s">
        <v>522</v>
      </c>
      <c r="B46" s="534" t="n">
        <f aca="false">+B7</f>
        <v>0</v>
      </c>
      <c r="C46" s="564"/>
    </row>
    <row r="47" customFormat="false" ht="12.75" hidden="false" customHeight="false" outlineLevel="0" collapsed="false">
      <c r="A47" s="522" t="s">
        <v>535</v>
      </c>
      <c r="B47" s="611" t="n">
        <v>30</v>
      </c>
      <c r="C47" s="564"/>
    </row>
    <row r="48" customFormat="false" ht="12.75" hidden="false" customHeight="false" outlineLevel="0" collapsed="false">
      <c r="A48" s="522" t="s">
        <v>523</v>
      </c>
      <c r="B48" s="522" t="n">
        <v>12</v>
      </c>
      <c r="C48" s="564"/>
    </row>
    <row r="49" customFormat="false" ht="12.75" hidden="false" customHeight="false" outlineLevel="0" collapsed="false">
      <c r="A49" s="522" t="s">
        <v>536</v>
      </c>
      <c r="B49" s="522" t="n">
        <v>7</v>
      </c>
      <c r="C49" s="564"/>
    </row>
    <row r="50" customFormat="false" ht="12.75" hidden="false" customHeight="false" outlineLevel="0" collapsed="false">
      <c r="A50" s="546" t="s">
        <v>537</v>
      </c>
      <c r="B50" s="606"/>
      <c r="C50" s="564"/>
    </row>
    <row r="51" customFormat="false" ht="12.75" hidden="false" customHeight="false" outlineLevel="0" collapsed="false">
      <c r="A51" s="575" t="s">
        <v>538</v>
      </c>
      <c r="B51" s="575"/>
      <c r="C51" s="605" t="n">
        <f aca="false">+ROUND(((B46/B47/B48)*B49)*B50,2)</f>
        <v>0</v>
      </c>
    </row>
    <row r="53" customFormat="false" ht="12.75" hidden="false" customHeight="true" outlineLevel="0" collapsed="false">
      <c r="A53" s="607" t="s">
        <v>539</v>
      </c>
      <c r="B53" s="607"/>
      <c r="C53" s="607"/>
    </row>
    <row r="54" customFormat="false" ht="12.75" hidden="false" customHeight="false" outlineLevel="0" collapsed="false">
      <c r="A54" s="608" t="s">
        <v>540</v>
      </c>
      <c r="B54" s="606" t="n">
        <f aca="false">+B50</f>
        <v>0</v>
      </c>
      <c r="C54" s="564"/>
    </row>
    <row r="55" customFormat="false" ht="12.75" hidden="false" customHeight="false" outlineLevel="0" collapsed="false">
      <c r="A55" s="522" t="s">
        <v>528</v>
      </c>
      <c r="B55" s="534" t="n">
        <f aca="false">+Servente_44_seg_a_sex!$D$23</f>
        <v>0</v>
      </c>
      <c r="C55" s="564"/>
    </row>
    <row r="56" customFormat="false" ht="12.75" hidden="false" customHeight="false" outlineLevel="0" collapsed="false">
      <c r="A56" s="522" t="s">
        <v>411</v>
      </c>
      <c r="B56" s="534" t="n">
        <f aca="false">+Servente_44_seg_a_sex!$D$29</f>
        <v>0</v>
      </c>
      <c r="C56" s="564"/>
    </row>
    <row r="57" customFormat="false" ht="12.75" hidden="false" customHeight="false" outlineLevel="0" collapsed="false">
      <c r="A57" s="522" t="s">
        <v>413</v>
      </c>
      <c r="B57" s="534" t="n">
        <f aca="false">+Servente_44_seg_a_sex!$D$31</f>
        <v>0</v>
      </c>
      <c r="C57" s="564"/>
    </row>
    <row r="58" customFormat="false" ht="12.75" hidden="false" customHeight="false" outlineLevel="0" collapsed="false">
      <c r="A58" s="522" t="s">
        <v>414</v>
      </c>
      <c r="B58" s="534" t="n">
        <f aca="false">+Servente_44_seg_a_sex!$D$32</f>
        <v>0</v>
      </c>
      <c r="C58" s="564"/>
    </row>
    <row r="59" customFormat="false" ht="12.75" hidden="false" customHeight="false" outlineLevel="0" collapsed="false">
      <c r="A59" s="609" t="s">
        <v>529</v>
      </c>
      <c r="B59" s="610" t="n">
        <f aca="false">SUM(B55:B58)</f>
        <v>0</v>
      </c>
      <c r="C59" s="564"/>
    </row>
    <row r="60" customFormat="false" ht="12.75" hidden="false" customHeight="false" outlineLevel="0" collapsed="false">
      <c r="A60" s="543" t="s">
        <v>530</v>
      </c>
      <c r="B60" s="533" t="n">
        <v>0.4</v>
      </c>
      <c r="C60" s="564"/>
    </row>
    <row r="61" customFormat="false" ht="12.75" hidden="false" customHeight="false" outlineLevel="0" collapsed="false">
      <c r="A61" s="543" t="s">
        <v>531</v>
      </c>
      <c r="B61" s="533" t="n">
        <f aca="false">+Servente_44_seg_a_sex!$C$44</f>
        <v>0.08</v>
      </c>
      <c r="C61" s="564"/>
    </row>
    <row r="62" customFormat="false" ht="12.75" hidden="false" customHeight="false" outlineLevel="0" collapsed="false">
      <c r="A62" s="577" t="s">
        <v>532</v>
      </c>
      <c r="B62" s="577"/>
      <c r="C62" s="578" t="n">
        <f aca="false">ROUND(+B59*B60*B61*B54,2)</f>
        <v>0</v>
      </c>
    </row>
    <row r="63" customFormat="false" ht="12.75" hidden="false" customHeight="false" outlineLevel="0" collapsed="false">
      <c r="A63" s="575" t="s">
        <v>541</v>
      </c>
      <c r="B63" s="575"/>
      <c r="C63" s="579" t="n">
        <f aca="false">+C62</f>
        <v>0</v>
      </c>
    </row>
    <row r="65" customFormat="false" ht="12.75" hidden="false" customHeight="true" outlineLevel="0" collapsed="false">
      <c r="A65" s="607" t="s">
        <v>542</v>
      </c>
      <c r="B65" s="607"/>
      <c r="C65" s="607"/>
    </row>
    <row r="66" customFormat="false" ht="12.75" hidden="false" customHeight="true" outlineLevel="0" collapsed="false">
      <c r="A66" s="612" t="s">
        <v>543</v>
      </c>
      <c r="B66" s="612"/>
      <c r="C66" s="612"/>
    </row>
    <row r="67" customFormat="false" ht="12.75" hidden="false" customHeight="false" outlineLevel="0" collapsed="false">
      <c r="A67" s="612"/>
      <c r="B67" s="612"/>
      <c r="C67" s="612"/>
    </row>
    <row r="68" customFormat="false" ht="12.75" hidden="false" customHeight="false" outlineLevel="0" collapsed="false">
      <c r="A68" s="612"/>
      <c r="B68" s="612"/>
      <c r="C68" s="612"/>
    </row>
    <row r="69" customFormat="false" ht="12.75" hidden="false" customHeight="false" outlineLevel="0" collapsed="false">
      <c r="A69" s="612"/>
      <c r="B69" s="612"/>
      <c r="C69" s="612"/>
    </row>
    <row r="70" customFormat="false" ht="12.75" hidden="false" customHeight="false" outlineLevel="0" collapsed="false">
      <c r="A70" s="613"/>
      <c r="B70" s="613"/>
      <c r="C70" s="613"/>
    </row>
    <row r="71" customFormat="false" ht="12.75" hidden="false" customHeight="true" outlineLevel="0" collapsed="false">
      <c r="A71" s="607" t="s">
        <v>544</v>
      </c>
      <c r="B71" s="607"/>
      <c r="C71" s="607"/>
    </row>
    <row r="72" customFormat="false" ht="12.75" hidden="false" customHeight="false" outlineLevel="0" collapsed="false">
      <c r="A72" s="522" t="s">
        <v>545</v>
      </c>
      <c r="B72" s="534" t="n">
        <f aca="false">+$B$7</f>
        <v>0</v>
      </c>
      <c r="C72" s="564"/>
    </row>
    <row r="73" customFormat="false" ht="12.75" hidden="false" customHeight="false" outlineLevel="0" collapsed="false">
      <c r="A73" s="522" t="s">
        <v>512</v>
      </c>
      <c r="B73" s="522" t="n">
        <v>30</v>
      </c>
      <c r="C73" s="564"/>
    </row>
    <row r="74" customFormat="false" ht="12.75" hidden="false" customHeight="false" outlineLevel="0" collapsed="false">
      <c r="A74" s="522" t="s">
        <v>546</v>
      </c>
      <c r="B74" s="522" t="n">
        <v>12</v>
      </c>
      <c r="C74" s="564"/>
    </row>
    <row r="75" customFormat="false" ht="12.75" hidden="false" customHeight="false" outlineLevel="0" collapsed="false">
      <c r="A75" s="546" t="s">
        <v>547</v>
      </c>
      <c r="B75" s="546"/>
      <c r="C75" s="564"/>
    </row>
    <row r="76" customFormat="false" ht="12.75" hidden="false" customHeight="false" outlineLevel="0" collapsed="false">
      <c r="A76" s="575" t="s">
        <v>548</v>
      </c>
      <c r="B76" s="575"/>
      <c r="C76" s="556" t="n">
        <f aca="false">+ROUND((B72/B73/B74)*B75,2)</f>
        <v>0</v>
      </c>
    </row>
    <row r="78" customFormat="false" ht="12.75" hidden="false" customHeight="true" outlineLevel="0" collapsed="false">
      <c r="A78" s="607" t="s">
        <v>549</v>
      </c>
      <c r="B78" s="607"/>
      <c r="C78" s="607"/>
    </row>
    <row r="79" customFormat="false" ht="12.75" hidden="false" customHeight="false" outlineLevel="0" collapsed="false">
      <c r="A79" s="522" t="s">
        <v>545</v>
      </c>
      <c r="B79" s="534" t="n">
        <f aca="false">+$B$7</f>
        <v>0</v>
      </c>
      <c r="C79" s="564"/>
    </row>
    <row r="80" customFormat="false" ht="12.75" hidden="false" customHeight="false" outlineLevel="0" collapsed="false">
      <c r="A80" s="522" t="s">
        <v>512</v>
      </c>
      <c r="B80" s="522" t="n">
        <v>30</v>
      </c>
      <c r="C80" s="564"/>
    </row>
    <row r="81" customFormat="false" ht="12.75" hidden="false" customHeight="false" outlineLevel="0" collapsed="false">
      <c r="A81" s="522" t="s">
        <v>546</v>
      </c>
      <c r="B81" s="522" t="n">
        <v>12</v>
      </c>
      <c r="C81" s="564"/>
    </row>
    <row r="82" customFormat="false" ht="12.75" hidden="false" customHeight="false" outlineLevel="0" collapsed="false">
      <c r="A82" s="543" t="s">
        <v>550</v>
      </c>
      <c r="B82" s="522" t="n">
        <v>5</v>
      </c>
      <c r="C82" s="564"/>
    </row>
    <row r="83" customFormat="false" ht="12.75" hidden="false" customHeight="false" outlineLevel="0" collapsed="false">
      <c r="A83" s="546" t="s">
        <v>551</v>
      </c>
      <c r="B83" s="606"/>
      <c r="C83" s="564"/>
    </row>
    <row r="84" customFormat="false" ht="12.75" hidden="false" customHeight="false" outlineLevel="0" collapsed="false">
      <c r="A84" s="546" t="s">
        <v>552</v>
      </c>
      <c r="B84" s="606"/>
      <c r="C84" s="564"/>
    </row>
    <row r="85" customFormat="false" ht="12.75" hidden="false" customHeight="false" outlineLevel="0" collapsed="false">
      <c r="A85" s="575" t="s">
        <v>553</v>
      </c>
      <c r="B85" s="575"/>
      <c r="C85" s="605" t="n">
        <f aca="false">ROUND(+B79/B80/B81*B82*B83*B84,2)</f>
        <v>0</v>
      </c>
    </row>
    <row r="87" customFormat="false" ht="12.75" hidden="false" customHeight="true" outlineLevel="0" collapsed="false">
      <c r="A87" s="607" t="s">
        <v>554</v>
      </c>
      <c r="B87" s="607"/>
      <c r="C87" s="607"/>
    </row>
    <row r="88" customFormat="false" ht="12.75" hidden="false" customHeight="false" outlineLevel="0" collapsed="false">
      <c r="A88" s="522" t="s">
        <v>545</v>
      </c>
      <c r="B88" s="534" t="n">
        <f aca="false">+$B$7</f>
        <v>0</v>
      </c>
      <c r="C88" s="564"/>
    </row>
    <row r="89" customFormat="false" ht="12.75" hidden="false" customHeight="false" outlineLevel="0" collapsed="false">
      <c r="A89" s="522" t="s">
        <v>512</v>
      </c>
      <c r="B89" s="522" t="n">
        <v>30</v>
      </c>
      <c r="C89" s="564"/>
    </row>
    <row r="90" customFormat="false" ht="12.75" hidden="false" customHeight="false" outlineLevel="0" collapsed="false">
      <c r="A90" s="522" t="s">
        <v>546</v>
      </c>
      <c r="B90" s="522" t="n">
        <v>12</v>
      </c>
      <c r="C90" s="564"/>
    </row>
    <row r="91" customFormat="false" ht="12.75" hidden="false" customHeight="false" outlineLevel="0" collapsed="false">
      <c r="A91" s="543" t="s">
        <v>555</v>
      </c>
      <c r="B91" s="522" t="n">
        <v>15</v>
      </c>
      <c r="C91" s="564"/>
    </row>
    <row r="92" customFormat="false" ht="12.75" hidden="false" customHeight="false" outlineLevel="0" collapsed="false">
      <c r="A92" s="546" t="s">
        <v>556</v>
      </c>
      <c r="B92" s="606"/>
      <c r="C92" s="564"/>
    </row>
    <row r="93" customFormat="false" ht="12.75" hidden="false" customHeight="false" outlineLevel="0" collapsed="false">
      <c r="A93" s="575" t="s">
        <v>557</v>
      </c>
      <c r="B93" s="575"/>
      <c r="C93" s="605" t="n">
        <f aca="false">ROUND(+B88/B89/B90*B91*B92,2)</f>
        <v>0</v>
      </c>
    </row>
    <row r="95" customFormat="false" ht="12.75" hidden="false" customHeight="true" outlineLevel="0" collapsed="false">
      <c r="A95" s="607" t="s">
        <v>558</v>
      </c>
      <c r="B95" s="607"/>
      <c r="C95" s="607"/>
    </row>
    <row r="96" customFormat="false" ht="12.75" hidden="false" customHeight="false" outlineLevel="0" collapsed="false">
      <c r="A96" s="522" t="s">
        <v>545</v>
      </c>
      <c r="B96" s="534" t="n">
        <f aca="false">+$B$7</f>
        <v>0</v>
      </c>
      <c r="C96" s="564"/>
    </row>
    <row r="97" customFormat="false" ht="12.75" hidden="false" customHeight="false" outlineLevel="0" collapsed="false">
      <c r="A97" s="522" t="s">
        <v>512</v>
      </c>
      <c r="B97" s="522" t="n">
        <v>30</v>
      </c>
      <c r="C97" s="564"/>
    </row>
    <row r="98" customFormat="false" ht="12.75" hidden="false" customHeight="false" outlineLevel="0" collapsed="false">
      <c r="A98" s="522" t="s">
        <v>546</v>
      </c>
      <c r="B98" s="522" t="n">
        <v>12</v>
      </c>
      <c r="C98" s="564"/>
    </row>
    <row r="99" customFormat="false" ht="12.75" hidden="false" customHeight="false" outlineLevel="0" collapsed="false">
      <c r="A99" s="543" t="s">
        <v>555</v>
      </c>
      <c r="B99" s="522" t="n">
        <v>5</v>
      </c>
      <c r="C99" s="564"/>
    </row>
    <row r="100" customFormat="false" ht="12.75" hidden="false" customHeight="false" outlineLevel="0" collapsed="false">
      <c r="A100" s="546" t="s">
        <v>559</v>
      </c>
      <c r="B100" s="606"/>
      <c r="C100" s="564"/>
    </row>
    <row r="101" customFormat="false" ht="12.75" hidden="false" customHeight="false" outlineLevel="0" collapsed="false">
      <c r="A101" s="575" t="s">
        <v>560</v>
      </c>
      <c r="B101" s="575"/>
      <c r="C101" s="605" t="n">
        <f aca="false">ROUND(+B96/B97/B98*B99*B100,2)</f>
        <v>0</v>
      </c>
    </row>
    <row r="103" customFormat="false" ht="12.75" hidden="false" customHeight="true" outlineLevel="0" collapsed="false">
      <c r="A103" s="607" t="s">
        <v>562</v>
      </c>
      <c r="B103" s="607"/>
      <c r="C103" s="607"/>
    </row>
    <row r="104" customFormat="false" ht="12.75" hidden="false" customHeight="true" outlineLevel="0" collapsed="false">
      <c r="A104" s="614" t="s">
        <v>563</v>
      </c>
      <c r="B104" s="614"/>
      <c r="C104" s="614"/>
    </row>
    <row r="105" customFormat="false" ht="12.75" hidden="false" customHeight="false" outlineLevel="0" collapsed="false">
      <c r="A105" s="522" t="s">
        <v>545</v>
      </c>
      <c r="B105" s="534" t="n">
        <f aca="false">+$B$7</f>
        <v>0</v>
      </c>
      <c r="C105" s="564"/>
    </row>
    <row r="106" customFormat="false" ht="12.75" hidden="false" customHeight="false" outlineLevel="0" collapsed="false">
      <c r="A106" s="522" t="s">
        <v>564</v>
      </c>
      <c r="B106" s="534" t="n">
        <f aca="false">+B105*(1/3)</f>
        <v>0</v>
      </c>
      <c r="C106" s="564"/>
    </row>
    <row r="107" customFormat="false" ht="12.75" hidden="false" customHeight="false" outlineLevel="0" collapsed="false">
      <c r="A107" s="609" t="s">
        <v>529</v>
      </c>
      <c r="B107" s="610" t="n">
        <f aca="false">SUM(B105:B106)</f>
        <v>0</v>
      </c>
      <c r="C107" s="564"/>
    </row>
    <row r="108" customFormat="false" ht="12.75" hidden="false" customHeight="false" outlineLevel="0" collapsed="false">
      <c r="A108" s="522" t="s">
        <v>565</v>
      </c>
      <c r="B108" s="522" t="n">
        <v>4</v>
      </c>
      <c r="C108" s="564"/>
    </row>
    <row r="109" customFormat="false" ht="12.75" hidden="false" customHeight="false" outlineLevel="0" collapsed="false">
      <c r="A109" s="522" t="s">
        <v>546</v>
      </c>
      <c r="B109" s="522" t="n">
        <v>12</v>
      </c>
      <c r="C109" s="564"/>
    </row>
    <row r="110" customFormat="false" ht="12.75" hidden="false" customHeight="false" outlineLevel="0" collapsed="false">
      <c r="A110" s="546" t="s">
        <v>566</v>
      </c>
      <c r="B110" s="606"/>
      <c r="C110" s="564"/>
    </row>
    <row r="111" customFormat="false" ht="12.75" hidden="false" customHeight="false" outlineLevel="0" collapsed="false">
      <c r="A111" s="546" t="s">
        <v>567</v>
      </c>
      <c r="B111" s="606"/>
      <c r="C111" s="564"/>
    </row>
    <row r="112" customFormat="false" ht="12.75" hidden="false" customHeight="false" outlineLevel="0" collapsed="false">
      <c r="A112" s="575" t="s">
        <v>568</v>
      </c>
      <c r="B112" s="575"/>
      <c r="C112" s="605" t="n">
        <f aca="false">ROUND((((+B107*(B108/B109)/B109)*B110)*B111),2)</f>
        <v>0</v>
      </c>
    </row>
    <row r="113" customFormat="false" ht="12.75" hidden="false" customHeight="false" outlineLevel="0" collapsed="false">
      <c r="A113" s="575" t="s">
        <v>569</v>
      </c>
      <c r="B113" s="575"/>
      <c r="C113" s="575"/>
    </row>
    <row r="114" customFormat="false" ht="12.75" hidden="false" customHeight="false" outlineLevel="0" collapsed="false">
      <c r="A114" s="522" t="s">
        <v>545</v>
      </c>
      <c r="B114" s="534" t="n">
        <f aca="false">+Servente_44_seg_a_sex!D23</f>
        <v>0</v>
      </c>
      <c r="C114" s="564"/>
    </row>
    <row r="115" customFormat="false" ht="12.75" hidden="false" customHeight="false" outlineLevel="0" collapsed="false">
      <c r="A115" s="522" t="s">
        <v>411</v>
      </c>
      <c r="B115" s="534" t="n">
        <f aca="false">+Servente_44_seg_a_sex!D29</f>
        <v>0</v>
      </c>
      <c r="C115" s="564"/>
    </row>
    <row r="116" customFormat="false" ht="12.75" hidden="false" customHeight="false" outlineLevel="0" collapsed="false">
      <c r="A116" s="609" t="s">
        <v>529</v>
      </c>
      <c r="B116" s="610" t="n">
        <f aca="false">SUM(B114:B115)</f>
        <v>0</v>
      </c>
      <c r="C116" s="564"/>
    </row>
    <row r="117" customFormat="false" ht="12.75" hidden="false" customHeight="false" outlineLevel="0" collapsed="false">
      <c r="A117" s="522" t="s">
        <v>565</v>
      </c>
      <c r="B117" s="522" t="n">
        <v>4</v>
      </c>
      <c r="C117" s="564"/>
    </row>
    <row r="118" customFormat="false" ht="12.75" hidden="false" customHeight="false" outlineLevel="0" collapsed="false">
      <c r="A118" s="522" t="s">
        <v>546</v>
      </c>
      <c r="B118" s="522" t="n">
        <v>12</v>
      </c>
      <c r="C118" s="564"/>
    </row>
    <row r="119" customFormat="false" ht="12.75" hidden="false" customHeight="false" outlineLevel="0" collapsed="false">
      <c r="A119" s="546" t="s">
        <v>566</v>
      </c>
      <c r="B119" s="606" t="n">
        <f aca="false">+B110</f>
        <v>0</v>
      </c>
      <c r="C119" s="564"/>
    </row>
    <row r="120" customFormat="false" ht="12.75" hidden="false" customHeight="false" outlineLevel="0" collapsed="false">
      <c r="A120" s="546" t="s">
        <v>567</v>
      </c>
      <c r="B120" s="606" t="n">
        <f aca="false">+B111</f>
        <v>0</v>
      </c>
      <c r="C120" s="564"/>
    </row>
    <row r="121" customFormat="false" ht="12.75" hidden="false" customHeight="false" outlineLevel="0" collapsed="false">
      <c r="A121" s="543" t="s">
        <v>570</v>
      </c>
      <c r="B121" s="533" t="n">
        <f aca="false">+Servente_44_seg_a_sex!C45</f>
        <v>0.368</v>
      </c>
      <c r="C121" s="564"/>
    </row>
    <row r="122" customFormat="false" ht="12.75" hidden="false" customHeight="false" outlineLevel="0" collapsed="false">
      <c r="A122" s="575" t="s">
        <v>571</v>
      </c>
      <c r="B122" s="575"/>
      <c r="C122" s="579" t="n">
        <f aca="false">ROUND((((B116*(B117/B118)*B119)*B120)*B121),2)</f>
        <v>0</v>
      </c>
    </row>
    <row r="124" customFormat="false" ht="30.75" hidden="false" customHeight="true" outlineLevel="0" collapsed="false">
      <c r="A124" s="615" t="s">
        <v>575</v>
      </c>
      <c r="B124" s="615"/>
      <c r="C124" s="615"/>
    </row>
  </sheetData>
  <mergeCells count="31">
    <mergeCell ref="A1:C1"/>
    <mergeCell ref="A9:C9"/>
    <mergeCell ref="A16:B16"/>
    <mergeCell ref="A18:C18"/>
    <mergeCell ref="A25:B25"/>
    <mergeCell ref="A27:C27"/>
    <mergeCell ref="A31:B31"/>
    <mergeCell ref="A33:C33"/>
    <mergeCell ref="A42:B42"/>
    <mergeCell ref="A43:B43"/>
    <mergeCell ref="A45:C45"/>
    <mergeCell ref="A51:B51"/>
    <mergeCell ref="A53:C53"/>
    <mergeCell ref="A62:B62"/>
    <mergeCell ref="A63:B63"/>
    <mergeCell ref="A65:C65"/>
    <mergeCell ref="A66:C69"/>
    <mergeCell ref="A71:C71"/>
    <mergeCell ref="A76:B76"/>
    <mergeCell ref="A78:C78"/>
    <mergeCell ref="A85:B85"/>
    <mergeCell ref="A87:C87"/>
    <mergeCell ref="A93:B93"/>
    <mergeCell ref="A95:C95"/>
    <mergeCell ref="A101:B101"/>
    <mergeCell ref="A103:C103"/>
    <mergeCell ref="A104:C104"/>
    <mergeCell ref="A112:B112"/>
    <mergeCell ref="A113:C113"/>
    <mergeCell ref="A122:B122"/>
    <mergeCell ref="A124:C124"/>
  </mergeCells>
  <printOptions headings="false" gridLines="false" gridLinesSet="true" horizontalCentered="false" verticalCentered="false"/>
  <pageMargins left="0.905555555555556" right="0.118055555555556" top="0.315277777777778" bottom="0.335416666666667" header="0.315277777777778" footer="0.196527777777778"/>
  <pageSetup paperSize="9" scale="85" firstPageNumber="0" fitToWidth="1" fitToHeight="1" pageOrder="downThenOver" orientation="portrait" blackAndWhite="false" draft="false" cellComments="none" useFirstPageNumber="false" horizontalDpi="300" verticalDpi="300" copies="1"/>
  <headerFooter differentFirst="false" differentOddEven="false">
    <oddHeader/>
    <oddFooter>&amp;C&amp;"Arial,Normal"&amp;10&amp;A</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LibreOffice/5.3.3.2$Windows_x86 LibreOffice_project/3d9a8b4b4e538a85e0782bd6c2d430bafe583448</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2013-03-06T14:15:05Z</dcterms:created>
  <dc:creator>Marcelao da Silva Gonçalves</dc:creator>
  <dc:description/>
  <dc:language>pt-BR</dc:language>
  <cp:lastModifiedBy>Marcelo</cp:lastModifiedBy>
  <cp:lastPrinted>2021-10-04T18:00:00Z</cp:lastPrinted>
  <dcterms:modified xsi:type="dcterms:W3CDTF">2021-12-20T21:12:15Z</dcterms:modified>
  <cp:revision>0</cp:revision>
  <dc:subject/>
  <dc:title/>
</cp:coreProperties>
</file>