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rcelao.SR3\Documents\SG-6\terceirizacoes\Copeiragem auxiliar cozinha  cozinheiro e camareiro 2022\"/>
    </mc:Choice>
  </mc:AlternateContent>
  <bookViews>
    <workbookView xWindow="0" yWindow="0" windowWidth="28800" windowHeight="14175"/>
  </bookViews>
  <sheets>
    <sheet name="Apresentacao" sheetId="2" r:id="rId1"/>
    <sheet name="Demanda" sheetId="1" r:id="rId2"/>
    <sheet name="Aux Coz 44" sheetId="16" r:id="rId3"/>
    <sheet name="Men Cal Aux Coz 44" sheetId="17" r:id="rId4"/>
    <sheet name="Camareiro 44h" sheetId="12" r:id="rId5"/>
    <sheet name="Men Cal Camareiro 44" sheetId="13" r:id="rId6"/>
    <sheet name="Camareiro 12 36 Diurno" sheetId="14" r:id="rId7"/>
    <sheet name="Men Cal Camareiro Diurno" sheetId="15" r:id="rId8"/>
    <sheet name="Cozinheiro 44h" sheetId="10" r:id="rId9"/>
    <sheet name="Men Cal Cozinheiro" sheetId="11" r:id="rId10"/>
    <sheet name="Copeiragem 44h" sheetId="3" r:id="rId11"/>
    <sheet name="Men Cal Copeiragem 44" sheetId="4" r:id="rId12"/>
    <sheet name="Copeiro 44 Sab" sheetId="24" r:id="rId13"/>
    <sheet name="Men Cal Copeiro 44 Sab" sheetId="25" r:id="rId14"/>
    <sheet name="Copeiragem Diurno" sheetId="8" r:id="rId15"/>
    <sheet name="Men Cal Diurno" sheetId="9" r:id="rId16"/>
    <sheet name="Copeiragem Noturno" sheetId="6" r:id="rId17"/>
    <sheet name="Men Cal Noturno" sheetId="7" r:id="rId18"/>
    <sheet name="Motorista 44" sheetId="20" r:id="rId19"/>
    <sheet name="Men Cal Motorista" sheetId="21" r:id="rId20"/>
    <sheet name="Uniforme" sheetId="5" r:id="rId21"/>
    <sheet name="IMR" sheetId="26" r:id="rId22"/>
    <sheet name="Consolidação" sheetId="27" r:id="rId23"/>
  </sheets>
  <definedNames>
    <definedName name="_xlnm.Print_Area" localSheetId="0">Apresentacao!$A$1:$H$58</definedName>
    <definedName name="_xlnm.Print_Area" localSheetId="6">'Camareiro 12 36 Diurno'!$A$1:$D$158</definedName>
    <definedName name="_xlnm.Print_Area" localSheetId="4">'Camareiro 44h'!$A$1:$D$159</definedName>
    <definedName name="_xlnm.Print_Area" localSheetId="10">'Copeiragem 44h'!$A$1:$D$158</definedName>
    <definedName name="_xlnm.Print_Area" localSheetId="16">'Copeiragem Noturno'!$A$1:$D$158</definedName>
    <definedName name="_xlnm.Print_Area" localSheetId="12">'Copeiro 44 Sab'!$A$1:$D$158</definedName>
    <definedName name="_xlnm.Print_Area" localSheetId="8">'Cozinheiro 44h'!$A$1:$D$158</definedName>
    <definedName name="_xlnm.Print_Area" localSheetId="1">Demanda!$A$1:$G$43</definedName>
    <definedName name="_xlnm.Print_Area" localSheetId="3">'Men Cal Aux Coz 44'!$A$1:$C$124</definedName>
    <definedName name="_xlnm.Print_Area" localSheetId="5">'Men Cal Camareiro 44'!$A$1:$C$125</definedName>
    <definedName name="_xlnm.Print_Area" localSheetId="7">'Men Cal Camareiro Diurno'!$A$1:$C$164</definedName>
    <definedName name="_xlnm.Print_Area" localSheetId="11">'Men Cal Copeiragem 44'!$A$1:$C$124</definedName>
    <definedName name="_xlnm.Print_Area" localSheetId="13">'Men Cal Copeiro 44 Sab'!$A$1:$C$124</definedName>
    <definedName name="_xlnm.Print_Area" localSheetId="9">'Men Cal Cozinheiro'!$A$1:$C$125</definedName>
    <definedName name="_xlnm.Print_Area" localSheetId="19">'Men Cal Motorista'!$A$1:$C$160</definedName>
    <definedName name="_xlnm.Print_Area" localSheetId="17">'Men Cal Noturno'!$A$1:$C$164</definedName>
    <definedName name="_xlnm.Print_Area" localSheetId="18">'Motorista 44'!$A$1:$D$159</definedName>
    <definedName name="_xlnm.Print_Area" localSheetId="20">Uniforme!$A$1:$E$50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5" i="21" l="1"/>
  <c r="D50" i="20"/>
  <c r="J34" i="27" l="1"/>
  <c r="J35" i="27" s="1"/>
  <c r="B40" i="26"/>
  <c r="H37" i="26"/>
  <c r="I37" i="26" s="1"/>
  <c r="H36" i="26"/>
  <c r="I36" i="26" s="1"/>
  <c r="H35" i="26"/>
  <c r="I35" i="26" s="1"/>
  <c r="F29" i="26"/>
  <c r="L28" i="26"/>
  <c r="I28" i="26"/>
  <c r="H28" i="26"/>
  <c r="H29" i="26" s="1"/>
  <c r="H31" i="26" s="1"/>
  <c r="I31" i="26" s="1"/>
  <c r="D62" i="26" s="1"/>
  <c r="D63" i="26" s="1"/>
  <c r="L27" i="26"/>
  <c r="I27" i="26"/>
  <c r="H27" i="26"/>
  <c r="L26" i="26"/>
  <c r="I26" i="26"/>
  <c r="H26" i="26"/>
  <c r="L25" i="26"/>
  <c r="I25" i="26"/>
  <c r="H25" i="26"/>
  <c r="H22" i="26"/>
  <c r="F22" i="26"/>
  <c r="L21" i="26"/>
  <c r="I21" i="26"/>
  <c r="H21" i="26"/>
  <c r="L20" i="26"/>
  <c r="I20" i="26"/>
  <c r="H20" i="26"/>
  <c r="F17" i="26"/>
  <c r="L16" i="26"/>
  <c r="I16" i="26"/>
  <c r="H16" i="26"/>
  <c r="L15" i="26"/>
  <c r="I15" i="26"/>
  <c r="H15" i="26"/>
  <c r="H17" i="26" s="1"/>
  <c r="L14" i="26"/>
  <c r="I14" i="26"/>
  <c r="H14" i="26"/>
  <c r="B41" i="26" l="1"/>
  <c r="B42" i="26"/>
  <c r="D65" i="26" l="1"/>
  <c r="D64" i="26"/>
  <c r="D61" i="26"/>
  <c r="B121" i="25" l="1"/>
  <c r="B61" i="25"/>
  <c r="B41" i="25"/>
  <c r="B5" i="25"/>
  <c r="B13" i="25" s="1"/>
  <c r="B22" i="25"/>
  <c r="C25" i="25" s="1"/>
  <c r="D51" i="24" s="1"/>
  <c r="B120" i="25"/>
  <c r="B119" i="25"/>
  <c r="B54" i="25"/>
  <c r="B34" i="25"/>
  <c r="B19" i="25"/>
  <c r="B10" i="25"/>
  <c r="C157" i="24"/>
  <c r="C141" i="24"/>
  <c r="D119" i="24"/>
  <c r="C119" i="24"/>
  <c r="C117" i="24"/>
  <c r="D117" i="24" s="1"/>
  <c r="C115" i="24"/>
  <c r="D115" i="24" s="1"/>
  <c r="C113" i="24"/>
  <c r="D106" i="24"/>
  <c r="D100" i="24"/>
  <c r="C52" i="24"/>
  <c r="C50" i="24"/>
  <c r="C45" i="24"/>
  <c r="C39" i="24"/>
  <c r="C6" i="24"/>
  <c r="D12" i="24" s="1"/>
  <c r="B6" i="25" s="1"/>
  <c r="C5" i="24"/>
  <c r="D52" i="24" l="1"/>
  <c r="C16" i="25"/>
  <c r="D49" i="24" s="1"/>
  <c r="D50" i="24" s="1"/>
  <c r="D57" i="24" s="1"/>
  <c r="D63" i="24" s="1"/>
  <c r="D14" i="24"/>
  <c r="D23" i="24" s="1"/>
  <c r="B35" i="25" l="1"/>
  <c r="B114" i="25"/>
  <c r="B55" i="25"/>
  <c r="B7" i="25"/>
  <c r="D32" i="24"/>
  <c r="D29" i="24"/>
  <c r="D31" i="24"/>
  <c r="D144" i="24"/>
  <c r="C29" i="24" l="1"/>
  <c r="B115" i="25"/>
  <c r="B56" i="25"/>
  <c r="B36" i="25"/>
  <c r="B116" i="25"/>
  <c r="C122" i="25" s="1"/>
  <c r="B37" i="25"/>
  <c r="B57" i="25"/>
  <c r="C32" i="24"/>
  <c r="B38" i="25"/>
  <c r="B39" i="25" s="1"/>
  <c r="C42" i="25" s="1"/>
  <c r="C43" i="25" s="1"/>
  <c r="D71" i="24" s="1"/>
  <c r="C71" i="24" s="1"/>
  <c r="B58" i="25"/>
  <c r="B96" i="25"/>
  <c r="C101" i="25" s="1"/>
  <c r="D86" i="24" s="1"/>
  <c r="B79" i="25"/>
  <c r="C85" i="25" s="1"/>
  <c r="D83" i="24" s="1"/>
  <c r="B72" i="25"/>
  <c r="C76" i="25" s="1"/>
  <c r="D82" i="24" s="1"/>
  <c r="B105" i="25"/>
  <c r="B28" i="25"/>
  <c r="C31" i="25" s="1"/>
  <c r="D69" i="24" s="1"/>
  <c r="B46" i="25"/>
  <c r="C51" i="25" s="1"/>
  <c r="D72" i="24" s="1"/>
  <c r="C72" i="24" s="1"/>
  <c r="B88" i="25"/>
  <c r="C93" i="25" s="1"/>
  <c r="D84" i="24" s="1"/>
  <c r="C31" i="24"/>
  <c r="D30" i="24"/>
  <c r="B59" i="25" l="1"/>
  <c r="C62" i="25" s="1"/>
  <c r="C63" i="25" s="1"/>
  <c r="D74" i="24" s="1"/>
  <c r="C74" i="24" s="1"/>
  <c r="D89" i="24"/>
  <c r="D103" i="24" s="1"/>
  <c r="D70" i="24"/>
  <c r="C69" i="24"/>
  <c r="B106" i="25"/>
  <c r="B107" i="25" s="1"/>
  <c r="C112" i="25" s="1"/>
  <c r="D92" i="24" s="1"/>
  <c r="D96" i="24" s="1"/>
  <c r="D104" i="24" s="1"/>
  <c r="C30" i="24"/>
  <c r="D33" i="24"/>
  <c r="D105" i="24" l="1"/>
  <c r="D107" i="24" s="1"/>
  <c r="D147" i="24" s="1"/>
  <c r="D75" i="24"/>
  <c r="D146" i="24" s="1"/>
  <c r="D61" i="24"/>
  <c r="D41" i="24"/>
  <c r="D39" i="24"/>
  <c r="D40" i="24"/>
  <c r="D37" i="24"/>
  <c r="D38" i="24"/>
  <c r="D44" i="24"/>
  <c r="D43" i="24"/>
  <c r="D42" i="24"/>
  <c r="D45" i="24" l="1"/>
  <c r="D62" i="24" s="1"/>
  <c r="D64" i="24"/>
  <c r="D145" i="24" l="1"/>
  <c r="E38" i="2"/>
  <c r="C37" i="2"/>
  <c r="E37" i="2"/>
  <c r="E16" i="1"/>
  <c r="C158" i="20" l="1"/>
  <c r="C157" i="20"/>
  <c r="D158" i="20" l="1"/>
  <c r="D157" i="20"/>
  <c r="D156" i="20"/>
  <c r="D155" i="20"/>
  <c r="C156" i="20"/>
  <c r="C155" i="20"/>
  <c r="B158" i="20"/>
  <c r="B157" i="20"/>
  <c r="B156" i="20"/>
  <c r="B155" i="20"/>
  <c r="D159" i="20" l="1"/>
  <c r="F55" i="2" s="1"/>
  <c r="G55" i="2" s="1"/>
  <c r="H55" i="2" s="1"/>
  <c r="B16" i="1" l="1"/>
  <c r="D54" i="2" l="1"/>
  <c r="D46" i="5" l="1"/>
  <c r="D45" i="5"/>
  <c r="D44" i="5"/>
  <c r="D43" i="5"/>
  <c r="D42" i="5"/>
  <c r="E46" i="5" l="1"/>
  <c r="E45" i="5"/>
  <c r="E44" i="5"/>
  <c r="E43" i="5"/>
  <c r="E42" i="5"/>
  <c r="B47" i="5"/>
  <c r="D47" i="5" s="1"/>
  <c r="E47" i="5" s="1"/>
  <c r="C151" i="20"/>
  <c r="C149" i="21"/>
  <c r="C132" i="21"/>
  <c r="B121" i="21"/>
  <c r="B61" i="21"/>
  <c r="B41" i="21"/>
  <c r="C5" i="20"/>
  <c r="C6" i="20"/>
  <c r="D12" i="20" s="1"/>
  <c r="B6" i="21" s="1"/>
  <c r="B157" i="21"/>
  <c r="B152" i="21"/>
  <c r="B146" i="21"/>
  <c r="B147" i="21" s="1"/>
  <c r="B142" i="21"/>
  <c r="B138" i="21"/>
  <c r="B135" i="21"/>
  <c r="B120" i="21"/>
  <c r="B119" i="21"/>
  <c r="B54" i="21"/>
  <c r="B34" i="21"/>
  <c r="B10" i="21"/>
  <c r="B5" i="21"/>
  <c r="B13" i="21" s="1"/>
  <c r="C135" i="20"/>
  <c r="D104" i="20"/>
  <c r="D98" i="20"/>
  <c r="C39" i="20"/>
  <c r="C45" i="20" s="1"/>
  <c r="C54" i="2"/>
  <c r="C41" i="1"/>
  <c r="B41" i="1"/>
  <c r="E54" i="2" s="1"/>
  <c r="E48" i="5" l="1"/>
  <c r="D110" i="20" s="1"/>
  <c r="D114" i="20" s="1"/>
  <c r="D142" i="20" s="1"/>
  <c r="C131" i="21"/>
  <c r="C148" i="21"/>
  <c r="C16" i="21"/>
  <c r="D49" i="20" s="1"/>
  <c r="D55" i="20" s="1"/>
  <c r="D61" i="20" s="1"/>
  <c r="B158" i="21"/>
  <c r="B159" i="21" s="1"/>
  <c r="D14" i="20"/>
  <c r="D23" i="20" l="1"/>
  <c r="C150" i="21"/>
  <c r="C151" i="21" s="1"/>
  <c r="C154" i="21" s="1"/>
  <c r="C160" i="21" s="1"/>
  <c r="C133" i="21"/>
  <c r="C134" i="21" s="1"/>
  <c r="C137" i="21" s="1"/>
  <c r="C139" i="21" s="1"/>
  <c r="D32" i="20"/>
  <c r="D31" i="20"/>
  <c r="B114" i="21" l="1"/>
  <c r="B55" i="21"/>
  <c r="B35" i="21"/>
  <c r="B7" i="21"/>
  <c r="B57" i="21"/>
  <c r="B37" i="21"/>
  <c r="C32" i="20"/>
  <c r="B58" i="21"/>
  <c r="B38" i="21"/>
  <c r="D29" i="20"/>
  <c r="D138" i="20"/>
  <c r="D30" i="20"/>
  <c r="C31" i="20"/>
  <c r="C50" i="2"/>
  <c r="B121" i="17"/>
  <c r="B61" i="17"/>
  <c r="B41" i="17"/>
  <c r="C6" i="16"/>
  <c r="D12" i="16" s="1"/>
  <c r="B6" i="17" s="1"/>
  <c r="C5" i="16"/>
  <c r="B120" i="17"/>
  <c r="B119" i="17"/>
  <c r="B54" i="17"/>
  <c r="B34" i="17"/>
  <c r="B22" i="17"/>
  <c r="C25" i="17" s="1"/>
  <c r="D51" i="16" s="1"/>
  <c r="B19" i="17"/>
  <c r="B10" i="17"/>
  <c r="B5" i="17"/>
  <c r="B13" i="17" s="1"/>
  <c r="C157" i="16"/>
  <c r="C141" i="16"/>
  <c r="D119" i="16"/>
  <c r="C119" i="16"/>
  <c r="C117" i="16"/>
  <c r="D117" i="16" s="1"/>
  <c r="C115" i="16"/>
  <c r="D115" i="16" s="1"/>
  <c r="C113" i="16"/>
  <c r="D106" i="16"/>
  <c r="D100" i="16"/>
  <c r="C52" i="16"/>
  <c r="C50" i="16"/>
  <c r="C45" i="16"/>
  <c r="C39" i="16"/>
  <c r="C35" i="1"/>
  <c r="B35" i="1"/>
  <c r="E50" i="2" s="1"/>
  <c r="C153" i="15"/>
  <c r="C136" i="15"/>
  <c r="B125" i="15"/>
  <c r="B63" i="15"/>
  <c r="B41" i="15"/>
  <c r="C6" i="14"/>
  <c r="D12" i="14" s="1"/>
  <c r="C5" i="14"/>
  <c r="B161" i="15"/>
  <c r="B156" i="15"/>
  <c r="B150" i="15"/>
  <c r="B151" i="15" s="1"/>
  <c r="B146" i="15"/>
  <c r="B142" i="15"/>
  <c r="B139" i="15"/>
  <c r="B124" i="15"/>
  <c r="B123" i="15"/>
  <c r="B56" i="15"/>
  <c r="B34" i="15"/>
  <c r="B19" i="15"/>
  <c r="B10" i="15"/>
  <c r="B5" i="15"/>
  <c r="B22" i="15" s="1"/>
  <c r="C25" i="15" s="1"/>
  <c r="D51" i="14" s="1"/>
  <c r="C157" i="14"/>
  <c r="C141" i="14"/>
  <c r="D119" i="14"/>
  <c r="C119" i="14"/>
  <c r="C117" i="14"/>
  <c r="D117" i="14" s="1"/>
  <c r="C115" i="14"/>
  <c r="D115" i="14" s="1"/>
  <c r="C113" i="14"/>
  <c r="D106" i="14"/>
  <c r="D100" i="14"/>
  <c r="C52" i="14"/>
  <c r="C50" i="14"/>
  <c r="C45" i="14"/>
  <c r="C39" i="14"/>
  <c r="C157" i="12"/>
  <c r="B121" i="13"/>
  <c r="B61" i="13"/>
  <c r="B41" i="13"/>
  <c r="C6" i="12"/>
  <c r="D12" i="12" s="1"/>
  <c r="B6" i="13" s="1"/>
  <c r="C5" i="12"/>
  <c r="B120" i="13"/>
  <c r="B119" i="13"/>
  <c r="B54" i="13"/>
  <c r="B34" i="13"/>
  <c r="B22" i="13"/>
  <c r="C25" i="13" s="1"/>
  <c r="D51" i="12" s="1"/>
  <c r="B19" i="13"/>
  <c r="B10" i="13"/>
  <c r="B5" i="13"/>
  <c r="B13" i="13" s="1"/>
  <c r="C141" i="12"/>
  <c r="C119" i="12"/>
  <c r="D119" i="12" s="1"/>
  <c r="C117" i="12"/>
  <c r="D117" i="12" s="1"/>
  <c r="C115" i="12"/>
  <c r="D115" i="12" s="1"/>
  <c r="C113" i="12"/>
  <c r="D106" i="12"/>
  <c r="D100" i="12"/>
  <c r="C52" i="12"/>
  <c r="C50" i="12"/>
  <c r="C45" i="12"/>
  <c r="C39" i="12"/>
  <c r="B35" i="5"/>
  <c r="D35" i="5" s="1"/>
  <c r="E35" i="5" s="1"/>
  <c r="D34" i="5"/>
  <c r="E34" i="5" s="1"/>
  <c r="D33" i="5"/>
  <c r="E33" i="5" s="1"/>
  <c r="D32" i="5"/>
  <c r="E32" i="5" s="1"/>
  <c r="D31" i="5"/>
  <c r="E31" i="5" s="1"/>
  <c r="D20" i="5"/>
  <c r="E20" i="5" s="1"/>
  <c r="B25" i="5"/>
  <c r="D25" i="5" s="1"/>
  <c r="E25" i="5" s="1"/>
  <c r="D24" i="5"/>
  <c r="E24" i="5" s="1"/>
  <c r="D23" i="5"/>
  <c r="E23" i="5" s="1"/>
  <c r="D22" i="5"/>
  <c r="E22" i="5" s="1"/>
  <c r="D21" i="5"/>
  <c r="E21" i="5" s="1"/>
  <c r="D19" i="5"/>
  <c r="E19" i="5" s="1"/>
  <c r="D18" i="5"/>
  <c r="E18" i="5" s="1"/>
  <c r="D17" i="5"/>
  <c r="E17" i="5" s="1"/>
  <c r="E46" i="2"/>
  <c r="E45" i="2"/>
  <c r="C29" i="1"/>
  <c r="B29" i="1"/>
  <c r="C35" i="2"/>
  <c r="C36" i="2"/>
  <c r="C38" i="2"/>
  <c r="C45" i="2"/>
  <c r="C46" i="2"/>
  <c r="C42" i="2"/>
  <c r="D158" i="16" l="1"/>
  <c r="D140" i="16" s="1"/>
  <c r="D157" i="16"/>
  <c r="D139" i="16" s="1"/>
  <c r="D52" i="16"/>
  <c r="D158" i="12"/>
  <c r="D140" i="12" s="1"/>
  <c r="D157" i="12"/>
  <c r="D139" i="12" s="1"/>
  <c r="D158" i="14"/>
  <c r="D140" i="14" s="1"/>
  <c r="D157" i="14"/>
  <c r="D139" i="14" s="1"/>
  <c r="C29" i="20"/>
  <c r="B56" i="21"/>
  <c r="B59" i="21" s="1"/>
  <c r="C62" i="21" s="1"/>
  <c r="C63" i="21" s="1"/>
  <c r="D72" i="20" s="1"/>
  <c r="C72" i="20" s="1"/>
  <c r="B36" i="21"/>
  <c r="B39" i="21" s="1"/>
  <c r="C42" i="21" s="1"/>
  <c r="C43" i="21" s="1"/>
  <c r="D69" i="20" s="1"/>
  <c r="C69" i="20" s="1"/>
  <c r="B115" i="21"/>
  <c r="B116" i="21" s="1"/>
  <c r="C122" i="21" s="1"/>
  <c r="B46" i="21"/>
  <c r="C51" i="21" s="1"/>
  <c r="D70" i="20" s="1"/>
  <c r="C70" i="20" s="1"/>
  <c r="B88" i="21"/>
  <c r="C93" i="21" s="1"/>
  <c r="D82" i="20" s="1"/>
  <c r="B96" i="21"/>
  <c r="C101" i="21" s="1"/>
  <c r="D84" i="20" s="1"/>
  <c r="B72" i="21"/>
  <c r="C76" i="21" s="1"/>
  <c r="D80" i="20" s="1"/>
  <c r="B105" i="21"/>
  <c r="B106" i="21" s="1"/>
  <c r="B107" i="21" s="1"/>
  <c r="C112" i="21" s="1"/>
  <c r="D90" i="20" s="1"/>
  <c r="D94" i="20" s="1"/>
  <c r="D102" i="20" s="1"/>
  <c r="B79" i="21"/>
  <c r="C85" i="21" s="1"/>
  <c r="D81" i="20" s="1"/>
  <c r="B28" i="21"/>
  <c r="C31" i="21" s="1"/>
  <c r="D67" i="20" s="1"/>
  <c r="D33" i="20"/>
  <c r="C30" i="20"/>
  <c r="C16" i="17"/>
  <c r="D49" i="16" s="1"/>
  <c r="D50" i="16" s="1"/>
  <c r="D57" i="16" s="1"/>
  <c r="D63" i="16" s="1"/>
  <c r="D14" i="16"/>
  <c r="D23" i="16" s="1"/>
  <c r="C152" i="15"/>
  <c r="C135" i="15"/>
  <c r="B6" i="15"/>
  <c r="C16" i="13"/>
  <c r="D49" i="12" s="1"/>
  <c r="D50" i="12" s="1"/>
  <c r="D52" i="14"/>
  <c r="B162" i="15"/>
  <c r="B163" i="15" s="1"/>
  <c r="B13" i="15"/>
  <c r="D14" i="14"/>
  <c r="D52" i="12"/>
  <c r="D14" i="12"/>
  <c r="D23" i="12" s="1"/>
  <c r="E36" i="5"/>
  <c r="E26" i="5"/>
  <c r="D112" i="10" s="1"/>
  <c r="B121" i="11"/>
  <c r="B61" i="11"/>
  <c r="B41" i="11"/>
  <c r="C6" i="10"/>
  <c r="D12" i="10" s="1"/>
  <c r="B6" i="11" s="1"/>
  <c r="C5" i="10"/>
  <c r="B120" i="11"/>
  <c r="B119" i="11"/>
  <c r="B54" i="11"/>
  <c r="B34" i="11"/>
  <c r="B19" i="11"/>
  <c r="B10" i="11"/>
  <c r="B5" i="11"/>
  <c r="B22" i="11" s="1"/>
  <c r="C25" i="11" s="1"/>
  <c r="D51" i="10" s="1"/>
  <c r="C157" i="10"/>
  <c r="C141" i="10"/>
  <c r="C119" i="10"/>
  <c r="D119" i="10" s="1"/>
  <c r="C117" i="10"/>
  <c r="D117" i="10" s="1"/>
  <c r="D115" i="10"/>
  <c r="C115" i="10"/>
  <c r="C113" i="10"/>
  <c r="D106" i="10"/>
  <c r="D100" i="10"/>
  <c r="C52" i="10"/>
  <c r="C50" i="10"/>
  <c r="C45" i="10"/>
  <c r="C39" i="10"/>
  <c r="B23" i="1"/>
  <c r="E42" i="2" s="1"/>
  <c r="D57" i="12" l="1"/>
  <c r="D63" i="12" s="1"/>
  <c r="C16" i="15"/>
  <c r="D49" i="14" s="1"/>
  <c r="D50" i="14" s="1"/>
  <c r="D57" i="14" s="1"/>
  <c r="D63" i="14" s="1"/>
  <c r="D112" i="12"/>
  <c r="D113" i="12" s="1"/>
  <c r="D120" i="12" s="1"/>
  <c r="D148" i="12" s="1"/>
  <c r="D112" i="14"/>
  <c r="D113" i="14" s="1"/>
  <c r="D120" i="14" s="1"/>
  <c r="D148" i="14" s="1"/>
  <c r="D158" i="10"/>
  <c r="D140" i="10" s="1"/>
  <c r="D157" i="10"/>
  <c r="D139" i="10" s="1"/>
  <c r="D87" i="20"/>
  <c r="D101" i="20" s="1"/>
  <c r="D103" i="20" s="1"/>
  <c r="D105" i="20" s="1"/>
  <c r="D141" i="20" s="1"/>
  <c r="D68" i="20"/>
  <c r="D73" i="20" s="1"/>
  <c r="D140" i="20" s="1"/>
  <c r="C67" i="20"/>
  <c r="D59" i="20"/>
  <c r="D41" i="20"/>
  <c r="D40" i="20"/>
  <c r="D44" i="20"/>
  <c r="D43" i="20"/>
  <c r="D38" i="20"/>
  <c r="D39" i="20"/>
  <c r="D37" i="20"/>
  <c r="D42" i="20"/>
  <c r="B7" i="17"/>
  <c r="B114" i="17"/>
  <c r="B35" i="17"/>
  <c r="B55" i="17"/>
  <c r="D29" i="16"/>
  <c r="D32" i="16"/>
  <c r="D31" i="16"/>
  <c r="D144" i="16"/>
  <c r="B55" i="13"/>
  <c r="B35" i="13"/>
  <c r="B114" i="13"/>
  <c r="B7" i="13"/>
  <c r="D23" i="14"/>
  <c r="D144" i="14" s="1"/>
  <c r="C137" i="15"/>
  <c r="C138" i="15" s="1"/>
  <c r="C141" i="15" s="1"/>
  <c r="C143" i="15" s="1"/>
  <c r="C154" i="15"/>
  <c r="C155" i="15" s="1"/>
  <c r="C158" i="15" s="1"/>
  <c r="C164" i="15" s="1"/>
  <c r="D29" i="12"/>
  <c r="D32" i="12"/>
  <c r="D31" i="12"/>
  <c r="D144" i="12"/>
  <c r="D52" i="10"/>
  <c r="B13" i="11"/>
  <c r="C16" i="11" s="1"/>
  <c r="D49" i="10" s="1"/>
  <c r="D50" i="10" s="1"/>
  <c r="D57" i="10" s="1"/>
  <c r="D63" i="10" s="1"/>
  <c r="D14" i="10"/>
  <c r="D23" i="10" s="1"/>
  <c r="D45" i="20" l="1"/>
  <c r="D60" i="20" s="1"/>
  <c r="D62" i="20" s="1"/>
  <c r="C29" i="16"/>
  <c r="B36" i="17"/>
  <c r="B115" i="17"/>
  <c r="B116" i="17" s="1"/>
  <c r="C122" i="17" s="1"/>
  <c r="B56" i="17"/>
  <c r="C32" i="16"/>
  <c r="B38" i="17"/>
  <c r="B58" i="17"/>
  <c r="D29" i="14"/>
  <c r="C29" i="14" s="1"/>
  <c r="B37" i="17"/>
  <c r="B57" i="17"/>
  <c r="B28" i="17"/>
  <c r="C31" i="17" s="1"/>
  <c r="D69" i="16" s="1"/>
  <c r="B72" i="17"/>
  <c r="C76" i="17" s="1"/>
  <c r="D82" i="16" s="1"/>
  <c r="B96" i="17"/>
  <c r="C101" i="17" s="1"/>
  <c r="D86" i="16" s="1"/>
  <c r="B79" i="17"/>
  <c r="C85" i="17" s="1"/>
  <c r="D83" i="16" s="1"/>
  <c r="B46" i="17"/>
  <c r="C51" i="17" s="1"/>
  <c r="D72" i="16" s="1"/>
  <c r="C72" i="16" s="1"/>
  <c r="B105" i="17"/>
  <c r="B88" i="17"/>
  <c r="C93" i="17" s="1"/>
  <c r="D84" i="16" s="1"/>
  <c r="C31" i="16"/>
  <c r="D30" i="16"/>
  <c r="B37" i="13"/>
  <c r="B57" i="13"/>
  <c r="B59" i="13" s="1"/>
  <c r="C62" i="13" s="1"/>
  <c r="C63" i="13" s="1"/>
  <c r="D74" i="12" s="1"/>
  <c r="C74" i="12" s="1"/>
  <c r="B35" i="11"/>
  <c r="B7" i="11"/>
  <c r="B114" i="11"/>
  <c r="B55" i="11"/>
  <c r="C29" i="12"/>
  <c r="B115" i="13"/>
  <c r="B116" i="13" s="1"/>
  <c r="C122" i="13" s="1"/>
  <c r="B36" i="13"/>
  <c r="B56" i="13"/>
  <c r="B28" i="13"/>
  <c r="C31" i="13" s="1"/>
  <c r="D69" i="12" s="1"/>
  <c r="B79" i="13"/>
  <c r="C85" i="13" s="1"/>
  <c r="D83" i="12" s="1"/>
  <c r="B96" i="13"/>
  <c r="C101" i="13" s="1"/>
  <c r="D86" i="12" s="1"/>
  <c r="B46" i="13"/>
  <c r="C51" i="13" s="1"/>
  <c r="D72" i="12" s="1"/>
  <c r="C72" i="12" s="1"/>
  <c r="B72" i="13"/>
  <c r="C76" i="13" s="1"/>
  <c r="D82" i="12" s="1"/>
  <c r="B105" i="13"/>
  <c r="B106" i="13" s="1"/>
  <c r="B107" i="13" s="1"/>
  <c r="C112" i="13" s="1"/>
  <c r="D92" i="12" s="1"/>
  <c r="D96" i="12" s="1"/>
  <c r="D104" i="12" s="1"/>
  <c r="B88" i="13"/>
  <c r="C93" i="13" s="1"/>
  <c r="D84" i="12" s="1"/>
  <c r="C32" i="12"/>
  <c r="B38" i="13"/>
  <c r="B58" i="13"/>
  <c r="B57" i="15"/>
  <c r="B7" i="15"/>
  <c r="B118" i="15"/>
  <c r="B35" i="15"/>
  <c r="D32" i="14"/>
  <c r="D31" i="14"/>
  <c r="C31" i="12"/>
  <c r="D30" i="12"/>
  <c r="D29" i="10"/>
  <c r="D144" i="10"/>
  <c r="D31" i="10"/>
  <c r="D32" i="10"/>
  <c r="D139" i="20" l="1"/>
  <c r="D143" i="20" s="1"/>
  <c r="D119" i="20"/>
  <c r="D120" i="20" s="1"/>
  <c r="D121" i="20" s="1"/>
  <c r="D122" i="20" s="1"/>
  <c r="D30" i="14"/>
  <c r="C30" i="14" s="1"/>
  <c r="C31" i="14"/>
  <c r="B59" i="17"/>
  <c r="C62" i="17" s="1"/>
  <c r="C63" i="17" s="1"/>
  <c r="D74" i="16" s="1"/>
  <c r="C74" i="16" s="1"/>
  <c r="D89" i="16"/>
  <c r="D103" i="16" s="1"/>
  <c r="B39" i="13"/>
  <c r="C42" i="13" s="1"/>
  <c r="C43" i="13" s="1"/>
  <c r="D71" i="12" s="1"/>
  <c r="C71" i="12" s="1"/>
  <c r="D89" i="12"/>
  <c r="D103" i="12" s="1"/>
  <c r="D105" i="12" s="1"/>
  <c r="D107" i="12" s="1"/>
  <c r="D147" i="12" s="1"/>
  <c r="B106" i="17"/>
  <c r="B107" i="17"/>
  <c r="C112" i="17" s="1"/>
  <c r="D92" i="16" s="1"/>
  <c r="D96" i="16" s="1"/>
  <c r="D104" i="16" s="1"/>
  <c r="B36" i="15"/>
  <c r="B39" i="17"/>
  <c r="C42" i="17" s="1"/>
  <c r="C43" i="17" s="1"/>
  <c r="D71" i="16" s="1"/>
  <c r="C71" i="16" s="1"/>
  <c r="B119" i="15"/>
  <c r="B120" i="15" s="1"/>
  <c r="C126" i="15" s="1"/>
  <c r="D70" i="16"/>
  <c r="C69" i="16"/>
  <c r="B58" i="15"/>
  <c r="C30" i="16"/>
  <c r="D33" i="16"/>
  <c r="B37" i="11"/>
  <c r="B57" i="11"/>
  <c r="B96" i="11"/>
  <c r="C101" i="11" s="1"/>
  <c r="D86" i="10" s="1"/>
  <c r="B88" i="11"/>
  <c r="C93" i="11" s="1"/>
  <c r="D84" i="10" s="1"/>
  <c r="B79" i="11"/>
  <c r="C85" i="11" s="1"/>
  <c r="D83" i="10" s="1"/>
  <c r="B72" i="11"/>
  <c r="C76" i="11" s="1"/>
  <c r="D82" i="10" s="1"/>
  <c r="B28" i="11"/>
  <c r="C31" i="11" s="1"/>
  <c r="D69" i="10" s="1"/>
  <c r="B46" i="11"/>
  <c r="C51" i="11" s="1"/>
  <c r="D72" i="10" s="1"/>
  <c r="C72" i="10" s="1"/>
  <c r="B105" i="11"/>
  <c r="B37" i="15"/>
  <c r="B59" i="15"/>
  <c r="C32" i="14"/>
  <c r="B60" i="15"/>
  <c r="B38" i="15"/>
  <c r="B100" i="15"/>
  <c r="C105" i="15" s="1"/>
  <c r="D86" i="14" s="1"/>
  <c r="B92" i="15"/>
  <c r="C97" i="15" s="1"/>
  <c r="D84" i="14" s="1"/>
  <c r="B48" i="15"/>
  <c r="C53" i="15" s="1"/>
  <c r="D72" i="14" s="1"/>
  <c r="C72" i="14" s="1"/>
  <c r="B109" i="15"/>
  <c r="B110" i="15" s="1"/>
  <c r="B111" i="15" s="1"/>
  <c r="C116" i="15" s="1"/>
  <c r="D92" i="14" s="1"/>
  <c r="D96" i="14" s="1"/>
  <c r="D104" i="14" s="1"/>
  <c r="B76" i="15"/>
  <c r="C80" i="15" s="1"/>
  <c r="D82" i="14" s="1"/>
  <c r="B28" i="15"/>
  <c r="C31" i="15" s="1"/>
  <c r="D69" i="14" s="1"/>
  <c r="B83" i="15"/>
  <c r="C89" i="15" s="1"/>
  <c r="D83" i="14" s="1"/>
  <c r="C32" i="10"/>
  <c r="B38" i="11"/>
  <c r="B58" i="11"/>
  <c r="C29" i="10"/>
  <c r="B115" i="11"/>
  <c r="B116" i="11" s="1"/>
  <c r="C122" i="11" s="1"/>
  <c r="B36" i="11"/>
  <c r="B56" i="11"/>
  <c r="D70" i="12"/>
  <c r="C69" i="12"/>
  <c r="D33" i="12"/>
  <c r="C30" i="12"/>
  <c r="C31" i="10"/>
  <c r="D30" i="10"/>
  <c r="D105" i="16" l="1"/>
  <c r="D107" i="16" s="1"/>
  <c r="D147" i="16" s="1"/>
  <c r="D33" i="14"/>
  <c r="D75" i="16"/>
  <c r="D146" i="16" s="1"/>
  <c r="B59" i="11"/>
  <c r="C62" i="11" s="1"/>
  <c r="C63" i="11" s="1"/>
  <c r="D74" i="10" s="1"/>
  <c r="C74" i="10" s="1"/>
  <c r="D125" i="20"/>
  <c r="D130" i="20"/>
  <c r="D126" i="20"/>
  <c r="D75" i="12"/>
  <c r="D146" i="12" s="1"/>
  <c r="B61" i="15"/>
  <c r="C64" i="15" s="1"/>
  <c r="C67" i="15" s="1"/>
  <c r="D74" i="14" s="1"/>
  <c r="C74" i="14" s="1"/>
  <c r="B39" i="15"/>
  <c r="C42" i="15" s="1"/>
  <c r="C45" i="15" s="1"/>
  <c r="D71" i="14" s="1"/>
  <c r="C71" i="14" s="1"/>
  <c r="D61" i="16"/>
  <c r="D41" i="16"/>
  <c r="D39" i="16"/>
  <c r="D42" i="16"/>
  <c r="D43" i="16"/>
  <c r="D38" i="16"/>
  <c r="D44" i="16"/>
  <c r="D40" i="16"/>
  <c r="D37" i="16"/>
  <c r="B39" i="11"/>
  <c r="C42" i="11" s="1"/>
  <c r="C43" i="11" s="1"/>
  <c r="D71" i="10" s="1"/>
  <c r="C71" i="10" s="1"/>
  <c r="D89" i="14"/>
  <c r="D103" i="14" s="1"/>
  <c r="D105" i="14" s="1"/>
  <c r="D107" i="14" s="1"/>
  <c r="D147" i="14" s="1"/>
  <c r="B106" i="11"/>
  <c r="B107" i="11" s="1"/>
  <c r="C112" i="11" s="1"/>
  <c r="D92" i="10" s="1"/>
  <c r="D96" i="10" s="1"/>
  <c r="D104" i="10" s="1"/>
  <c r="D70" i="14"/>
  <c r="C69" i="14"/>
  <c r="D70" i="10"/>
  <c r="C69" i="10"/>
  <c r="D89" i="10"/>
  <c r="D103" i="10" s="1"/>
  <c r="D61" i="14"/>
  <c r="D41" i="14"/>
  <c r="D37" i="14"/>
  <c r="D38" i="14"/>
  <c r="D43" i="14"/>
  <c r="D39" i="14"/>
  <c r="D44" i="14"/>
  <c r="D40" i="14"/>
  <c r="D42" i="14"/>
  <c r="D61" i="12"/>
  <c r="D40" i="12"/>
  <c r="D41" i="12"/>
  <c r="D39" i="12"/>
  <c r="D43" i="12"/>
  <c r="D38" i="12"/>
  <c r="D37" i="12"/>
  <c r="D44" i="12"/>
  <c r="D42" i="12"/>
  <c r="D33" i="10"/>
  <c r="C30" i="10"/>
  <c r="D75" i="14" l="1"/>
  <c r="D146" i="14" s="1"/>
  <c r="D75" i="10"/>
  <c r="D146" i="10" s="1"/>
  <c r="D45" i="16"/>
  <c r="D62" i="16" s="1"/>
  <c r="D64" i="16" s="1"/>
  <c r="D105" i="10"/>
  <c r="D107" i="10" s="1"/>
  <c r="D147" i="10" s="1"/>
  <c r="D45" i="14"/>
  <c r="D62" i="14" s="1"/>
  <c r="D64" i="14" s="1"/>
  <c r="D45" i="12"/>
  <c r="D62" i="12" s="1"/>
  <c r="D64" i="12" s="1"/>
  <c r="D61" i="10"/>
  <c r="D40" i="10"/>
  <c r="D41" i="10"/>
  <c r="D39" i="10"/>
  <c r="D43" i="10"/>
  <c r="D37" i="10"/>
  <c r="D42" i="10"/>
  <c r="D38" i="10"/>
  <c r="D44" i="10"/>
  <c r="D145" i="16" l="1"/>
  <c r="D145" i="14"/>
  <c r="D149" i="14" s="1"/>
  <c r="D125" i="14"/>
  <c r="D126" i="14" s="1"/>
  <c r="D127" i="14" s="1"/>
  <c r="D128" i="14" s="1"/>
  <c r="D145" i="12"/>
  <c r="D149" i="12" s="1"/>
  <c r="D125" i="12"/>
  <c r="D126" i="12" s="1"/>
  <c r="D127" i="12" s="1"/>
  <c r="D128" i="12" s="1"/>
  <c r="D45" i="10"/>
  <c r="D62" i="10" s="1"/>
  <c r="D64" i="10" s="1"/>
  <c r="D136" i="14" l="1"/>
  <c r="D131" i="14"/>
  <c r="D132" i="14"/>
  <c r="D136" i="12"/>
  <c r="D132" i="12"/>
  <c r="D131" i="12"/>
  <c r="D145" i="10"/>
  <c r="D141" i="14" l="1"/>
  <c r="D150" i="14" s="1"/>
  <c r="D152" i="14" s="1"/>
  <c r="F46" i="2" s="1"/>
  <c r="G46" i="2" s="1"/>
  <c r="H46" i="2" s="1"/>
  <c r="D141" i="12"/>
  <c r="D150" i="12" s="1"/>
  <c r="D152" i="12" s="1"/>
  <c r="F45" i="2" s="1"/>
  <c r="G45" i="2" s="1"/>
  <c r="H45" i="2" s="1"/>
  <c r="H47" i="2" l="1"/>
  <c r="D9" i="5" l="1"/>
  <c r="E9" i="5" s="1"/>
  <c r="D8" i="5"/>
  <c r="E8" i="5" s="1"/>
  <c r="D7" i="5"/>
  <c r="E7" i="5" s="1"/>
  <c r="D6" i="5"/>
  <c r="E6" i="5" s="1"/>
  <c r="D5" i="5"/>
  <c r="E5" i="5" s="1"/>
  <c r="C153" i="7" l="1"/>
  <c r="C136" i="7"/>
  <c r="B125" i="7"/>
  <c r="B63" i="7"/>
  <c r="B41" i="7"/>
  <c r="B161" i="7"/>
  <c r="B156" i="7"/>
  <c r="B150" i="7"/>
  <c r="B151" i="7" s="1"/>
  <c r="B146" i="7"/>
  <c r="B142" i="7"/>
  <c r="B139" i="7"/>
  <c r="B124" i="7"/>
  <c r="B123" i="7"/>
  <c r="B56" i="7"/>
  <c r="B34" i="7"/>
  <c r="B19" i="7"/>
  <c r="B10" i="7"/>
  <c r="B5" i="7"/>
  <c r="B22" i="7" s="1"/>
  <c r="C25" i="7" s="1"/>
  <c r="D51" i="6" s="1"/>
  <c r="C157" i="6"/>
  <c r="C6" i="6"/>
  <c r="D12" i="6" s="1"/>
  <c r="D14" i="6" s="1"/>
  <c r="C154" i="7" s="1"/>
  <c r="C5" i="6"/>
  <c r="C141" i="6"/>
  <c r="C119" i="6"/>
  <c r="D119" i="6" s="1"/>
  <c r="C117" i="6"/>
  <c r="D117" i="6" s="1"/>
  <c r="C115" i="6"/>
  <c r="D115" i="6" s="1"/>
  <c r="C113" i="6"/>
  <c r="D106" i="6"/>
  <c r="D100" i="6"/>
  <c r="C52" i="6"/>
  <c r="C50" i="6"/>
  <c r="C39" i="6"/>
  <c r="C45" i="6" s="1"/>
  <c r="C153" i="9"/>
  <c r="C136" i="9"/>
  <c r="B125" i="9"/>
  <c r="B63" i="9"/>
  <c r="B41" i="9"/>
  <c r="B161" i="9"/>
  <c r="B156" i="9"/>
  <c r="B150" i="9"/>
  <c r="B151" i="9" s="1"/>
  <c r="B146" i="9"/>
  <c r="B142" i="9"/>
  <c r="B139" i="9"/>
  <c r="B124" i="9"/>
  <c r="B123" i="9"/>
  <c r="B56" i="9"/>
  <c r="B34" i="9"/>
  <c r="B19" i="9"/>
  <c r="B10" i="9"/>
  <c r="B5" i="9"/>
  <c r="B22" i="9" s="1"/>
  <c r="C25" i="9" s="1"/>
  <c r="D51" i="8" s="1"/>
  <c r="C6" i="8"/>
  <c r="D12" i="8" s="1"/>
  <c r="D14" i="8" s="1"/>
  <c r="D23" i="8" s="1"/>
  <c r="B35" i="9" s="1"/>
  <c r="C5" i="8"/>
  <c r="C157" i="8"/>
  <c r="C141" i="8"/>
  <c r="C119" i="8"/>
  <c r="D119" i="8" s="1"/>
  <c r="C117" i="8"/>
  <c r="D117" i="8" s="1"/>
  <c r="C115" i="8"/>
  <c r="D115" i="8" s="1"/>
  <c r="C113" i="8"/>
  <c r="D100" i="8"/>
  <c r="D106" i="8" s="1"/>
  <c r="C52" i="8"/>
  <c r="C50" i="8"/>
  <c r="C39" i="8"/>
  <c r="C45" i="8" s="1"/>
  <c r="D52" i="6" l="1"/>
  <c r="B6" i="9"/>
  <c r="B57" i="9"/>
  <c r="B7" i="9"/>
  <c r="B100" i="9" s="1"/>
  <c r="C105" i="9" s="1"/>
  <c r="D86" i="8" s="1"/>
  <c r="B118" i="9"/>
  <c r="C154" i="9"/>
  <c r="C135" i="7"/>
  <c r="C137" i="7"/>
  <c r="C152" i="7"/>
  <c r="C155" i="7" s="1"/>
  <c r="C158" i="7" s="1"/>
  <c r="C135" i="9"/>
  <c r="C137" i="9"/>
  <c r="B6" i="7"/>
  <c r="C152" i="9"/>
  <c r="B162" i="7"/>
  <c r="B163" i="7" s="1"/>
  <c r="B13" i="7"/>
  <c r="B162" i="9"/>
  <c r="B163" i="9" s="1"/>
  <c r="B13" i="9"/>
  <c r="B109" i="9"/>
  <c r="B76" i="9"/>
  <c r="C80" i="9" s="1"/>
  <c r="D82" i="8" s="1"/>
  <c r="B48" i="9"/>
  <c r="C53" i="9" s="1"/>
  <c r="D72" i="8" s="1"/>
  <c r="C72" i="8" s="1"/>
  <c r="B28" i="9"/>
  <c r="C31" i="9" s="1"/>
  <c r="D69" i="8" s="1"/>
  <c r="D70" i="8" s="1"/>
  <c r="D52" i="8"/>
  <c r="D31" i="8"/>
  <c r="D144" i="8"/>
  <c r="D29" i="8"/>
  <c r="D32" i="8"/>
  <c r="C16" i="9" l="1"/>
  <c r="D49" i="8" s="1"/>
  <c r="D50" i="8" s="1"/>
  <c r="B83" i="9"/>
  <c r="C89" i="9" s="1"/>
  <c r="D83" i="8" s="1"/>
  <c r="B92" i="9"/>
  <c r="C97" i="9" s="1"/>
  <c r="D84" i="8" s="1"/>
  <c r="C164" i="7"/>
  <c r="D16" i="6" s="1"/>
  <c r="C69" i="8"/>
  <c r="C155" i="9"/>
  <c r="C158" i="9" s="1"/>
  <c r="C164" i="9" s="1"/>
  <c r="C138" i="9"/>
  <c r="C141" i="9" s="1"/>
  <c r="C143" i="9" s="1"/>
  <c r="C138" i="7"/>
  <c r="C141" i="7" s="1"/>
  <c r="C143" i="7" s="1"/>
  <c r="D15" i="6" s="1"/>
  <c r="D23" i="6" s="1"/>
  <c r="C32" i="8"/>
  <c r="B38" i="9"/>
  <c r="B60" i="9"/>
  <c r="C29" i="8"/>
  <c r="B36" i="9"/>
  <c r="B119" i="9"/>
  <c r="B120" i="9" s="1"/>
  <c r="C126" i="9" s="1"/>
  <c r="B58" i="9"/>
  <c r="B37" i="9"/>
  <c r="B59" i="9"/>
  <c r="C16" i="7"/>
  <c r="D49" i="6" s="1"/>
  <c r="D50" i="6" s="1"/>
  <c r="D57" i="6" s="1"/>
  <c r="D63" i="6" s="1"/>
  <c r="B110" i="9"/>
  <c r="B111" i="9" s="1"/>
  <c r="C116" i="9" s="1"/>
  <c r="D92" i="8" s="1"/>
  <c r="D96" i="8" s="1"/>
  <c r="D104" i="8" s="1"/>
  <c r="D30" i="8"/>
  <c r="C31" i="8"/>
  <c r="D57" i="8" l="1"/>
  <c r="D63" i="8" s="1"/>
  <c r="D89" i="8"/>
  <c r="D103" i="8" s="1"/>
  <c r="D105" i="8" s="1"/>
  <c r="D107" i="8" s="1"/>
  <c r="D147" i="8" s="1"/>
  <c r="B39" i="9"/>
  <c r="C42" i="9" s="1"/>
  <c r="C45" i="9" s="1"/>
  <c r="D71" i="8" s="1"/>
  <c r="C71" i="8" s="1"/>
  <c r="D144" i="6"/>
  <c r="D31" i="6"/>
  <c r="D32" i="6"/>
  <c r="D29" i="6"/>
  <c r="B118" i="7"/>
  <c r="B35" i="7"/>
  <c r="B57" i="7"/>
  <c r="B61" i="9"/>
  <c r="C64" i="9" s="1"/>
  <c r="C67" i="9" s="1"/>
  <c r="D74" i="8" s="1"/>
  <c r="C74" i="8" s="1"/>
  <c r="B7" i="7"/>
  <c r="B92" i="7" s="1"/>
  <c r="C97" i="7" s="1"/>
  <c r="D84" i="6" s="1"/>
  <c r="C30" i="8"/>
  <c r="D33" i="8"/>
  <c r="B83" i="7" l="1"/>
  <c r="C89" i="7" s="1"/>
  <c r="D83" i="6" s="1"/>
  <c r="B100" i="7"/>
  <c r="C105" i="7" s="1"/>
  <c r="D86" i="6" s="1"/>
  <c r="C31" i="6"/>
  <c r="B59" i="7"/>
  <c r="B37" i="7"/>
  <c r="D30" i="6"/>
  <c r="B58" i="7"/>
  <c r="B36" i="7"/>
  <c r="B119" i="7"/>
  <c r="B120" i="7" s="1"/>
  <c r="C126" i="7" s="1"/>
  <c r="C29" i="6"/>
  <c r="B28" i="7"/>
  <c r="C31" i="7" s="1"/>
  <c r="D69" i="6" s="1"/>
  <c r="D70" i="6" s="1"/>
  <c r="B48" i="7"/>
  <c r="C53" i="7" s="1"/>
  <c r="D72" i="6" s="1"/>
  <c r="C72" i="6" s="1"/>
  <c r="B109" i="7"/>
  <c r="B110" i="7" s="1"/>
  <c r="B111" i="7" s="1"/>
  <c r="C116" i="7" s="1"/>
  <c r="D92" i="6" s="1"/>
  <c r="D96" i="6" s="1"/>
  <c r="D104" i="6" s="1"/>
  <c r="B76" i="7"/>
  <c r="C80" i="7" s="1"/>
  <c r="D82" i="6" s="1"/>
  <c r="C32" i="6"/>
  <c r="B38" i="7"/>
  <c r="B60" i="7"/>
  <c r="D75" i="8"/>
  <c r="D146" i="8" s="1"/>
  <c r="D61" i="8"/>
  <c r="D37" i="8"/>
  <c r="D40" i="8"/>
  <c r="D43" i="8"/>
  <c r="D42" i="8"/>
  <c r="D41" i="8"/>
  <c r="D39" i="8"/>
  <c r="D38" i="8"/>
  <c r="D44" i="8"/>
  <c r="D89" i="6" l="1"/>
  <c r="D103" i="6" s="1"/>
  <c r="B61" i="7"/>
  <c r="C64" i="7" s="1"/>
  <c r="C67" i="7" s="1"/>
  <c r="D74" i="6" s="1"/>
  <c r="C74" i="6" s="1"/>
  <c r="B39" i="7"/>
  <c r="C42" i="7" s="1"/>
  <c r="C45" i="7" s="1"/>
  <c r="D71" i="6" s="1"/>
  <c r="C71" i="6" s="1"/>
  <c r="D105" i="6"/>
  <c r="D107" i="6" s="1"/>
  <c r="D147" i="6" s="1"/>
  <c r="C69" i="6"/>
  <c r="D33" i="6"/>
  <c r="C30" i="6"/>
  <c r="D45" i="8"/>
  <c r="D62" i="8" s="1"/>
  <c r="D64" i="8" s="1"/>
  <c r="D75" i="6" l="1"/>
  <c r="D146" i="6" s="1"/>
  <c r="D40" i="6"/>
  <c r="D37" i="6"/>
  <c r="D38" i="6"/>
  <c r="D41" i="6"/>
  <c r="D43" i="6"/>
  <c r="D44" i="6"/>
  <c r="D61" i="6"/>
  <c r="D39" i="6"/>
  <c r="D42" i="6"/>
  <c r="D145" i="8"/>
  <c r="D45" i="6" l="1"/>
  <c r="D62" i="6" s="1"/>
  <c r="D64" i="6"/>
  <c r="D145" i="6" l="1"/>
  <c r="C16" i="1" l="1"/>
  <c r="E36" i="2" s="1"/>
  <c r="C157" i="3" l="1"/>
  <c r="E35" i="2" l="1"/>
  <c r="D16" i="1"/>
  <c r="D158" i="6" s="1"/>
  <c r="D140" i="6" s="1"/>
  <c r="D158" i="24" l="1"/>
  <c r="D140" i="24" s="1"/>
  <c r="D157" i="24"/>
  <c r="D139" i="24" s="1"/>
  <c r="D151" i="20"/>
  <c r="D133" i="20" s="1"/>
  <c r="D158" i="3"/>
  <c r="D140" i="3" s="1"/>
  <c r="D152" i="20"/>
  <c r="D134" i="20" s="1"/>
  <c r="D157" i="6"/>
  <c r="D139" i="6" s="1"/>
  <c r="D157" i="3"/>
  <c r="D139" i="3" s="1"/>
  <c r="D157" i="8"/>
  <c r="D139" i="8" s="1"/>
  <c r="D158" i="8"/>
  <c r="D140" i="8" s="1"/>
  <c r="B11" i="5"/>
  <c r="D11" i="5" s="1"/>
  <c r="E11" i="5" s="1"/>
  <c r="B120" i="4"/>
  <c r="B119" i="4"/>
  <c r="D135" i="20" l="1"/>
  <c r="D144" i="20" s="1"/>
  <c r="D146" i="20" s="1"/>
  <c r="F54" i="2" s="1"/>
  <c r="G54" i="2" s="1"/>
  <c r="H54" i="2" s="1"/>
  <c r="H56" i="2" l="1"/>
  <c r="D10" i="5"/>
  <c r="E10" i="5" s="1"/>
  <c r="D4" i="5"/>
  <c r="E4" i="5" s="1"/>
  <c r="D3" i="5"/>
  <c r="E3" i="5" s="1"/>
  <c r="E12" i="5" l="1"/>
  <c r="D112" i="24" s="1"/>
  <c r="D113" i="24" s="1"/>
  <c r="D120" i="24" s="1"/>
  <c r="D148" i="24" l="1"/>
  <c r="D149" i="24" s="1"/>
  <c r="D125" i="24"/>
  <c r="D126" i="24" s="1"/>
  <c r="D127" i="24" s="1"/>
  <c r="D128" i="24" s="1"/>
  <c r="D113" i="10"/>
  <c r="D120" i="10" s="1"/>
  <c r="D148" i="10" s="1"/>
  <c r="D149" i="10" s="1"/>
  <c r="D112" i="6"/>
  <c r="D113" i="6" s="1"/>
  <c r="D120" i="6" s="1"/>
  <c r="D112" i="16"/>
  <c r="D113" i="16" s="1"/>
  <c r="D120" i="16" s="1"/>
  <c r="D112" i="3"/>
  <c r="D112" i="8"/>
  <c r="D113" i="8" s="1"/>
  <c r="D120" i="8" s="1"/>
  <c r="C5" i="3"/>
  <c r="D125" i="10" l="1"/>
  <c r="D126" i="10" s="1"/>
  <c r="D127" i="10" s="1"/>
  <c r="D128" i="10" s="1"/>
  <c r="D132" i="24"/>
  <c r="D136" i="24"/>
  <c r="D131" i="24"/>
  <c r="D148" i="6"/>
  <c r="D149" i="6" s="1"/>
  <c r="D125" i="6"/>
  <c r="D126" i="6" s="1"/>
  <c r="D127" i="6" s="1"/>
  <c r="D128" i="6" s="1"/>
  <c r="D148" i="16"/>
  <c r="D149" i="16" s="1"/>
  <c r="D125" i="16"/>
  <c r="D126" i="16" s="1"/>
  <c r="D127" i="16" s="1"/>
  <c r="D128" i="16" s="1"/>
  <c r="D136" i="10"/>
  <c r="D132" i="10"/>
  <c r="D131" i="10"/>
  <c r="D148" i="8"/>
  <c r="D149" i="8" s="1"/>
  <c r="D125" i="8"/>
  <c r="D126" i="8" s="1"/>
  <c r="D127" i="8" s="1"/>
  <c r="D128" i="8" s="1"/>
  <c r="B61" i="4"/>
  <c r="B41" i="4"/>
  <c r="C6" i="3"/>
  <c r="D12" i="3" s="1"/>
  <c r="B6" i="4" s="1"/>
  <c r="B54" i="4"/>
  <c r="B34" i="4"/>
  <c r="B19" i="4"/>
  <c r="B10" i="4"/>
  <c r="B5" i="4"/>
  <c r="B22" i="4" s="1"/>
  <c r="C25" i="4" s="1"/>
  <c r="D51" i="3" s="1"/>
  <c r="C141" i="3"/>
  <c r="C119" i="3"/>
  <c r="D119" i="3" s="1"/>
  <c r="C117" i="3"/>
  <c r="D117" i="3" s="1"/>
  <c r="C115" i="3"/>
  <c r="D115" i="3" s="1"/>
  <c r="C113" i="3"/>
  <c r="D100" i="3"/>
  <c r="D106" i="3" s="1"/>
  <c r="C52" i="3"/>
  <c r="C50" i="3"/>
  <c r="C39" i="3"/>
  <c r="C45" i="3" s="1"/>
  <c r="B121" i="4" s="1"/>
  <c r="D141" i="24" l="1"/>
  <c r="D150" i="24" s="1"/>
  <c r="D152" i="24" s="1"/>
  <c r="F38" i="2" s="1"/>
  <c r="D132" i="16"/>
  <c r="D131" i="16"/>
  <c r="D136" i="16"/>
  <c r="D132" i="6"/>
  <c r="D131" i="6"/>
  <c r="D136" i="6"/>
  <c r="D141" i="10"/>
  <c r="D150" i="10" s="1"/>
  <c r="D152" i="10" s="1"/>
  <c r="F42" i="2" s="1"/>
  <c r="G42" i="2" s="1"/>
  <c r="H42" i="2" s="1"/>
  <c r="D131" i="8"/>
  <c r="D136" i="8"/>
  <c r="D132" i="8"/>
  <c r="B13" i="4"/>
  <c r="D52" i="3"/>
  <c r="C16" i="4"/>
  <c r="D49" i="3" s="1"/>
  <c r="D113" i="3"/>
  <c r="D120" i="3" s="1"/>
  <c r="D148" i="3" s="1"/>
  <c r="D14" i="3"/>
  <c r="D23" i="3" s="1"/>
  <c r="D141" i="6" l="1"/>
  <c r="D150" i="6" s="1"/>
  <c r="D152" i="6" s="1"/>
  <c r="D141" i="16"/>
  <c r="D150" i="16" s="1"/>
  <c r="D152" i="16" s="1"/>
  <c r="F50" i="2" s="1"/>
  <c r="G50" i="2" s="1"/>
  <c r="H50" i="2" s="1"/>
  <c r="D141" i="8"/>
  <c r="D150" i="8" s="1"/>
  <c r="D152" i="8" s="1"/>
  <c r="F36" i="2" s="1"/>
  <c r="G36" i="2" s="1"/>
  <c r="H36" i="2" s="1"/>
  <c r="B35" i="4"/>
  <c r="B7" i="4"/>
  <c r="B114" i="4"/>
  <c r="B55" i="4"/>
  <c r="D50" i="3"/>
  <c r="D57" i="3" s="1"/>
  <c r="D63" i="3" s="1"/>
  <c r="D32" i="3"/>
  <c r="D31" i="3"/>
  <c r="D29" i="3"/>
  <c r="D144" i="3"/>
  <c r="G38" i="2" l="1"/>
  <c r="H38" i="2" s="1"/>
  <c r="F37" i="2"/>
  <c r="G37" i="2" s="1"/>
  <c r="H37" i="2" s="1"/>
  <c r="H51" i="2"/>
  <c r="B38" i="4"/>
  <c r="B58" i="4"/>
  <c r="B56" i="4"/>
  <c r="B36" i="4"/>
  <c r="B115" i="4"/>
  <c r="B116" i="4" s="1"/>
  <c r="B96" i="4"/>
  <c r="C101" i="4" s="1"/>
  <c r="D86" i="3" s="1"/>
  <c r="B105" i="4"/>
  <c r="B106" i="4" s="1"/>
  <c r="B107" i="4" s="1"/>
  <c r="C112" i="4" s="1"/>
  <c r="D92" i="3" s="1"/>
  <c r="D96" i="3" s="1"/>
  <c r="D104" i="3" s="1"/>
  <c r="B46" i="4"/>
  <c r="C51" i="4" s="1"/>
  <c r="D72" i="3" s="1"/>
  <c r="C72" i="3" s="1"/>
  <c r="B88" i="4"/>
  <c r="C93" i="4" s="1"/>
  <c r="D84" i="3" s="1"/>
  <c r="B28" i="4"/>
  <c r="C31" i="4" s="1"/>
  <c r="D69" i="3" s="1"/>
  <c r="B72" i="4"/>
  <c r="C76" i="4" s="1"/>
  <c r="D82" i="3" s="1"/>
  <c r="B79" i="4"/>
  <c r="C85" i="4" s="1"/>
  <c r="D83" i="3" s="1"/>
  <c r="B37" i="4"/>
  <c r="B57" i="4"/>
  <c r="C31" i="3"/>
  <c r="D30" i="3"/>
  <c r="C29" i="3"/>
  <c r="C32" i="3"/>
  <c r="B39" i="4" l="1"/>
  <c r="B59" i="4"/>
  <c r="D89" i="3"/>
  <c r="D103" i="3" s="1"/>
  <c r="D105" i="3" s="1"/>
  <c r="D107" i="3" s="1"/>
  <c r="D147" i="3" s="1"/>
  <c r="D70" i="3"/>
  <c r="C69" i="3"/>
  <c r="C30" i="3"/>
  <c r="D33" i="3"/>
  <c r="D61" i="3" l="1"/>
  <c r="D43" i="3"/>
  <c r="D42" i="3"/>
  <c r="D37" i="3"/>
  <c r="D41" i="3"/>
  <c r="D38" i="3"/>
  <c r="D39" i="3"/>
  <c r="D44" i="3"/>
  <c r="D40" i="3"/>
  <c r="D45" i="3" l="1"/>
  <c r="D62" i="3" s="1"/>
  <c r="D64" i="3" s="1"/>
  <c r="D145" i="3" l="1"/>
  <c r="C62" i="4" l="1"/>
  <c r="C63" i="4" s="1"/>
  <c r="D74" i="3" s="1"/>
  <c r="C42" i="4"/>
  <c r="C43" i="4" s="1"/>
  <c r="C122" i="4"/>
  <c r="D71" i="3" l="1"/>
  <c r="D75" i="3" s="1"/>
  <c r="C74" i="3"/>
  <c r="C71" i="3" l="1"/>
  <c r="D146" i="3"/>
  <c r="D149" i="3" s="1"/>
  <c r="D125" i="3"/>
  <c r="D126" i="3" s="1"/>
  <c r="D127" i="3" s="1"/>
  <c r="D128" i="3" s="1"/>
  <c r="D136" i="3" l="1"/>
  <c r="D131" i="3"/>
  <c r="D132" i="3"/>
  <c r="D141" i="3" l="1"/>
  <c r="D150" i="3" s="1"/>
  <c r="D152" i="3" s="1"/>
  <c r="F35" i="2" s="1"/>
  <c r="G35" i="2" s="1"/>
  <c r="H35" i="2" s="1"/>
  <c r="H39" i="2" l="1"/>
  <c r="H58" i="2" l="1"/>
</calcChain>
</file>

<file path=xl/sharedStrings.xml><?xml version="1.0" encoding="utf-8"?>
<sst xmlns="http://schemas.openxmlformats.org/spreadsheetml/2006/main" count="3705" uniqueCount="476">
  <si>
    <t>CATSER</t>
  </si>
  <si>
    <t>CBO</t>
  </si>
  <si>
    <t>Processo Administrativo nº.</t>
  </si>
  <si>
    <t>Licitação nº.</t>
  </si>
  <si>
    <t>Dia ___/___/_____ às ___:___ horas</t>
  </si>
  <si>
    <t> Discriminação dos Serviços (dados referentes à contratação)</t>
  </si>
  <si>
    <t>A</t>
  </si>
  <si>
    <t xml:space="preserve">Data de apresentação da proposta (dia/mês/ano) </t>
  </si>
  <si>
    <t>B</t>
  </si>
  <si>
    <t xml:space="preserve">Município/UF </t>
  </si>
  <si>
    <t>Rio de Janeiro/RJ</t>
  </si>
  <si>
    <t>C</t>
  </si>
  <si>
    <t>Ano Acordo, Convenção ou Sentença Normativa em Dissídio Coletivo</t>
  </si>
  <si>
    <t>D</t>
  </si>
  <si>
    <t>Nº de meses de execução contratual</t>
  </si>
  <si>
    <t>CATEGORIA / CARGO</t>
  </si>
  <si>
    <t>Custos com mão de obra</t>
  </si>
  <si>
    <r>
      <t xml:space="preserve">PISO SALARIAL </t>
    </r>
    <r>
      <rPr>
        <b/>
        <vertAlign val="superscript"/>
        <sz val="8"/>
        <rFont val="Spranq eco sans"/>
        <family val="2"/>
      </rPr>
      <t>(*)</t>
    </r>
  </si>
  <si>
    <t>PLANILHA DE CUSTOS E FORMAÇÃO DE PREÇOS - MÃO DE OBRA</t>
  </si>
  <si>
    <t>Dados para composição dos custos referentes a mão de obra</t>
  </si>
  <si>
    <t>Tipo de Serviço:</t>
  </si>
  <si>
    <t>Classificação Brasileira de Ocupações (CBO)</t>
  </si>
  <si>
    <t>Salário Normativo da Categoria Profissional</t>
  </si>
  <si>
    <t xml:space="preserve">Categoria Profissional </t>
  </si>
  <si>
    <t>Trabalhadores nas Empresas de Asseio e Conservação</t>
  </si>
  <si>
    <t xml:space="preserve">Data-Base da Categoria (dia/mês/ano) </t>
  </si>
  <si>
    <t>Módulo 1 - Composição da Remuneração</t>
  </si>
  <si>
    <t>Composição da Remuneração</t>
  </si>
  <si>
    <t>%</t>
  </si>
  <si>
    <t>Valor (R$)</t>
  </si>
  <si>
    <t>Salário-Base</t>
  </si>
  <si>
    <t>Adicional de Periculosidade</t>
  </si>
  <si>
    <t>Adicional de Insalubridade</t>
  </si>
  <si>
    <t>Adicional Noturno</t>
  </si>
  <si>
    <t>E</t>
  </si>
  <si>
    <t>Adicional de Hora Noturna Reduzida</t>
  </si>
  <si>
    <t>F</t>
  </si>
  <si>
    <t>DSR sobre o Adicional Noturno</t>
  </si>
  <si>
    <t>G</t>
  </si>
  <si>
    <t>Adicional de Hora Extra no Feriado Trabalhado</t>
  </si>
  <si>
    <t>H</t>
  </si>
  <si>
    <t>DSR sobre a Hora Extra no Feriado Trabalhado</t>
  </si>
  <si>
    <t>I</t>
  </si>
  <si>
    <t>Adicional de Liderança / Gratificação de Encarregado</t>
  </si>
  <si>
    <t>J</t>
  </si>
  <si>
    <t>Intervalo Intrajornada (caso o empregado trabalhe no periodo destinado)</t>
  </si>
  <si>
    <t>K</t>
  </si>
  <si>
    <t>Outros (especificar)</t>
  </si>
  <si>
    <t>TOTAL</t>
  </si>
  <si>
    <t>Módulo 2 - Encargos e Benefícios Anuais, Mensais e Diários</t>
  </si>
  <si>
    <t>Sub-Módulo 2.1 - 13º Salário, Férias e Adicional de Férias</t>
  </si>
  <si>
    <t>2.1</t>
  </si>
  <si>
    <t>13º Salário, Férias e Adicional de Férias</t>
  </si>
  <si>
    <t>13º Salário</t>
  </si>
  <si>
    <t>Férias e Adicional de Férias</t>
  </si>
  <si>
    <t>B.1</t>
  </si>
  <si>
    <t xml:space="preserve">Férias </t>
  </si>
  <si>
    <t>B.2</t>
  </si>
  <si>
    <t>Adicional de Férias</t>
  </si>
  <si>
    <t>Sub-Módulo 2.2 - Encargos Previdenciários (GPS), Fundo de Garantia por Tempo de Serviço (FGTS) e outras contribuições</t>
  </si>
  <si>
    <t>2.2</t>
  </si>
  <si>
    <t>GPS, FGTS e outras contribuições</t>
  </si>
  <si>
    <t>INSS</t>
  </si>
  <si>
    <t>Salário Educação</t>
  </si>
  <si>
    <t>SAT (Risco ambiental do trabalho)</t>
  </si>
  <si>
    <t>SESC ou SESI</t>
  </si>
  <si>
    <t>SENAI - SENAC</t>
  </si>
  <si>
    <t>SEBRAE</t>
  </si>
  <si>
    <t>INCRA</t>
  </si>
  <si>
    <t>FGTS</t>
  </si>
  <si>
    <t>Sub-Módulo 2.3 - Benefícios Mensais e Diários</t>
  </si>
  <si>
    <t>2.3</t>
  </si>
  <si>
    <t>Benefícios Mensais e Diários</t>
  </si>
  <si>
    <t>Transporte</t>
  </si>
  <si>
    <t>A.1</t>
  </si>
  <si>
    <t>Crédito PIS/COFINS</t>
  </si>
  <si>
    <t>Auxílio-Refeição/Alimentação</t>
  </si>
  <si>
    <t>Assistência Médica e Familiar</t>
  </si>
  <si>
    <t>C.1</t>
  </si>
  <si>
    <t>D.1</t>
  </si>
  <si>
    <t>Outros (Seguro de Vida / Invalidez / Auxílio Funeral)</t>
  </si>
  <si>
    <t>Quadro 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</si>
  <si>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</si>
  <si>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</si>
  <si>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</si>
  <si>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Aviso-Prévio Indenizado</t>
  </si>
  <si>
    <t>Incidência do FGTS sobre o Aviso-Prévio Indenizado</t>
  </si>
  <si>
    <t>Multa sobre FGTS e contribuição social sobre o Aviso Prévio Indenizado</t>
  </si>
  <si>
    <t>Aviso-Prévio Trabalhado</t>
  </si>
  <si>
    <t>Incidência dos encargos do módulo 2.2 sobre o Aviso-Prévio Trabalhado</t>
  </si>
  <si>
    <t>Multa do FGTS e contribuição social sobre o Aviso-Prévio Trabalhado</t>
  </si>
  <si>
    <t>Módulo 4 - Custo de Reposição do Profissional Ausente</t>
  </si>
  <si>
    <t>Sub-Módulo 4.1 - Ausências Legais</t>
  </si>
  <si>
    <t>4.1</t>
  </si>
  <si>
    <t>Ausências Legais</t>
  </si>
  <si>
    <t>Férias</t>
  </si>
  <si>
    <t>Licença Paternidade</t>
  </si>
  <si>
    <t xml:space="preserve">Ausência por acidente de trabalho </t>
  </si>
  <si>
    <t>Ausência por Doença</t>
  </si>
  <si>
    <t xml:space="preserve">Incidência dos encargos do módulo 2.2 sobre o Módulo </t>
  </si>
  <si>
    <t>4.1.1</t>
  </si>
  <si>
    <t>Afastamento Maternidade (120 dias)</t>
  </si>
  <si>
    <t>Férias pagas ao Substituto pelos 120 dias de Reposição</t>
  </si>
  <si>
    <t>Incidência dos encargos do módulo 2.2 sobre as Férias pagas ao Subistituto pelos 120 dias de Reposição</t>
  </si>
  <si>
    <t>Incidência dos encargos do módulo 2.2 sobre a Remuneração e o 13 salário proporcionais aos 120 dias de Reposição</t>
  </si>
  <si>
    <t>4.2</t>
  </si>
  <si>
    <t>Intervalo Intrajornada</t>
  </si>
  <si>
    <r>
      <t xml:space="preserve">Intervalo de repouso e alimentação (somente se houver cobertura do profissional no período de intervalo para repouso e alimentação) </t>
    </r>
    <r>
      <rPr>
        <vertAlign val="superscript"/>
        <sz val="10"/>
        <color theme="1"/>
        <rFont val="Spranq eco sans"/>
        <family val="2"/>
      </rPr>
      <t>(2)</t>
    </r>
  </si>
  <si>
    <t>Quadro-Resumo do Módulo 4 - Custo de Reposição do Profissional Ausente</t>
  </si>
  <si>
    <t>Total das Ausências Legais</t>
  </si>
  <si>
    <t>Módulo 5 - Insumos Diversos</t>
  </si>
  <si>
    <t>Insumos Diversos</t>
  </si>
  <si>
    <t>Uniformes</t>
  </si>
  <si>
    <t>Materiais</t>
  </si>
  <si>
    <t>Equipamentos</t>
  </si>
  <si>
    <t>Módulo 6 - Custos Indiretos, Tributos e Lucro</t>
  </si>
  <si>
    <t>Custos Indiretos, Tributos e Lucro</t>
  </si>
  <si>
    <t>Custos Indiretos</t>
  </si>
  <si>
    <t>Lucro</t>
  </si>
  <si>
    <t>Valor líquido mensal dos serviços (sem os tributos)</t>
  </si>
  <si>
    <t>Valor mensal dos serviços (incluindo os tributos) - Base para o cálculo dos tributos</t>
  </si>
  <si>
    <t>Tributos</t>
  </si>
  <si>
    <t>Tributos Federais</t>
  </si>
  <si>
    <t>C.1.1</t>
  </si>
  <si>
    <t>PIS</t>
  </si>
  <si>
    <t>C.1.2</t>
  </si>
  <si>
    <t>COFINS</t>
  </si>
  <si>
    <t>C.2</t>
  </si>
  <si>
    <t>Tributos Estaduais</t>
  </si>
  <si>
    <t>C.2.1</t>
  </si>
  <si>
    <t>ICMS</t>
  </si>
  <si>
    <t>C.3</t>
  </si>
  <si>
    <t>Tributos Municipais</t>
  </si>
  <si>
    <t>C.3.1</t>
  </si>
  <si>
    <t>ISS</t>
  </si>
  <si>
    <t>C.4</t>
  </si>
  <si>
    <t>Outros Tributos (especificar)</t>
  </si>
  <si>
    <t>QUADRO RESUMO DO CUSTO POR EMPREGADO</t>
  </si>
  <si>
    <t>MÓDULO 1 - Composição da Remuneração</t>
  </si>
  <si>
    <t xml:space="preserve">B </t>
  </si>
  <si>
    <t>MÓDULO 2 - Encargos e Benefícios Anuais, Mensais e Diários</t>
  </si>
  <si>
    <t>MÓDULO 3 - Provisão para Rescisão</t>
  </si>
  <si>
    <t>MÓDULO 4 - Custo da Reposição do Profissional Ausente</t>
  </si>
  <si>
    <t>MÓDULO 5 - Insumos Diversos</t>
  </si>
  <si>
    <t>A + B + C + D + E</t>
  </si>
  <si>
    <t>MÓDULO 6 - Custos indiretos, Lucro e Tributos</t>
  </si>
  <si>
    <t>VALOR TOTAL POR EMPREGADO</t>
  </si>
  <si>
    <t>Divisor de Horas no mês</t>
  </si>
  <si>
    <t>Total de Dias do Ano</t>
  </si>
  <si>
    <t>Total de Dias Trabalhados no Mês por empregado</t>
  </si>
  <si>
    <t>Total da Remuneração (Módulo 1)</t>
  </si>
  <si>
    <t>Memória de Cálculo Vale Transporte (Módulo 2)</t>
  </si>
  <si>
    <t xml:space="preserve">Total de Dias do Ano </t>
  </si>
  <si>
    <t>Número de Meses</t>
  </si>
  <si>
    <t xml:space="preserve">% de Funcionários Trabalhando </t>
  </si>
  <si>
    <t>Número de Vales Transportes / mês</t>
  </si>
  <si>
    <t>Valor da Tarifa Modal</t>
  </si>
  <si>
    <t>Desconto legal sobre o valor do salário</t>
  </si>
  <si>
    <t>Valor do Vale Transporte</t>
  </si>
  <si>
    <t>Memória de Cálculo Vale Alimentação (Módulo 2)</t>
  </si>
  <si>
    <t>Valor do Vale Alimentação / Refeição</t>
  </si>
  <si>
    <t xml:space="preserve">Desconto legal </t>
  </si>
  <si>
    <t>Memória de Cálculo Aviso Prévio Indenizado (Módulo 3)</t>
  </si>
  <si>
    <t>Total da Remuneração</t>
  </si>
  <si>
    <t>Número de Meses do Ano</t>
  </si>
  <si>
    <t>Porcentagem de dispensa sem justa causa com Aviso Prévio Indenizado</t>
  </si>
  <si>
    <t>Valor do Aviso Prévio Indenizado</t>
  </si>
  <si>
    <t>Memória de Cálculo Multa FGTS e Contribuição Social sobre o Aviso Prévio Indenizado (Módulo 3)</t>
  </si>
  <si>
    <t>Porcentagem de dispensas sem justa Causa Com Aviso Prévio Indenizado</t>
  </si>
  <si>
    <t>Total de Remuneração</t>
  </si>
  <si>
    <t>Base de Cálculo</t>
  </si>
  <si>
    <t>Multa sobre FGTS</t>
  </si>
  <si>
    <t>Alíquiota mensal de Recolhimento do FGTS</t>
  </si>
  <si>
    <t>Valor da Multa FGTS sobre Aviso Prévio Indenizado</t>
  </si>
  <si>
    <t xml:space="preserve">Valor da Multa FGTS e Contribuição Social sobre o Aviso Prévio Indenizado </t>
  </si>
  <si>
    <t>Memória de Cálculo Aviso Prévio Trabalhado (Módulo 3)</t>
  </si>
  <si>
    <t>Dias do Mês</t>
  </si>
  <si>
    <t>Número de dias de redução de jornada</t>
  </si>
  <si>
    <t>Porcentagem de dispensa sem justa causa com Aviso Prévio Trabalhado</t>
  </si>
  <si>
    <t>Valor do Aviso Prévio Trabalhado</t>
  </si>
  <si>
    <t>Memória de Cálculo Multa FGTS e Contribuição Social sobre o Aviso Prévio Trabalhado (Módulo 3)</t>
  </si>
  <si>
    <t>Porcentagem de dispensas sem justa Causa Com Aviso Prévio Trabalhado</t>
  </si>
  <si>
    <t>Valor da Multa FGTS e Contribuição Social sobre o Aviso Prévio Trabalhado</t>
  </si>
  <si>
    <t>Memória de Cálculo Férias (Módulo 4)</t>
  </si>
  <si>
    <t>Considerando que o valor pago ao substituto durante as férias do empregado já consta na remuneração (Módulo 1) e que o valor pago ao empregado para fazer frente ao custo de suas férias acrescidas do terço constitucional já foram apuradas na letra B  do sub-módulo 2.1, não existe custo a ser apontado nesta rubrica.</t>
  </si>
  <si>
    <t>Memória de Cálculo Ausencias Legais (Módulo 4)</t>
  </si>
  <si>
    <t xml:space="preserve">Total de Remuneração </t>
  </si>
  <si>
    <t>Meses do Ano</t>
  </si>
  <si>
    <t xml:space="preserve">Média de Ausencias por Ano </t>
  </si>
  <si>
    <t xml:space="preserve">Valor das Ausencias Legais </t>
  </si>
  <si>
    <t>Memória de Cálculo Licença-Paternidade (Módulo 4)</t>
  </si>
  <si>
    <t xml:space="preserve">Média de Dias de Licença por ano </t>
  </si>
  <si>
    <t>Porcentagem de incidência de ocorrência da Licença-Paternidade</t>
  </si>
  <si>
    <t>Porcentagem de mão de obra masculina contratada</t>
  </si>
  <si>
    <t xml:space="preserve">Valor da Licença-Paternidade </t>
  </si>
  <si>
    <t>Memória de Cálculo Ausencia por Acidente de Trabalho (Módulo 4)</t>
  </si>
  <si>
    <t>Média de dias pagos pela empresa</t>
  </si>
  <si>
    <t xml:space="preserve">Porcentagem de ocorrência de acidentes de trabalho </t>
  </si>
  <si>
    <t>Valor da Ausencia por Acidente de Trabalho</t>
  </si>
  <si>
    <t>Memória de Cálculo Ausencia por Doença (Módulo 4)</t>
  </si>
  <si>
    <t>Porcentagem de ocorrência por doença</t>
  </si>
  <si>
    <t>Valor da Ausencia por Doença</t>
  </si>
  <si>
    <t>Memória de Cálculo Afastamento Maternidade (Módulo 4)</t>
  </si>
  <si>
    <t>Férias pagas ao Substituto pelos 120 dias de reposição</t>
  </si>
  <si>
    <t xml:space="preserve">Terço Constitucional </t>
  </si>
  <si>
    <t xml:space="preserve">Meses de Afastamento </t>
  </si>
  <si>
    <t>Porcentagem de ocorrência do Afastamento Maternidade</t>
  </si>
  <si>
    <t>Porcentagem de mão de obra feminina contratada</t>
  </si>
  <si>
    <t>Valor da Licença-Maternidade - Férias do Substituto</t>
  </si>
  <si>
    <t>Incidência dos encargos (módulo 2.2) - proporcionais 120 dias de Reposição</t>
  </si>
  <si>
    <t xml:space="preserve">Incidência dos encargos (módulo 2.2) </t>
  </si>
  <si>
    <t>Valor da Licença-Maternidade - Incidência de Encargos</t>
  </si>
  <si>
    <t>Tipo / Especificações</t>
  </si>
  <si>
    <t>Qtd Semestral</t>
  </si>
  <si>
    <t>Custo  Unitário</t>
  </si>
  <si>
    <t>Custo Mensal</t>
  </si>
  <si>
    <t>Crachá em PVC laminado para identificação, frente colorida e verso em preto e branco, com alta resistência e flexibilidade. Frente: nome completo, foto digitalizada, identificação da CONTRATADA e inscrição “A serviço da UFRJ”. Verso: unidade em que desempenha suas atividades e informações adicionais que a CONTRATADA considerar pertinentes</t>
  </si>
  <si>
    <t>Instituto de Psiquiatria - IPUB</t>
  </si>
  <si>
    <t>Hospital Universitário Clementino Fraga Filho - HUCFF</t>
  </si>
  <si>
    <t>TELEFONE</t>
  </si>
  <si>
    <t>(21) 3938-2737</t>
  </si>
  <si>
    <t xml:space="preserve">(21) 3938-5539 (21) 3938-5561 (21) 3938-5506 </t>
  </si>
  <si>
    <t>Semestral</t>
  </si>
  <si>
    <t xml:space="preserve">UNIDADES </t>
  </si>
  <si>
    <t>Avenida Venceslau Brás, 71 – Campus da Praia Vermelha – Botafogo – Rio de Janeiro, RJ – CEP:22290-140.</t>
  </si>
  <si>
    <t>R. Prof. Rodolpho Paulo Rocco, 255 - Cidade Universitária - Rio de Janeiro - RJ, 21941-590</t>
  </si>
  <si>
    <t>Av. Pres. Vargas, 2863 - Cidade Nova, Rio de Janeiro - RJ, 20210-030</t>
  </si>
  <si>
    <t>(21) 3938-4422 (21) 3938-4403</t>
  </si>
  <si>
    <t>R. Moncorvo Filho, 90 - Centro, Rio de Janeiro - RJ, 20211-340</t>
  </si>
  <si>
    <t>(21) 2221-8302 (21) 3938-0414</t>
  </si>
  <si>
    <t>ENDEREÇO</t>
  </si>
  <si>
    <t>Hospital Escola São Francisco de Assis - HESFA</t>
  </si>
  <si>
    <t>Instituto de Ginecologia - IG</t>
  </si>
  <si>
    <r>
      <t>Afastamento Maternidade (acima de 120 dias)</t>
    </r>
    <r>
      <rPr>
        <vertAlign val="superscript"/>
        <sz val="10"/>
        <color theme="1"/>
        <rFont val="Spranq eco sans"/>
        <family val="2"/>
      </rPr>
      <t xml:space="preserve"> (1)</t>
    </r>
  </si>
  <si>
    <t>Benefício Social Familiar  - Cláusula Vigésima Nona da CCT</t>
  </si>
  <si>
    <t>Contribuição Negocial Patronal - Cláusula Sexagésima Primeira  da CCT</t>
  </si>
  <si>
    <t>ITEM</t>
  </si>
  <si>
    <t xml:space="preserve">Valor Mensal Estimado do Contrato </t>
  </si>
  <si>
    <t xml:space="preserve">Valor Estimado do Contrato </t>
  </si>
  <si>
    <t>Máscara tripla camada tipo: SMS de uso médico odontológico, 3 camadas: interna, externa e elemento filtrante, sendo a camada externa e o elemento filtrante resistentes á penetração de fluidos (hidrorrepelentes) cobrir adequadamente a boca e o nariz, clip nasal para ajuste, atóxica, hipoalergênica, inodora, tipo fixação: 4 tiras laterais p, fixação ou elástico confortável, cor com cor, tipo uso: descartável (*)</t>
  </si>
  <si>
    <t>(*) Conforme indicado pelo GT-COVID/UFRJ estimado troca de 2 em 2 horas 4 mascaras diárias</t>
  </si>
  <si>
    <t>Demanda</t>
  </si>
  <si>
    <r>
      <rPr>
        <vertAlign val="superscript"/>
        <sz val="8"/>
        <color theme="1"/>
        <rFont val="Spranq eco sans"/>
        <family val="2"/>
      </rPr>
      <t xml:space="preserve">(2) </t>
    </r>
    <r>
      <rPr>
        <sz val="8"/>
        <color theme="1"/>
        <rFont val="Spranq eco sans"/>
        <family val="2"/>
      </rPr>
      <t>Somente preencher caso, por força de cadastro no Ministério do Trabalho, no programa "Empresa Cidadã", a licença maternidade for superior à 120 dias , considerar aqui somento o custo que superar o período de 120 dias.</t>
    </r>
  </si>
  <si>
    <r>
      <rPr>
        <vertAlign val="superscript"/>
        <sz val="8"/>
        <color theme="1"/>
        <rFont val="Spranq eco sans"/>
        <family val="2"/>
      </rPr>
      <t>(3)</t>
    </r>
    <r>
      <rPr>
        <sz val="8"/>
        <color theme="1"/>
        <rFont val="Spranq eco sans"/>
        <family val="2"/>
      </rPr>
      <t xml:space="preserve"> Custo deverá ser retirado após primeiro ano de Contrato</t>
    </r>
  </si>
  <si>
    <t>Valor Mensal</t>
  </si>
  <si>
    <t>Valor Rateio</t>
  </si>
  <si>
    <t>Valor para abertura da Conta Vinculada - R$ 565,00 em Pagamento único</t>
  </si>
  <si>
    <t>Valor para manutenção da Conta Vinculada - R$ 126,00 mensais</t>
  </si>
  <si>
    <t>Despesa com Conta Vinculada</t>
  </si>
  <si>
    <t xml:space="preserve">D.1 </t>
  </si>
  <si>
    <r>
      <t>Despesa com Abertura de Conta Vinculada</t>
    </r>
    <r>
      <rPr>
        <vertAlign val="superscript"/>
        <sz val="10"/>
        <color theme="1"/>
        <rFont val="Spranq eco sans"/>
        <family val="2"/>
      </rPr>
      <t>(3)</t>
    </r>
  </si>
  <si>
    <t>D2</t>
  </si>
  <si>
    <t>Despesa com Manutenção da Conta Vinculada</t>
  </si>
  <si>
    <t>44h</t>
  </si>
  <si>
    <t>12/36 Diurno</t>
  </si>
  <si>
    <t>12/36 Noturno</t>
  </si>
  <si>
    <t>Maternidade Escola</t>
  </si>
  <si>
    <t xml:space="preserve">Escola de Educação Infantil (EEI) </t>
  </si>
  <si>
    <t>Colégio de Aplicação (CAP)</t>
  </si>
  <si>
    <t>Gabinete do Reitor</t>
  </si>
  <si>
    <t>Instituto de Puericultura e Pediatria Martagão Gesteira</t>
  </si>
  <si>
    <t>5134-25</t>
  </si>
  <si>
    <t>MEMORIAL DE CÁLCULO  - COPEIRAGEM 44H SEG A SEX</t>
  </si>
  <si>
    <t>COPEIRAGEM 44h Seg a Sex</t>
  </si>
  <si>
    <t>Total de contratações CAGED período mai/2021 e out/2021 - 2.473 contratações - 1.051 ( 42,50%) masculinas e 1.422 (57,50%) femininas - Consulta realizada em 14/02/2022</t>
  </si>
  <si>
    <t>Multa sobre Contribuição Social</t>
  </si>
  <si>
    <t>Valor da Multa sobre Contribuição Social</t>
  </si>
  <si>
    <t>Memória de Cálculo Adicional Noturno (Módulo 1)</t>
  </si>
  <si>
    <t>Número de Horas Noturnas Trabalhadas ( 22:00 às 05:00 (7 horas)</t>
  </si>
  <si>
    <t>Salário Base</t>
  </si>
  <si>
    <t>Custo de Referência</t>
  </si>
  <si>
    <t>% Adicional Noturno</t>
  </si>
  <si>
    <t xml:space="preserve">Valor da Hora Noturna com Adicional </t>
  </si>
  <si>
    <t>Número de Horas Trabalhadas no mês</t>
  </si>
  <si>
    <t>Valor do Adicional Noturno</t>
  </si>
  <si>
    <t>Memória de Cálculo Adicional de Hora Noturna Reduzida (Módulo 1)</t>
  </si>
  <si>
    <t xml:space="preserve">Número de dias trabalhado por funcionário no mês </t>
  </si>
  <si>
    <t xml:space="preserve">Numero de horas noturnas trabalhadas no mês </t>
  </si>
  <si>
    <t>Hora Diurna (em minutos)</t>
  </si>
  <si>
    <t>Hora Noturna Equivalente (em minutos)</t>
  </si>
  <si>
    <t xml:space="preserve">Coeficente de horas </t>
  </si>
  <si>
    <t>Hora Noturna Mensal Ajustada</t>
  </si>
  <si>
    <t>Hora Noturna Mensal Ajustada - Hora noturna trabalhada no mês</t>
  </si>
  <si>
    <t>Valor da Hora Noturna Reduzida</t>
  </si>
  <si>
    <t xml:space="preserve">MEMORIAL DE CÁLCULO  - COPEIRAGEM 12/36H DIURNO DOM A DOM </t>
  </si>
  <si>
    <t xml:space="preserve"> Copeiragem 12/36 Diurno Dom a Dom</t>
  </si>
  <si>
    <t xml:space="preserve">Copeiragem 12/36 Noturno Dom a Dom </t>
  </si>
  <si>
    <t xml:space="preserve">MEMORIAL DE CÁLCULO  - COPEIRAGEM 12/36H NOTURNO DOM A DOM - </t>
  </si>
  <si>
    <t>GRUPO</t>
  </si>
  <si>
    <t>Copeira</t>
  </si>
  <si>
    <t>Serviço</t>
  </si>
  <si>
    <t>Serviço de Copeiragem diurno 44h de segunda a sexta</t>
  </si>
  <si>
    <t>Serviço de Copeiragem diurno 12/36h de domingo a domingo</t>
  </si>
  <si>
    <t>Serviço de Copeiragem noturno 12/36h de domingo a domingo</t>
  </si>
  <si>
    <t>QTD PESSOAS</t>
  </si>
  <si>
    <t xml:space="preserve">Valor Mensal por Pessoa </t>
  </si>
  <si>
    <t>Copeiro</t>
  </si>
  <si>
    <t>Camiseta de malha meia manga em algodão Logo da Empresa a esquerda - "A SERVIÇO DA UFRJ" nas costas</t>
  </si>
  <si>
    <t>Avental impermeável</t>
  </si>
  <si>
    <t>Tênis ou sapato de couro antiderrapante</t>
  </si>
  <si>
    <t>Luva de Latex forrada de algodão flocado - grande resistencia a rasgos</t>
  </si>
  <si>
    <t>Calça comprida em brim na cor branca, com presilhas para cinto (modelo tradicional).</t>
  </si>
  <si>
    <t>Avental em Tecido</t>
  </si>
  <si>
    <t>Rede protetora / touca de cabelo (preta)</t>
  </si>
  <si>
    <t>Cozinheiro</t>
  </si>
  <si>
    <t>Escola de Educação Infantil</t>
  </si>
  <si>
    <t>Rua Bruno Lobo, 50  - Cidade Universitária - Rio de Janeiro - RJ, 21941-912</t>
  </si>
  <si>
    <t>(21) 3938-4761</t>
  </si>
  <si>
    <t>Rua J.J. Seabra, s/nº - Lagoa - Rio de Janeiro - Rj - CEP 22470-130</t>
  </si>
  <si>
    <t>Av. Pedro Calmon, 550 – Edifício Jorge Machado Moreira (Prédio da Reitoria), 2º andar. Cidade Universitária – Rio de Janeiro, RJ. 21941-901</t>
  </si>
  <si>
    <t>(21) 3938-0296</t>
  </si>
  <si>
    <t>R. Bruno Lobo, 50 - Cidade Universitária da Universidade Federal do Rio de Janeiro, Rio de Janeiro - RJ, 21941-912</t>
  </si>
  <si>
    <t>(21) 3938-6182</t>
  </si>
  <si>
    <t>5132-05</t>
  </si>
  <si>
    <t>MEMORIAL DE CÁLCULO  - COZINHEIRO 44H SEG A SEX</t>
  </si>
  <si>
    <t>Total de contratações CAGED período mai/2021 e out/2021 - 7.227 contratações - 3.849 ( 53,26%) masculinas e 3.378 (46,74%) femininas - Consulta realizada em 18/02/2022</t>
  </si>
  <si>
    <t>Camareiro</t>
  </si>
  <si>
    <t>5133-15</t>
  </si>
  <si>
    <t>Serviço de Cozinheiro diurno 44h de segunda a sexta</t>
  </si>
  <si>
    <t>Serviço de Camareiro diurno 44h de segunda a sexta</t>
  </si>
  <si>
    <t>Serviço de Camareiro diurno 12/36h de domingo a domingo</t>
  </si>
  <si>
    <t>Jalego ou guarda pó em brim na cor branca - "A SERVIÇO DA UFRJ" nas costas</t>
  </si>
  <si>
    <t>Gorro ou bibico em brim</t>
  </si>
  <si>
    <t>Avental de Borracha</t>
  </si>
  <si>
    <t xml:space="preserve">Bota PVC cano curto </t>
  </si>
  <si>
    <t>Luva de reforçada para baixas temperaturas</t>
  </si>
  <si>
    <t>COZINHEIRO 44h Seg a Sex</t>
  </si>
  <si>
    <t>MEMORIAL DE CÁLCULO  - CAMAREIRO 44H SEG A SEX</t>
  </si>
  <si>
    <t>CAMAREIRO 44h Seg a Sex</t>
  </si>
  <si>
    <t>Total de contratações CAGED período mai/2021 e out/2021 - 2.480 contratações - 397 (16,01%) masculinas e 2.083 (83,99%) femininas - Consulta realizada em 18/02/2022</t>
  </si>
  <si>
    <t xml:space="preserve">MEMORIAL DE CÁLCULO  - CAMAREIRO 12/36H DIURNO DOM A DOM </t>
  </si>
  <si>
    <t xml:space="preserve"> Camareiro 12/36 Diurno Dom a Dom</t>
  </si>
  <si>
    <t>Auxiliar de Cozinha</t>
  </si>
  <si>
    <t>Serviço de Auxiliar de Cozinha diurno 44h de segunda a sexta</t>
  </si>
  <si>
    <t>Copeiragem - Auxiliar de Cozinha</t>
  </si>
  <si>
    <t>AUXILIAR DE COZINHA 44h Seg a Sex</t>
  </si>
  <si>
    <t>MEMORIAL DE CÁLCULO  - AUXILIAR DE COZINHA 44H SEG A SEX</t>
  </si>
  <si>
    <t>Total de contratações CAGED período mai/2021 e out/2021 - 9.268 contratações - 4.926 (53,15%) masculinas e 4.342 (46,85%) femininas - Consulta realizada em 18/02/2022</t>
  </si>
  <si>
    <t>5135-05</t>
  </si>
  <si>
    <t xml:space="preserve">Motorista - CARRO DE PASSEIO/UTILITÁRIO  PESADO/VAN </t>
  </si>
  <si>
    <t>Divisão de Frota Oficial da Prefeitura Universitária (DFO/PU)</t>
  </si>
  <si>
    <t>(21) 3938-0490</t>
  </si>
  <si>
    <t>R. Maurício Joppert da Silva, 42 - Cidade Universitária da Universidade Federal do Rio de Janeiro, Rio de Janeiro - RJ</t>
  </si>
  <si>
    <t>Motorista</t>
  </si>
  <si>
    <t>Calça comprida social azul marinho ou preta em gabardine santista ou similar, braguilha forrada, cós entretelado, forrado, com passadores no mesmo tecido da calça, 02 bolsos laterais embutidos; 02 bolsos traseiros embutidos, com uma casa vertical e um botão.</t>
  </si>
  <si>
    <t>Camisa Polo Branca de manga curta em tergal grafil santista ou similar; bolso na parte superior do lado esquerdo, sobreposto.</t>
  </si>
  <si>
    <t>Cinto masculino em couro constituído de uma face na cor preta sem costura, fivela em metal, com garra regulável.</t>
  </si>
  <si>
    <t>Sapato social em couro preto tipo mocassim</t>
  </si>
  <si>
    <t>Crachá</t>
  </si>
  <si>
    <t>PISO SALARIAL</t>
  </si>
  <si>
    <t>7823-10</t>
  </si>
  <si>
    <t xml:space="preserve">Os custos relacionados com a mão de obra (conta vinculada) devem ser ajustados caso a empresa vencer mais de um item ou grupo e conforme o numero de contratos gerados </t>
  </si>
  <si>
    <t>TRABALHADORES EM TRANSPORTES RODOVIARIO DE CARGAS E PASSAGEIROS</t>
  </si>
  <si>
    <t>Plano Odontológico ( Cláusula décima primeira da CCT)</t>
  </si>
  <si>
    <t xml:space="preserve">Benefício Social Familiar   </t>
  </si>
  <si>
    <t xml:space="preserve">Contribuição Negocial Patronal  </t>
  </si>
  <si>
    <t>Total de contratações CAGED período Out 20209 a Mar 2021 - 1.767 contratações no Estado do Rio de Janeiro  - sendo 1.732 (98,02%) masculinas e 35 (1,98%) femininas - Consulta realizada em 16/08/2021</t>
  </si>
  <si>
    <t>MEMORIAL DE CÁLCULO  - MOTORISTAS - RIO - SEG A SEXTA</t>
  </si>
  <si>
    <t>MOTORISTA - RIO - UTILITÁRIOS E VANS</t>
  </si>
  <si>
    <r>
      <t xml:space="preserve">Camareiro </t>
    </r>
    <r>
      <rPr>
        <vertAlign val="superscript"/>
        <sz val="8"/>
        <rFont val="Spranq eco sans"/>
        <family val="2"/>
      </rPr>
      <t>(**)</t>
    </r>
  </si>
  <si>
    <r>
      <rPr>
        <vertAlign val="superscript"/>
        <sz val="8"/>
        <color theme="1"/>
        <rFont val="Spranq eco sans"/>
        <family val="2"/>
      </rPr>
      <t>(**)</t>
    </r>
    <r>
      <rPr>
        <sz val="8"/>
        <color theme="1"/>
        <rFont val="Spranq eco sans"/>
        <family val="2"/>
      </rPr>
      <t xml:space="preserve"> Com base no Parágrafo Único da Cláusula Nona da CCT RJ0000618</t>
    </r>
  </si>
  <si>
    <t>R. das Laranjeiras, 180 - Laranjeiras, Rio de Janeiro - RJ, 22240-000</t>
  </si>
  <si>
    <t>(21) 2205-9064</t>
  </si>
  <si>
    <t>(21) 3938-0301</t>
  </si>
  <si>
    <t>Rua Paulo Emídio Barbosa, 485 - Parque Tecnológico - Prédio 5 - Cidade Universitária - Rio de Janeiro - RJ - CEP 21941-907</t>
  </si>
  <si>
    <t>Pró-Reitoria de Gestão e Governança - PR6</t>
  </si>
  <si>
    <t>Centro de Ciências Matemáticas e da Natureza</t>
  </si>
  <si>
    <t>Av. Athos da Silveira Ramos, 274 - Cidade Universitária da Universidade Federal do Rio de Janeiro, Rio de Janeiro - RJ, 21941-909</t>
  </si>
  <si>
    <t>(21) 3938-9400</t>
  </si>
  <si>
    <t>INDENIZAÇÃO DE DESPESAS COM VIAGENS - Qtd estimada - valor da indenização fixado pela administração</t>
  </si>
  <si>
    <t>Valor da Diária</t>
  </si>
  <si>
    <t xml:space="preserve">Motorista - CARRO DE PASSEIO/UTILITÁRIO  PESADO/VAN - veículos de até 19 passageiros - 44horas seg a sex </t>
  </si>
  <si>
    <t>23079.204052/2021-88</t>
  </si>
  <si>
    <t>Centro de Letras e Artes</t>
  </si>
  <si>
    <t>Av. Pedro Calmon, 550 – Edifício Jorge Machado Moreira, 2º andar. Cidade Universitária – Rio de Janeiro, RJ. 21941-901</t>
  </si>
  <si>
    <t>Av. Pedro Calmon, 550 – Edifício Jorge Machado Moreira , térreo andar. Cidade Universitária – Rio de Janeiro, RJ. 21941-901</t>
  </si>
  <si>
    <t>(21) 3938-1703</t>
  </si>
  <si>
    <t>44h Seg a Sex</t>
  </si>
  <si>
    <t>44h Seg a Sab</t>
  </si>
  <si>
    <t>Serviço de Copeiragem diurno 44h de segunda a sabado</t>
  </si>
  <si>
    <t>MEMORIAL DE CÁLCULO  - Copeiro 44 Sab SEG A SAB</t>
  </si>
  <si>
    <t xml:space="preserve">UNIVERSIDADE FEDERAL DO RIO DE JANEIRO  </t>
  </si>
  <si>
    <t>PRÓ-REITORIA DE GESTÃO E GOVERNANÇA - PR6</t>
  </si>
  <si>
    <t xml:space="preserve">FORMULÁRIO DE AVALIAÇÃO DA QUALIDADE DOS SERVIÇOS </t>
  </si>
  <si>
    <t>CONTRATO Nº:</t>
  </si>
  <si>
    <t>Data:</t>
  </si>
  <si>
    <t>UNIDADE:</t>
  </si>
  <si>
    <t>CONTRATADA:</t>
  </si>
  <si>
    <t>FISCAL OPERACIONAL:</t>
  </si>
  <si>
    <t>FISCAL ADMINISTRATIVO:</t>
  </si>
  <si>
    <t>AVALIAÇÃO REFERENTE AO PERÍODO:</t>
  </si>
  <si>
    <t>Lembramos que para o caso de notas 0 e 1 o campo Justificativa deve ser preenchido</t>
  </si>
  <si>
    <t>GRUPO 1 - DESEMPENHO PROFISSIONAL</t>
  </si>
  <si>
    <t>PESO (a)</t>
  </si>
  <si>
    <t>NOTA (b)</t>
  </si>
  <si>
    <t>SUBTOTAL (c=a x b)</t>
  </si>
  <si>
    <t>Cumprimento das Atividades</t>
  </si>
  <si>
    <t>Qualificação/ Atendimento ao Público/ Postura</t>
  </si>
  <si>
    <t>Uniformes e Identificação</t>
  </si>
  <si>
    <t>GRUPO 2 - DESEMPENHO DAS ATIVIDADES</t>
  </si>
  <si>
    <t>Especificação Técnica dos Serviços</t>
  </si>
  <si>
    <t>Atendimento às Ocorrências</t>
  </si>
  <si>
    <t>GRUPO 3 - GERENCIAMENTO</t>
  </si>
  <si>
    <t>Periodicidade da Supervisão</t>
  </si>
  <si>
    <t>Gerenciamento das Atividades Operacionais</t>
  </si>
  <si>
    <t>Atendimento às Solicitações</t>
  </si>
  <si>
    <r>
      <t xml:space="preserve">Salários, Benefícios e Obrigações Trabalhistas </t>
    </r>
    <r>
      <rPr>
        <vertAlign val="superscript"/>
        <sz val="10"/>
        <rFont val="Arial"/>
        <family val="2"/>
      </rPr>
      <t>(1)</t>
    </r>
  </si>
  <si>
    <r>
      <t xml:space="preserve">NOTA FINAL (somatório das notas totais para os grupos 1,2 e 3) </t>
    </r>
    <r>
      <rPr>
        <vertAlign val="superscript"/>
        <sz val="10"/>
        <color indexed="9"/>
        <rFont val="Arial"/>
        <family val="2"/>
      </rPr>
      <t>(1)</t>
    </r>
  </si>
  <si>
    <t>Conceito</t>
  </si>
  <si>
    <r>
      <t>(1)</t>
    </r>
    <r>
      <rPr>
        <sz val="7"/>
        <color indexed="8"/>
        <rFont val="Times New Roman"/>
        <family val="1"/>
      </rPr>
      <t xml:space="preserve">  </t>
    </r>
    <r>
      <rPr>
        <sz val="10"/>
        <color indexed="8"/>
        <rFont val="Arial"/>
        <family val="2"/>
      </rPr>
      <t>Campos preenchidos pelo Fiscal Administrativo</t>
    </r>
  </si>
  <si>
    <t>Total de Horas</t>
  </si>
  <si>
    <t>Nº de Postos</t>
  </si>
  <si>
    <t>Valor do posto</t>
  </si>
  <si>
    <t>Contratadas</t>
  </si>
  <si>
    <t>Sem Cobertura por falta</t>
  </si>
  <si>
    <t>Sem Cobertura por abandono</t>
  </si>
  <si>
    <t>Valor da Hora Contratada</t>
  </si>
  <si>
    <t>Valor para desconto</t>
  </si>
  <si>
    <t>44 Horas</t>
  </si>
  <si>
    <t>VALOR</t>
  </si>
  <si>
    <t>Contratado</t>
  </si>
  <si>
    <t>Número de Dias trabalhados no mês</t>
  </si>
  <si>
    <t>Faltas Apuradas</t>
  </si>
  <si>
    <t>Liquido</t>
  </si>
  <si>
    <t>pág 1/2</t>
  </si>
  <si>
    <t>Fiscal Operacional</t>
  </si>
  <si>
    <t>Fiscal Administrativo</t>
  </si>
  <si>
    <t>Gestor PR-6</t>
  </si>
  <si>
    <t>Responsável da Contratada</t>
  </si>
  <si>
    <t>FAIXA DE AJUSTE DE PAGAMENTO</t>
  </si>
  <si>
    <t>Porcentagem do Faturamento a ser pago após desconto de faltas</t>
  </si>
  <si>
    <t>Nota Média Mensal Apurada</t>
  </si>
  <si>
    <t>Entre 9,00 e 8,10</t>
  </si>
  <si>
    <t>Entre 8,09 e 7,65</t>
  </si>
  <si>
    <t>Entre 7,64 e 6,75</t>
  </si>
  <si>
    <t>Entre 6,74 e 5,85</t>
  </si>
  <si>
    <t>Abaixo de 5,84</t>
  </si>
  <si>
    <t>Valor Apurado após desconto de faltas</t>
  </si>
  <si>
    <t>Nota Atribuida pelo avaliador</t>
  </si>
  <si>
    <t>% do Faturamento a ser liberado</t>
  </si>
  <si>
    <t>Valor Glosado por QUALIDADE</t>
  </si>
  <si>
    <t>Valor aprovado para pagamento</t>
  </si>
  <si>
    <t>Justificativas</t>
  </si>
  <si>
    <t>pág 2/2</t>
  </si>
  <si>
    <t>FORMULÁRIO DE CONSOLIDAÇÃO DOS GRAUS DE AVALIAÇÃO DOS SERVIÇOS</t>
  </si>
  <si>
    <t>ÁREA:</t>
  </si>
  <si>
    <t>QUANTIDADE DE UNIDADES COM FISCAL OPERACIONAL NA ÁREA:</t>
  </si>
  <si>
    <t>UNIDADES BENEFICIADAS COM O SERVIÇO</t>
  </si>
  <si>
    <t>Nota Final</t>
  </si>
  <si>
    <t>MÉDIA GERAL</t>
  </si>
  <si>
    <t>CONCEITO FINAL</t>
  </si>
  <si>
    <t>Avaliações realizadas ANO 20XX/20XX</t>
  </si>
  <si>
    <t>Mês 01</t>
  </si>
  <si>
    <t>Mês 07</t>
  </si>
  <si>
    <t>Mês 02</t>
  </si>
  <si>
    <t>Mês 08</t>
  </si>
  <si>
    <t>Mês 03</t>
  </si>
  <si>
    <t>Mês 09</t>
  </si>
  <si>
    <t>Mês 04</t>
  </si>
  <si>
    <t>Mês 10</t>
  </si>
  <si>
    <t>Abaixo de  5,84</t>
  </si>
  <si>
    <t>Mês 05</t>
  </si>
  <si>
    <t>Mês 11</t>
  </si>
  <si>
    <t>Mês 06</t>
  </si>
  <si>
    <t>Mês 12</t>
  </si>
  <si>
    <t>Média Acumulada</t>
  </si>
  <si>
    <t>Sanção:</t>
  </si>
  <si>
    <r>
      <t xml:space="preserve">IMPORTANTE </t>
    </r>
    <r>
      <rPr>
        <b/>
        <sz val="14"/>
        <color rgb="FFFF0000"/>
        <rFont val="Arial"/>
        <family val="2"/>
      </rPr>
      <t>↓</t>
    </r>
  </si>
  <si>
    <t xml:space="preserve">Seu preenchimento é de responsabilidade da Empresa que enviará a cotação </t>
  </si>
  <si>
    <t>Os itens marcados com a cor</t>
  </si>
  <si>
    <t xml:space="preserve"> em geral são os itens que devem ser preenchidos pela Empresa</t>
  </si>
  <si>
    <t>Caso a Empresa não concorde com o modelo de calculo apresentado, este poderá ser alterado.</t>
  </si>
  <si>
    <t>Esta alteração deve sempre ser feita de forma aberta, auditável e de clara compreensão.</t>
  </si>
  <si>
    <t>A Empresa deverá sempre demonstrar seus cálculos na aba correspondente a memória de cálculo do cargo.</t>
  </si>
  <si>
    <t>Empresa:</t>
  </si>
  <si>
    <t>Endereço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</si>
</sst>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8" formatCode="&quot;R$&quot;\ #,##0.00;[Red]\-&quot;R$&quot;\ #,##0.00"/>
    <numFmt numFmtId="44" formatCode="_-&quot;R$&quot;\ * #,##0.00_-;\-&quot;R$&quot;\ * #,##0.00_-;_-&quot;R$&quot;\ * &quot;-&quot;??_-;_-@_-"/>
    <numFmt numFmtId="164" formatCode="&quot;R$ &quot;#,##0.00_);\(&quot;R$ &quot;#,##0.00\)"/>
    <numFmt numFmtId="165" formatCode="#,##0_ ;\-#,##0\ "/>
    <numFmt numFmtId="166" formatCode="&quot;R$&quot;\ #,##0.00"/>
    <numFmt numFmtId="167" formatCode="_(&quot;R$ &quot;* #,##0.00_);_(&quot;R$ &quot;* \(#,##0.00\);_(&quot;R$ &quot;* &quot;-&quot;??_);_(@_)"/>
  </numFmts>
  <fonts count="48" x14ac:knownFonts="1">
    <font>
      <sz val="11"/>
      <color theme="1"/>
      <name val="Calibri"/>
      <family val="2"/>
      <scheme val="minor"/>
    </font>
    <font>
      <sz val="10"/>
      <color theme="1"/>
      <name val="Spranq eco sans"/>
      <family val="2"/>
    </font>
    <font>
      <sz val="11"/>
      <color theme="1"/>
      <name val="Calibri"/>
      <family val="2"/>
      <scheme val="minor"/>
    </font>
    <font>
      <sz val="8"/>
      <name val="Spranq eco sans"/>
      <family val="2"/>
    </font>
    <font>
      <sz val="12"/>
      <name val="Spranq eco sans"/>
      <family val="2"/>
    </font>
    <font>
      <sz val="11"/>
      <color theme="1"/>
      <name val="Spranq eco sans"/>
      <family val="2"/>
    </font>
    <font>
      <b/>
      <sz val="8"/>
      <name val="Spranq eco sans"/>
      <family val="2"/>
    </font>
    <font>
      <b/>
      <sz val="11"/>
      <color theme="1"/>
      <name val="Spranq eco sans"/>
      <family val="2"/>
    </font>
    <font>
      <sz val="8"/>
      <color theme="1"/>
      <name val="Spranq eco sans"/>
      <family val="2"/>
    </font>
    <font>
      <b/>
      <vertAlign val="superscript"/>
      <sz val="8"/>
      <name val="Spranq eco sans"/>
      <family val="2"/>
    </font>
    <font>
      <b/>
      <sz val="10"/>
      <color theme="1"/>
      <name val="Spranq eco sans"/>
      <family val="2"/>
    </font>
    <font>
      <sz val="10"/>
      <color rgb="FFFF0000"/>
      <name val="Spranq eco sans"/>
      <family val="2"/>
    </font>
    <font>
      <i/>
      <sz val="10"/>
      <color theme="1"/>
      <name val="Spranq eco sans"/>
      <family val="2"/>
    </font>
    <font>
      <sz val="10"/>
      <name val="Spranq eco sans"/>
      <family val="2"/>
    </font>
    <font>
      <vertAlign val="superscript"/>
      <sz val="10"/>
      <color theme="1"/>
      <name val="Spranq eco sans"/>
      <family val="2"/>
    </font>
    <font>
      <b/>
      <sz val="10"/>
      <color theme="0"/>
      <name val="Spranq eco sans"/>
      <family val="2"/>
    </font>
    <font>
      <b/>
      <sz val="13"/>
      <color theme="1"/>
      <name val="Spranq eco sans"/>
      <family val="2"/>
    </font>
    <font>
      <sz val="9"/>
      <color theme="1"/>
      <name val="Spranq eco sans"/>
      <family val="2"/>
    </font>
    <font>
      <b/>
      <sz val="9"/>
      <color rgb="FFFFFFFF"/>
      <name val="Spranq eco sans"/>
      <family val="2"/>
    </font>
    <font>
      <sz val="9"/>
      <name val="Spranq eco sans"/>
      <family val="2"/>
    </font>
    <font>
      <b/>
      <sz val="9"/>
      <color theme="1"/>
      <name val="Spranq eco sans"/>
      <family val="2"/>
    </font>
    <font>
      <b/>
      <sz val="9"/>
      <color theme="0"/>
      <name val="Spranq eco sans"/>
      <family val="2"/>
    </font>
    <font>
      <b/>
      <sz val="8"/>
      <color theme="1"/>
      <name val="Spranq eco sans"/>
      <family val="2"/>
    </font>
    <font>
      <vertAlign val="superscript"/>
      <sz val="8"/>
      <color theme="1"/>
      <name val="Spranq eco sans"/>
      <family val="2"/>
    </font>
    <font>
      <sz val="10"/>
      <color theme="0"/>
      <name val="Spranq eco sans"/>
      <family val="2"/>
    </font>
    <font>
      <sz val="13"/>
      <name val="Spranq eco sans"/>
      <family val="2"/>
    </font>
    <font>
      <b/>
      <sz val="13"/>
      <color theme="0"/>
      <name val="Spranq eco sans"/>
      <family val="2"/>
    </font>
    <font>
      <b/>
      <sz val="13"/>
      <name val="Spranq eco sans"/>
      <family val="2"/>
    </font>
    <font>
      <b/>
      <sz val="10"/>
      <name val="Spranq eco sans"/>
      <family val="2"/>
    </font>
    <font>
      <vertAlign val="superscript"/>
      <sz val="8"/>
      <name val="Spranq eco sans"/>
      <family val="2"/>
    </font>
    <font>
      <sz val="15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color indexed="9"/>
      <name val="Arial"/>
      <family val="2"/>
    </font>
    <font>
      <vertAlign val="superscript"/>
      <sz val="10"/>
      <name val="Arial"/>
      <family val="2"/>
    </font>
    <font>
      <vertAlign val="superscript"/>
      <sz val="10"/>
      <color indexed="9"/>
      <name val="Arial"/>
      <family val="2"/>
    </font>
    <font>
      <sz val="10"/>
      <color indexed="8"/>
      <name val="Arial"/>
      <family val="2"/>
    </font>
    <font>
      <sz val="7"/>
      <color indexed="8"/>
      <name val="Times New Roman"/>
      <family val="1"/>
    </font>
    <font>
      <sz val="8"/>
      <name val="Arial"/>
      <family val="2"/>
    </font>
    <font>
      <sz val="7"/>
      <name val="Arial"/>
      <family val="2"/>
    </font>
    <font>
      <b/>
      <sz val="10"/>
      <color indexed="9"/>
      <name val="Arial"/>
      <family val="2"/>
    </font>
    <font>
      <b/>
      <sz val="14"/>
      <color rgb="FFFF0000"/>
      <name val="Spranq eco sans"/>
      <family val="2"/>
    </font>
    <font>
      <b/>
      <sz val="14"/>
      <color rgb="FFFF0000"/>
      <name val="Arial"/>
      <family val="2"/>
    </font>
    <font>
      <sz val="8"/>
      <color rgb="FF000000"/>
      <name val="Spranq eco sans"/>
      <family val="2"/>
    </font>
    <font>
      <sz val="8"/>
      <color rgb="FFFF0000"/>
      <name val="Spranq eco sans"/>
      <family val="2"/>
    </font>
  </fonts>
  <fills count="2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39997558519241921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625">
    <xf numFmtId="0" fontId="0" fillId="0" borderId="0" xfId="0"/>
    <xf numFmtId="0" fontId="3" fillId="0" borderId="1" xfId="0" applyFont="1" applyBorder="1" applyAlignment="1">
      <alignment horizontal="left" vertical="center" wrapText="1"/>
    </xf>
    <xf numFmtId="0" fontId="5" fillId="0" borderId="0" xfId="0" applyFont="1"/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44" fontId="6" fillId="0" borderId="1" xfId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4" fontId="6" fillId="2" borderId="1" xfId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8" fillId="0" borderId="0" xfId="0" applyFont="1"/>
    <xf numFmtId="0" fontId="8" fillId="0" borderId="0" xfId="0" applyFont="1" applyFill="1" applyBorder="1"/>
    <xf numFmtId="0" fontId="6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/>
    <xf numFmtId="0" fontId="11" fillId="0" borderId="0" xfId="0" applyFont="1" applyFill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/>
    </xf>
    <xf numFmtId="44" fontId="10" fillId="4" borderId="1" xfId="1" applyNumberFormat="1" applyFont="1" applyFill="1" applyBorder="1"/>
    <xf numFmtId="0" fontId="10" fillId="4" borderId="2" xfId="0" applyFont="1" applyFill="1" applyBorder="1"/>
    <xf numFmtId="0" fontId="10" fillId="4" borderId="1" xfId="0" applyFont="1" applyFill="1" applyBorder="1" applyAlignment="1">
      <alignment vertical="center"/>
    </xf>
    <xf numFmtId="0" fontId="10" fillId="4" borderId="8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center" vertical="center"/>
    </xf>
    <xf numFmtId="0" fontId="12" fillId="7" borderId="1" xfId="0" applyFont="1" applyFill="1" applyBorder="1" applyAlignment="1">
      <alignment horizontal="left" vertical="center"/>
    </xf>
    <xf numFmtId="10" fontId="1" fillId="7" borderId="1" xfId="2" applyNumberFormat="1" applyFont="1" applyFill="1" applyBorder="1"/>
    <xf numFmtId="44" fontId="1" fillId="7" borderId="1" xfId="1" applyNumberFormat="1" applyFont="1" applyFill="1" applyBorder="1"/>
    <xf numFmtId="0" fontId="12" fillId="0" borderId="1" xfId="0" applyFont="1" applyBorder="1"/>
    <xf numFmtId="10" fontId="12" fillId="0" borderId="1" xfId="2" applyNumberFormat="1" applyFont="1" applyFill="1" applyBorder="1"/>
    <xf numFmtId="44" fontId="12" fillId="0" borderId="1" xfId="1" applyNumberFormat="1" applyFont="1" applyBorder="1"/>
    <xf numFmtId="0" fontId="10" fillId="4" borderId="2" xfId="0" applyFont="1" applyFill="1" applyBorder="1" applyAlignment="1">
      <alignment vertical="center"/>
    </xf>
    <xf numFmtId="10" fontId="10" fillId="4" borderId="1" xfId="2" applyNumberFormat="1" applyFont="1" applyFill="1" applyBorder="1" applyAlignment="1">
      <alignment horizontal="left" vertical="center"/>
    </xf>
    <xf numFmtId="44" fontId="10" fillId="4" borderId="1" xfId="1" applyNumberFormat="1" applyFont="1" applyFill="1" applyBorder="1" applyAlignment="1">
      <alignment horizontal="left"/>
    </xf>
    <xf numFmtId="10" fontId="10" fillId="4" borderId="1" xfId="2" applyNumberFormat="1" applyFont="1" applyFill="1" applyBorder="1" applyAlignment="1">
      <alignment vertical="center"/>
    </xf>
    <xf numFmtId="8" fontId="10" fillId="4" borderId="1" xfId="1" applyNumberFormat="1" applyFont="1" applyFill="1" applyBorder="1"/>
    <xf numFmtId="0" fontId="10" fillId="6" borderId="1" xfId="0" applyFont="1" applyFill="1" applyBorder="1"/>
    <xf numFmtId="0" fontId="10" fillId="6" borderId="1" xfId="0" applyFont="1" applyFill="1" applyBorder="1" applyAlignment="1">
      <alignment horizontal="center" vertical="center"/>
    </xf>
    <xf numFmtId="44" fontId="10" fillId="6" borderId="1" xfId="1" applyNumberFormat="1" applyFont="1" applyFill="1" applyBorder="1" applyAlignment="1">
      <alignment horizontal="center" vertical="center"/>
    </xf>
    <xf numFmtId="0" fontId="10" fillId="4" borderId="1" xfId="0" applyFont="1" applyFill="1" applyBorder="1"/>
    <xf numFmtId="44" fontId="10" fillId="4" borderId="1" xfId="0" applyNumberFormat="1" applyFont="1" applyFill="1" applyBorder="1"/>
    <xf numFmtId="44" fontId="10" fillId="9" borderId="1" xfId="1" applyNumberFormat="1" applyFont="1" applyFill="1" applyBorder="1"/>
    <xf numFmtId="44" fontId="10" fillId="6" borderId="1" xfId="0" applyNumberFormat="1" applyFont="1" applyFill="1" applyBorder="1"/>
    <xf numFmtId="44" fontId="10" fillId="9" borderId="1" xfId="0" applyNumberFormat="1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10" fontId="10" fillId="4" borderId="6" xfId="0" applyNumberFormat="1" applyFont="1" applyFill="1" applyBorder="1" applyAlignment="1">
      <alignment vertical="center"/>
    </xf>
    <xf numFmtId="44" fontId="10" fillId="0" borderId="1" xfId="1" applyNumberFormat="1" applyFont="1" applyBorder="1"/>
    <xf numFmtId="44" fontId="15" fillId="11" borderId="1" xfId="0" applyNumberFormat="1" applyFont="1" applyFill="1" applyBorder="1"/>
    <xf numFmtId="44" fontId="10" fillId="6" borderId="1" xfId="1" applyNumberFormat="1" applyFont="1" applyFill="1" applyBorder="1"/>
    <xf numFmtId="39" fontId="1" fillId="0" borderId="1" xfId="1" applyNumberFormat="1" applyFont="1" applyBorder="1"/>
    <xf numFmtId="0" fontId="12" fillId="0" borderId="1" xfId="0" applyFont="1" applyFill="1" applyBorder="1"/>
    <xf numFmtId="44" fontId="12" fillId="0" borderId="1" xfId="0" applyNumberFormat="1" applyFont="1" applyBorder="1"/>
    <xf numFmtId="0" fontId="8" fillId="0" borderId="1" xfId="0" applyFont="1" applyBorder="1" applyAlignment="1">
      <alignment horizontal="center" vertical="top" wrapText="1"/>
    </xf>
    <xf numFmtId="44" fontId="8" fillId="0" borderId="1" xfId="1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right" vertical="center" wrapText="1"/>
    </xf>
    <xf numFmtId="44" fontId="8" fillId="0" borderId="1" xfId="1" applyFont="1" applyBorder="1" applyAlignment="1">
      <alignment horizontal="right" vertical="center"/>
    </xf>
    <xf numFmtId="0" fontId="8" fillId="0" borderId="1" xfId="0" applyFont="1" applyBorder="1" applyAlignment="1">
      <alignment vertical="top" wrapText="1"/>
    </xf>
    <xf numFmtId="44" fontId="8" fillId="0" borderId="0" xfId="1" applyFont="1"/>
    <xf numFmtId="0" fontId="13" fillId="0" borderId="0" xfId="0" applyFont="1"/>
    <xf numFmtId="0" fontId="13" fillId="0" borderId="0" xfId="0" applyFont="1" applyAlignment="1">
      <alignment horizontal="right"/>
    </xf>
    <xf numFmtId="0" fontId="19" fillId="0" borderId="0" xfId="0" applyFont="1"/>
    <xf numFmtId="0" fontId="20" fillId="0" borderId="0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right" vertical="center" wrapText="1"/>
    </xf>
    <xf numFmtId="0" fontId="19" fillId="0" borderId="0" xfId="0" applyFont="1" applyAlignment="1">
      <alignment horizontal="left" vertical="center"/>
    </xf>
    <xf numFmtId="0" fontId="8" fillId="0" borderId="0" xfId="0" applyFont="1" applyAlignment="1">
      <alignment wrapText="1"/>
    </xf>
    <xf numFmtId="0" fontId="6" fillId="2" borderId="4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horizontal="left" vertical="center"/>
    </xf>
    <xf numFmtId="0" fontId="10" fillId="4" borderId="6" xfId="0" applyFont="1" applyFill="1" applyBorder="1" applyAlignment="1">
      <alignment horizontal="left" vertical="center"/>
    </xf>
    <xf numFmtId="0" fontId="10" fillId="6" borderId="1" xfId="0" applyFont="1" applyFill="1" applyBorder="1" applyAlignment="1">
      <alignment horizontal="left"/>
    </xf>
    <xf numFmtId="0" fontId="1" fillId="0" borderId="0" xfId="0" applyFont="1"/>
    <xf numFmtId="0" fontId="1" fillId="5" borderId="1" xfId="0" applyFont="1" applyFill="1" applyBorder="1" applyAlignment="1">
      <alignment horizontal="left" vertical="center"/>
    </xf>
    <xf numFmtId="0" fontId="1" fillId="5" borderId="1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1" fillId="4" borderId="1" xfId="0" applyFont="1" applyFill="1" applyBorder="1" applyAlignment="1">
      <alignment horizontal="right" vertical="center"/>
    </xf>
    <xf numFmtId="0" fontId="1" fillId="4" borderId="4" xfId="0" applyFont="1" applyFill="1" applyBorder="1" applyAlignment="1">
      <alignment vertical="center"/>
    </xf>
    <xf numFmtId="0" fontId="1" fillId="4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44" fontId="1" fillId="0" borderId="1" xfId="1" applyNumberFormat="1" applyFont="1" applyBorder="1" applyAlignment="1">
      <alignment horizontal="right" vertical="center"/>
    </xf>
    <xf numFmtId="0" fontId="1" fillId="0" borderId="4" xfId="0" applyFont="1" applyBorder="1" applyAlignment="1">
      <alignment vertical="center"/>
    </xf>
    <xf numFmtId="9" fontId="1" fillId="0" borderId="1" xfId="2" applyFont="1" applyBorder="1" applyAlignment="1">
      <alignment vertical="center"/>
    </xf>
    <xf numFmtId="44" fontId="1" fillId="0" borderId="0" xfId="0" applyNumberFormat="1" applyFont="1"/>
    <xf numFmtId="44" fontId="1" fillId="0" borderId="1" xfId="1" applyNumberFormat="1" applyFont="1" applyFill="1" applyBorder="1" applyAlignment="1">
      <alignment horizontal="right" vertical="center"/>
    </xf>
    <xf numFmtId="44" fontId="1" fillId="0" borderId="1" xfId="1" applyNumberFormat="1" applyFont="1" applyBorder="1"/>
    <xf numFmtId="39" fontId="1" fillId="0" borderId="0" xfId="1" quotePrefix="1" applyNumberFormat="1" applyFont="1" applyBorder="1"/>
    <xf numFmtId="0" fontId="1" fillId="0" borderId="1" xfId="0" applyFont="1" applyBorder="1"/>
    <xf numFmtId="10" fontId="1" fillId="0" borderId="1" xfId="2" applyNumberFormat="1" applyFont="1" applyFill="1" applyBorder="1"/>
    <xf numFmtId="0" fontId="1" fillId="7" borderId="1" xfId="0" applyFont="1" applyFill="1" applyBorder="1"/>
    <xf numFmtId="10" fontId="1" fillId="0" borderId="1" xfId="2" applyNumberFormat="1" applyFont="1" applyBorder="1"/>
    <xf numFmtId="44" fontId="1" fillId="0" borderId="1" xfId="0" applyNumberFormat="1" applyFont="1" applyBorder="1"/>
    <xf numFmtId="0" fontId="1" fillId="0" borderId="0" xfId="0" applyFont="1" applyAlignment="1">
      <alignment horizontal="left"/>
    </xf>
    <xf numFmtId="0" fontId="1" fillId="0" borderId="9" xfId="0" applyFont="1" applyBorder="1" applyAlignment="1">
      <alignment horizontal="left" vertical="center"/>
    </xf>
    <xf numFmtId="10" fontId="1" fillId="8" borderId="1" xfId="2" applyNumberFormat="1" applyFont="1" applyFill="1" applyBorder="1"/>
    <xf numFmtId="0" fontId="1" fillId="0" borderId="10" xfId="0" applyFont="1" applyFill="1" applyBorder="1" applyAlignment="1">
      <alignment horizontal="left" vertical="center"/>
    </xf>
    <xf numFmtId="0" fontId="1" fillId="0" borderId="1" xfId="0" applyFont="1" applyFill="1" applyBorder="1"/>
    <xf numFmtId="8" fontId="1" fillId="0" borderId="1" xfId="0" applyNumberFormat="1" applyFont="1" applyFill="1" applyBorder="1"/>
    <xf numFmtId="0" fontId="1" fillId="0" borderId="0" xfId="0" applyFont="1" applyFill="1"/>
    <xf numFmtId="0" fontId="1" fillId="0" borderId="0" xfId="0" applyFont="1" applyFill="1" applyBorder="1"/>
    <xf numFmtId="0" fontId="1" fillId="0" borderId="0" xfId="0" applyFont="1" applyBorder="1"/>
    <xf numFmtId="10" fontId="1" fillId="0" borderId="0" xfId="2" applyNumberFormat="1" applyFont="1" applyFill="1" applyBorder="1"/>
    <xf numFmtId="0" fontId="1" fillId="12" borderId="1" xfId="0" applyFont="1" applyFill="1" applyBorder="1"/>
    <xf numFmtId="44" fontId="1" fillId="12" borderId="1" xfId="0" applyNumberFormat="1" applyFont="1" applyFill="1" applyBorder="1"/>
    <xf numFmtId="0" fontId="1" fillId="12" borderId="1" xfId="0" applyFont="1" applyFill="1" applyBorder="1" applyAlignment="1">
      <alignment wrapText="1"/>
    </xf>
    <xf numFmtId="164" fontId="13" fillId="0" borderId="0" xfId="0" applyNumberFormat="1" applyFont="1" applyBorder="1" applyAlignment="1">
      <alignment vertical="center" wrapText="1"/>
    </xf>
    <xf numFmtId="8" fontId="1" fillId="0" borderId="1" xfId="0" applyNumberFormat="1" applyFont="1" applyBorder="1"/>
    <xf numFmtId="44" fontId="1" fillId="0" borderId="1" xfId="0" applyNumberFormat="1" applyFont="1" applyFill="1" applyBorder="1"/>
    <xf numFmtId="0" fontId="1" fillId="8" borderId="1" xfId="0" applyFont="1" applyFill="1" applyBorder="1"/>
    <xf numFmtId="0" fontId="1" fillId="0" borderId="1" xfId="0" applyFont="1" applyBorder="1" applyAlignment="1">
      <alignment wrapText="1"/>
    </xf>
    <xf numFmtId="0" fontId="1" fillId="0" borderId="1" xfId="0" applyFont="1" applyFill="1" applyBorder="1" applyAlignment="1">
      <alignment horizontal="left" vertical="center"/>
    </xf>
    <xf numFmtId="44" fontId="1" fillId="8" borderId="1" xfId="1" applyNumberFormat="1" applyFont="1" applyFill="1" applyBorder="1"/>
    <xf numFmtId="44" fontId="1" fillId="0" borderId="1" xfId="1" applyNumberFormat="1" applyFont="1" applyFill="1" applyBorder="1"/>
    <xf numFmtId="10" fontId="1" fillId="0" borderId="0" xfId="2" applyNumberFormat="1" applyFont="1"/>
    <xf numFmtId="44" fontId="1" fillId="0" borderId="1" xfId="1" applyNumberFormat="1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9" borderId="1" xfId="0" applyFont="1" applyFill="1" applyBorder="1"/>
    <xf numFmtId="10" fontId="1" fillId="12" borderId="1" xfId="2" applyNumberFormat="1" applyFont="1" applyFill="1" applyBorder="1"/>
    <xf numFmtId="10" fontId="13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/>
    <xf numFmtId="39" fontId="1" fillId="0" borderId="1" xfId="0" applyNumberFormat="1" applyFont="1" applyBorder="1"/>
    <xf numFmtId="44" fontId="1" fillId="12" borderId="1" xfId="1" applyNumberFormat="1" applyFont="1" applyFill="1" applyBorder="1"/>
    <xf numFmtId="0" fontId="1" fillId="12" borderId="1" xfId="0" applyFont="1" applyFill="1" applyBorder="1" applyAlignment="1">
      <alignment horizontal="left" wrapText="1"/>
    </xf>
    <xf numFmtId="165" fontId="1" fillId="0" borderId="1" xfId="0" applyNumberFormat="1" applyFont="1" applyBorder="1"/>
    <xf numFmtId="0" fontId="1" fillId="0" borderId="0" xfId="0" applyFont="1" applyAlignment="1">
      <alignment vertical="top" wrapText="1"/>
    </xf>
    <xf numFmtId="9" fontId="1" fillId="0" borderId="0" xfId="2" applyFont="1"/>
    <xf numFmtId="0" fontId="17" fillId="9" borderId="1" xfId="0" applyFont="1" applyFill="1" applyBorder="1" applyAlignment="1">
      <alignment horizontal="left" vertical="center" wrapText="1"/>
    </xf>
    <xf numFmtId="0" fontId="17" fillId="9" borderId="1" xfId="0" applyFont="1" applyFill="1" applyBorder="1" applyAlignment="1">
      <alignment horizontal="right" vertical="center" wrapText="1"/>
    </xf>
    <xf numFmtId="0" fontId="19" fillId="9" borderId="1" xfId="0" applyFont="1" applyFill="1" applyBorder="1" applyAlignment="1">
      <alignment horizontal="left" vertical="center"/>
    </xf>
    <xf numFmtId="0" fontId="17" fillId="9" borderId="1" xfId="0" applyFont="1" applyFill="1" applyBorder="1" applyAlignment="1">
      <alignment horizontal="left" vertical="center"/>
    </xf>
    <xf numFmtId="0" fontId="17" fillId="4" borderId="1" xfId="0" applyFont="1" applyFill="1" applyBorder="1" applyAlignment="1">
      <alignment horizontal="left" vertical="center" wrapText="1"/>
    </xf>
    <xf numFmtId="0" fontId="17" fillId="4" borderId="1" xfId="0" applyFont="1" applyFill="1" applyBorder="1" applyAlignment="1">
      <alignment horizontal="right" vertical="center" wrapText="1"/>
    </xf>
    <xf numFmtId="0" fontId="17" fillId="4" borderId="1" xfId="0" applyFont="1" applyFill="1" applyBorder="1" applyAlignment="1">
      <alignment horizontal="left" vertical="center"/>
    </xf>
    <xf numFmtId="0" fontId="19" fillId="4" borderId="1" xfId="0" applyFont="1" applyFill="1" applyBorder="1" applyAlignment="1">
      <alignment horizontal="left" vertical="center"/>
    </xf>
    <xf numFmtId="0" fontId="1" fillId="12" borderId="1" xfId="0" applyFont="1" applyFill="1" applyBorder="1" applyAlignment="1">
      <alignment vertical="center"/>
    </xf>
    <xf numFmtId="44" fontId="1" fillId="12" borderId="1" xfId="1" applyFont="1" applyFill="1" applyBorder="1" applyAlignment="1">
      <alignment horizontal="right" vertical="center"/>
    </xf>
    <xf numFmtId="44" fontId="13" fillId="12" borderId="1" xfId="1" applyFont="1" applyFill="1" applyBorder="1" applyAlignment="1">
      <alignment horizontal="right" vertical="center" wrapText="1"/>
    </xf>
    <xf numFmtId="44" fontId="8" fillId="0" borderId="2" xfId="1" applyFont="1" applyBorder="1"/>
    <xf numFmtId="0" fontId="8" fillId="0" borderId="1" xfId="0" applyFont="1" applyBorder="1" applyAlignment="1">
      <alignment wrapText="1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/>
    <xf numFmtId="166" fontId="8" fillId="0" borderId="1" xfId="0" applyNumberFormat="1" applyFont="1" applyBorder="1" applyAlignment="1">
      <alignment horizontal="right" wrapText="1"/>
    </xf>
    <xf numFmtId="10" fontId="1" fillId="0" borderId="6" xfId="2" applyNumberFormat="1" applyFont="1" applyBorder="1"/>
    <xf numFmtId="166" fontId="1" fillId="0" borderId="1" xfId="0" applyNumberFormat="1" applyFont="1" applyBorder="1"/>
    <xf numFmtId="0" fontId="6" fillId="2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left" vertical="center"/>
    </xf>
    <xf numFmtId="0" fontId="10" fillId="6" borderId="1" xfId="0" applyFont="1" applyFill="1" applyBorder="1" applyAlignment="1">
      <alignment horizontal="left"/>
    </xf>
    <xf numFmtId="0" fontId="10" fillId="4" borderId="6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10" fillId="4" borderId="6" xfId="0" applyFont="1" applyFill="1" applyBorder="1" applyAlignment="1">
      <alignment horizontal="center" vertical="center"/>
    </xf>
    <xf numFmtId="0" fontId="10" fillId="4" borderId="6" xfId="0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horizontal="left" vertical="center"/>
    </xf>
    <xf numFmtId="0" fontId="10" fillId="4" borderId="6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10" fillId="6" borderId="1" xfId="0" applyFont="1" applyFill="1" applyBorder="1" applyAlignment="1">
      <alignment horizontal="left"/>
    </xf>
    <xf numFmtId="0" fontId="17" fillId="9" borderId="1" xfId="0" quotePrefix="1" applyFont="1" applyFill="1" applyBorder="1" applyAlignment="1">
      <alignment horizontal="right" vertical="center" wrapText="1"/>
    </xf>
    <xf numFmtId="0" fontId="1" fillId="13" borderId="1" xfId="0" applyFont="1" applyFill="1" applyBorder="1" applyAlignment="1">
      <alignment horizontal="left" vertical="center"/>
    </xf>
    <xf numFmtId="0" fontId="1" fillId="13" borderId="4" xfId="0" applyFont="1" applyFill="1" applyBorder="1" applyAlignment="1">
      <alignment vertical="center"/>
    </xf>
    <xf numFmtId="9" fontId="1" fillId="13" borderId="1" xfId="2" applyFont="1" applyFill="1" applyBorder="1" applyAlignment="1">
      <alignment vertical="center"/>
    </xf>
    <xf numFmtId="44" fontId="1" fillId="13" borderId="1" xfId="1" applyNumberFormat="1" applyFont="1" applyFill="1" applyBorder="1" applyAlignment="1">
      <alignment horizontal="right" vertical="center"/>
    </xf>
    <xf numFmtId="44" fontId="10" fillId="9" borderId="1" xfId="0" applyNumberFormat="1" applyFont="1" applyFill="1" applyBorder="1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right"/>
    </xf>
    <xf numFmtId="44" fontId="1" fillId="0" borderId="1" xfId="1" applyFont="1" applyBorder="1"/>
    <xf numFmtId="44" fontId="1" fillId="8" borderId="1" xfId="0" applyNumberFormat="1" applyFont="1" applyFill="1" applyBorder="1"/>
    <xf numFmtId="0" fontId="1" fillId="14" borderId="1" xfId="0" applyFont="1" applyFill="1" applyBorder="1" applyAlignment="1">
      <alignment horizontal="left" vertical="center"/>
    </xf>
    <xf numFmtId="0" fontId="1" fillId="14" borderId="1" xfId="0" applyFont="1" applyFill="1" applyBorder="1" applyAlignment="1">
      <alignment vertical="center"/>
    </xf>
    <xf numFmtId="0" fontId="1" fillId="12" borderId="1" xfId="0" applyFont="1" applyFill="1" applyBorder="1" applyAlignment="1">
      <alignment horizontal="left" vertical="center"/>
    </xf>
    <xf numFmtId="0" fontId="1" fillId="12" borderId="4" xfId="0" applyFont="1" applyFill="1" applyBorder="1" applyAlignment="1">
      <alignment vertical="center"/>
    </xf>
    <xf numFmtId="9" fontId="1" fillId="12" borderId="1" xfId="2" applyFont="1" applyFill="1" applyBorder="1" applyAlignment="1">
      <alignment vertical="center"/>
    </xf>
    <xf numFmtId="44" fontId="1" fillId="12" borderId="1" xfId="1" applyNumberFormat="1" applyFont="1" applyFill="1" applyBorder="1" applyAlignment="1">
      <alignment horizontal="right" vertical="center"/>
    </xf>
    <xf numFmtId="0" fontId="1" fillId="15" borderId="1" xfId="0" applyFont="1" applyFill="1" applyBorder="1" applyAlignment="1">
      <alignment vertical="center"/>
    </xf>
    <xf numFmtId="0" fontId="1" fillId="15" borderId="1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vertical="center" wrapText="1"/>
    </xf>
    <xf numFmtId="166" fontId="22" fillId="2" borderId="1" xfId="0" applyNumberFormat="1" applyFont="1" applyFill="1" applyBorder="1"/>
    <xf numFmtId="0" fontId="8" fillId="0" borderId="1" xfId="0" applyFont="1" applyBorder="1" applyAlignment="1">
      <alignment horizontal="justify" vertical="top" wrapText="1"/>
    </xf>
    <xf numFmtId="0" fontId="13" fillId="0" borderId="0" xfId="0" applyFont="1" applyAlignment="1">
      <alignment vertical="center"/>
    </xf>
    <xf numFmtId="0" fontId="18" fillId="3" borderId="3" xfId="0" applyFont="1" applyFill="1" applyBorder="1" applyAlignment="1">
      <alignment vertical="center" wrapText="1"/>
    </xf>
    <xf numFmtId="0" fontId="13" fillId="0" borderId="0" xfId="0" applyFont="1" applyAlignment="1">
      <alignment horizontal="center" vertical="center"/>
    </xf>
    <xf numFmtId="0" fontId="24" fillId="18" borderId="1" xfId="0" applyFont="1" applyFill="1" applyBorder="1" applyAlignment="1">
      <alignment horizontal="left" vertical="center"/>
    </xf>
    <xf numFmtId="0" fontId="24" fillId="18" borderId="1" xfId="0" applyFont="1" applyFill="1" applyBorder="1" applyAlignment="1">
      <alignment vertical="center"/>
    </xf>
    <xf numFmtId="0" fontId="15" fillId="3" borderId="0" xfId="0" applyFont="1" applyFill="1"/>
    <xf numFmtId="0" fontId="13" fillId="9" borderId="1" xfId="0" applyFont="1" applyFill="1" applyBorder="1" applyAlignment="1">
      <alignment vertical="center"/>
    </xf>
    <xf numFmtId="0" fontId="13" fillId="4" borderId="1" xfId="0" applyFont="1" applyFill="1" applyBorder="1" applyAlignment="1">
      <alignment vertical="center"/>
    </xf>
    <xf numFmtId="166" fontId="8" fillId="2" borderId="1" xfId="0" applyNumberFormat="1" applyFont="1" applyFill="1" applyBorder="1" applyAlignment="1">
      <alignment horizontal="right" vertical="center"/>
    </xf>
    <xf numFmtId="0" fontId="8" fillId="2" borderId="1" xfId="0" applyFont="1" applyFill="1" applyBorder="1" applyAlignment="1">
      <alignment horizontal="right" vertical="center"/>
    </xf>
    <xf numFmtId="0" fontId="8" fillId="0" borderId="0" xfId="0" applyFont="1" applyAlignment="1">
      <alignment horizontal="right" vertical="center"/>
    </xf>
    <xf numFmtId="166" fontId="22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0" fontId="1" fillId="17" borderId="1" xfId="0" applyFont="1" applyFill="1" applyBorder="1" applyAlignment="1">
      <alignment horizontal="left" vertical="center"/>
    </xf>
    <xf numFmtId="0" fontId="1" fillId="17" borderId="1" xfId="0" applyFont="1" applyFill="1" applyBorder="1" applyAlignment="1">
      <alignment vertical="center"/>
    </xf>
    <xf numFmtId="0" fontId="13" fillId="17" borderId="1" xfId="0" applyFont="1" applyFill="1" applyBorder="1" applyAlignment="1">
      <alignment horizontal="left" vertical="center"/>
    </xf>
    <xf numFmtId="0" fontId="13" fillId="17" borderId="1" xfId="0" applyFont="1" applyFill="1" applyBorder="1" applyAlignment="1">
      <alignment vertical="center"/>
    </xf>
    <xf numFmtId="166" fontId="5" fillId="0" borderId="0" xfId="0" applyNumberFormat="1" applyFont="1"/>
    <xf numFmtId="166" fontId="8" fillId="0" borderId="0" xfId="0" applyNumberFormat="1" applyFont="1"/>
    <xf numFmtId="0" fontId="13" fillId="16" borderId="1" xfId="0" applyFont="1" applyFill="1" applyBorder="1" applyAlignment="1">
      <alignment horizontal="left" vertical="center"/>
    </xf>
    <xf numFmtId="0" fontId="13" fillId="16" borderId="1" xfId="0" applyFont="1" applyFill="1" applyBorder="1" applyAlignment="1">
      <alignment vertical="center"/>
    </xf>
    <xf numFmtId="166" fontId="8" fillId="0" borderId="0" xfId="0" applyNumberFormat="1" applyFont="1" applyAlignment="1">
      <alignment horizontal="right" vertical="center"/>
    </xf>
    <xf numFmtId="166" fontId="6" fillId="2" borderId="1" xfId="1" applyNumberFormat="1" applyFont="1" applyFill="1" applyBorder="1" applyAlignment="1">
      <alignment horizontal="center" vertical="center" wrapText="1"/>
    </xf>
    <xf numFmtId="166" fontId="8" fillId="0" borderId="0" xfId="0" applyNumberFormat="1" applyFont="1" applyAlignment="1">
      <alignment wrapText="1"/>
    </xf>
    <xf numFmtId="0" fontId="6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horizontal="left" vertical="center"/>
    </xf>
    <xf numFmtId="0" fontId="10" fillId="4" borderId="6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10" fillId="6" borderId="1" xfId="0" applyFont="1" applyFill="1" applyBorder="1" applyAlignment="1">
      <alignment horizontal="left"/>
    </xf>
    <xf numFmtId="0" fontId="25" fillId="0" borderId="0" xfId="0" applyFont="1" applyAlignment="1">
      <alignment vertical="center"/>
    </xf>
    <xf numFmtId="0" fontId="8" fillId="0" borderId="1" xfId="0" applyFont="1" applyBorder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44" fontId="8" fillId="0" borderId="1" xfId="1" applyFont="1" applyBorder="1"/>
    <xf numFmtId="0" fontId="6" fillId="0" borderId="0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4" fontId="6" fillId="0" borderId="2" xfId="1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top" wrapText="1"/>
    </xf>
    <xf numFmtId="0" fontId="1" fillId="19" borderId="1" xfId="0" applyFont="1" applyFill="1" applyBorder="1" applyAlignment="1">
      <alignment horizontal="left" vertical="center"/>
    </xf>
    <xf numFmtId="0" fontId="1" fillId="19" borderId="1" xfId="0" applyFont="1" applyFill="1" applyBorder="1" applyAlignment="1">
      <alignment vertical="center"/>
    </xf>
    <xf numFmtId="164" fontId="13" fillId="12" borderId="1" xfId="0" applyNumberFormat="1" applyFont="1" applyFill="1" applyBorder="1" applyAlignment="1">
      <alignment vertical="center" wrapText="1"/>
    </xf>
    <xf numFmtId="0" fontId="1" fillId="20" borderId="1" xfId="0" applyFont="1" applyFill="1" applyBorder="1"/>
    <xf numFmtId="10" fontId="1" fillId="20" borderId="1" xfId="2" applyNumberFormat="1" applyFont="1" applyFill="1" applyBorder="1"/>
    <xf numFmtId="44" fontId="1" fillId="20" borderId="1" xfId="0" applyNumberFormat="1" applyFont="1" applyFill="1" applyBorder="1"/>
    <xf numFmtId="166" fontId="22" fillId="0" borderId="0" xfId="0" applyNumberFormat="1" applyFont="1" applyFill="1" applyBorder="1"/>
    <xf numFmtId="44" fontId="8" fillId="0" borderId="9" xfId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4" fontId="5" fillId="0" borderId="0" xfId="0" applyNumberFormat="1" applyFont="1"/>
    <xf numFmtId="0" fontId="3" fillId="0" borderId="0" xfId="0" applyFont="1" applyFill="1" applyBorder="1" applyAlignment="1">
      <alignment horizontal="center" vertical="center" wrapText="1"/>
    </xf>
    <xf numFmtId="0" fontId="21" fillId="3" borderId="2" xfId="0" applyFont="1" applyFill="1" applyBorder="1" applyAlignment="1">
      <alignment horizontal="center" vertical="center" wrapText="1"/>
    </xf>
    <xf numFmtId="0" fontId="21" fillId="3" borderId="2" xfId="0" applyFont="1" applyFill="1" applyBorder="1" applyAlignment="1">
      <alignment horizontal="righ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15" fillId="21" borderId="11" xfId="0" applyFont="1" applyFill="1" applyBorder="1" applyAlignment="1"/>
    <xf numFmtId="0" fontId="1" fillId="21" borderId="0" xfId="0" applyFont="1" applyFill="1"/>
    <xf numFmtId="166" fontId="15" fillId="21" borderId="11" xfId="0" applyNumberFormat="1" applyFont="1" applyFill="1" applyBorder="1" applyAlignment="1"/>
    <xf numFmtId="0" fontId="1" fillId="0" borderId="1" xfId="0" applyFont="1" applyBorder="1" applyAlignment="1"/>
    <xf numFmtId="10" fontId="1" fillId="0" borderId="1" xfId="0" applyNumberFormat="1" applyFont="1" applyBorder="1" applyAlignment="1"/>
    <xf numFmtId="166" fontId="1" fillId="0" borderId="1" xfId="0" applyNumberFormat="1" applyFont="1" applyBorder="1" applyAlignment="1"/>
    <xf numFmtId="166" fontId="1" fillId="0" borderId="0" xfId="0" applyNumberFormat="1" applyFont="1" applyBorder="1" applyAlignment="1"/>
    <xf numFmtId="166" fontId="15" fillId="21" borderId="0" xfId="0" applyNumberFormat="1" applyFont="1" applyFill="1" applyBorder="1" applyAlignment="1"/>
    <xf numFmtId="0" fontId="13" fillId="9" borderId="1" xfId="0" applyFont="1" applyFill="1" applyBorder="1" applyAlignment="1">
      <alignment horizontal="left" vertical="center" wrapText="1"/>
    </xf>
    <xf numFmtId="0" fontId="13" fillId="9" borderId="1" xfId="0" applyFont="1" applyFill="1" applyBorder="1" applyAlignment="1">
      <alignment horizontal="right" vertical="center"/>
    </xf>
    <xf numFmtId="0" fontId="10" fillId="4" borderId="6" xfId="0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horizontal="left" vertical="center"/>
    </xf>
    <xf numFmtId="0" fontId="10" fillId="4" borderId="6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10" fillId="6" borderId="1" xfId="0" applyFont="1" applyFill="1" applyBorder="1" applyAlignment="1">
      <alignment horizontal="left"/>
    </xf>
    <xf numFmtId="0" fontId="8" fillId="0" borderId="0" xfId="0" applyFont="1" applyAlignment="1">
      <alignment horizontal="left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top" wrapText="1"/>
    </xf>
    <xf numFmtId="3" fontId="6" fillId="0" borderId="6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3" fontId="6" fillId="0" borderId="4" xfId="0" applyNumberFormat="1" applyFont="1" applyFill="1" applyBorder="1" applyAlignment="1">
      <alignment horizontal="center" vertical="center" wrapText="1"/>
    </xf>
    <xf numFmtId="3" fontId="6" fillId="0" borderId="6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15" fillId="3" borderId="15" xfId="0" applyFont="1" applyFill="1" applyBorder="1" applyAlignment="1">
      <alignment horizontal="center" vertical="center"/>
    </xf>
    <xf numFmtId="0" fontId="18" fillId="3" borderId="7" xfId="0" applyFont="1" applyFill="1" applyBorder="1" applyAlignment="1">
      <alignment horizontal="center" vertical="center" wrapText="1"/>
    </xf>
    <xf numFmtId="0" fontId="18" fillId="3" borderId="15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15" fillId="11" borderId="0" xfId="0" applyFont="1" applyFill="1" applyAlignment="1">
      <alignment horizontal="left"/>
    </xf>
    <xf numFmtId="0" fontId="1" fillId="0" borderId="1" xfId="0" applyFont="1" applyBorder="1" applyAlignment="1">
      <alignment horizontal="left" vertical="center"/>
    </xf>
    <xf numFmtId="0" fontId="10" fillId="4" borderId="1" xfId="0" applyFont="1" applyFill="1" applyBorder="1" applyAlignment="1">
      <alignment horizontal="left" vertical="center"/>
    </xf>
    <xf numFmtId="0" fontId="10" fillId="6" borderId="4" xfId="0" applyFont="1" applyFill="1" applyBorder="1" applyAlignment="1">
      <alignment horizontal="left" vertical="center"/>
    </xf>
    <xf numFmtId="0" fontId="10" fillId="6" borderId="5" xfId="0" applyFont="1" applyFill="1" applyBorder="1" applyAlignment="1">
      <alignment horizontal="left" vertical="center"/>
    </xf>
    <xf numFmtId="0" fontId="10" fillId="9" borderId="4" xfId="0" applyFont="1" applyFill="1" applyBorder="1" applyAlignment="1">
      <alignment horizontal="left" vertical="center"/>
    </xf>
    <xf numFmtId="0" fontId="10" fillId="9" borderId="5" xfId="0" applyFont="1" applyFill="1" applyBorder="1" applyAlignment="1">
      <alignment horizontal="left" vertical="center"/>
    </xf>
    <xf numFmtId="0" fontId="10" fillId="9" borderId="6" xfId="0" applyFont="1" applyFill="1" applyBorder="1" applyAlignment="1">
      <alignment horizontal="left" vertical="center"/>
    </xf>
    <xf numFmtId="0" fontId="10" fillId="9" borderId="4" xfId="0" applyFont="1" applyFill="1" applyBorder="1" applyAlignment="1">
      <alignment horizontal="left" vertical="center" wrapText="1"/>
    </xf>
    <xf numFmtId="0" fontId="10" fillId="9" borderId="5" xfId="0" applyFont="1" applyFill="1" applyBorder="1" applyAlignment="1">
      <alignment horizontal="left" vertical="center" wrapText="1"/>
    </xf>
    <xf numFmtId="0" fontId="10" fillId="9" borderId="6" xfId="0" applyFont="1" applyFill="1" applyBorder="1" applyAlignment="1">
      <alignment horizontal="left" vertical="center" wrapText="1"/>
    </xf>
    <xf numFmtId="0" fontId="10" fillId="4" borderId="4" xfId="0" applyFont="1" applyFill="1" applyBorder="1" applyAlignment="1">
      <alignment horizontal="left" vertical="center"/>
    </xf>
    <xf numFmtId="0" fontId="10" fillId="4" borderId="5" xfId="0" applyFont="1" applyFill="1" applyBorder="1" applyAlignment="1">
      <alignment horizontal="left" vertical="center"/>
    </xf>
    <xf numFmtId="0" fontId="10" fillId="1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4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0" fillId="9" borderId="4" xfId="0" applyFont="1" applyFill="1" applyBorder="1" applyAlignment="1">
      <alignment horizontal="left"/>
    </xf>
    <xf numFmtId="0" fontId="10" fillId="9" borderId="6" xfId="0" applyFont="1" applyFill="1" applyBorder="1" applyAlignment="1">
      <alignment horizontal="left"/>
    </xf>
    <xf numFmtId="0" fontId="10" fillId="6" borderId="1" xfId="0" applyFont="1" applyFill="1" applyBorder="1" applyAlignment="1">
      <alignment horizontal="left"/>
    </xf>
    <xf numFmtId="0" fontId="10" fillId="4" borderId="6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/>
    </xf>
    <xf numFmtId="0" fontId="1" fillId="0" borderId="6" xfId="0" applyFont="1" applyFill="1" applyBorder="1" applyAlignment="1">
      <alignment horizontal="left"/>
    </xf>
    <xf numFmtId="0" fontId="1" fillId="0" borderId="4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0" fillId="6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10" fillId="6" borderId="1" xfId="0" applyFont="1" applyFill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0" fillId="6" borderId="4" xfId="0" applyFont="1" applyFill="1" applyBorder="1" applyAlignment="1">
      <alignment horizontal="left" vertical="center" wrapText="1"/>
    </xf>
    <xf numFmtId="0" fontId="10" fillId="6" borderId="5" xfId="0" applyFont="1" applyFill="1" applyBorder="1" applyAlignment="1">
      <alignment horizontal="left" vertical="center" wrapText="1"/>
    </xf>
    <xf numFmtId="0" fontId="10" fillId="4" borderId="4" xfId="0" applyFont="1" applyFill="1" applyBorder="1" applyAlignment="1">
      <alignment horizontal="center" vertical="center"/>
    </xf>
    <xf numFmtId="0" fontId="10" fillId="4" borderId="5" xfId="0" applyFont="1" applyFill="1" applyBorder="1" applyAlignment="1">
      <alignment horizontal="center" vertical="center"/>
    </xf>
    <xf numFmtId="0" fontId="10" fillId="4" borderId="6" xfId="0" applyFont="1" applyFill="1" applyBorder="1" applyAlignment="1">
      <alignment horizontal="center" vertical="center"/>
    </xf>
    <xf numFmtId="0" fontId="28" fillId="16" borderId="4" xfId="0" applyFont="1" applyFill="1" applyBorder="1" applyAlignment="1">
      <alignment horizontal="center" vertical="center" wrapText="1"/>
    </xf>
    <xf numFmtId="0" fontId="28" fillId="16" borderId="6" xfId="0" applyFont="1" applyFill="1" applyBorder="1" applyAlignment="1">
      <alignment horizontal="center" vertical="center" wrapText="1"/>
    </xf>
    <xf numFmtId="0" fontId="13" fillId="16" borderId="4" xfId="0" applyFont="1" applyFill="1" applyBorder="1" applyAlignment="1">
      <alignment horizontal="right" vertical="center"/>
    </xf>
    <xf numFmtId="0" fontId="13" fillId="16" borderId="6" xfId="0" applyFont="1" applyFill="1" applyBorder="1" applyAlignment="1">
      <alignment horizontal="right" vertical="center"/>
    </xf>
    <xf numFmtId="44" fontId="13" fillId="16" borderId="1" xfId="1" applyNumberFormat="1" applyFont="1" applyFill="1" applyBorder="1" applyAlignment="1">
      <alignment horizontal="left" vertical="center"/>
    </xf>
    <xf numFmtId="0" fontId="13" fillId="16" borderId="4" xfId="0" applyFont="1" applyFill="1" applyBorder="1" applyAlignment="1">
      <alignment horizontal="left" vertical="center" wrapText="1"/>
    </xf>
    <xf numFmtId="0" fontId="13" fillId="16" borderId="6" xfId="0" applyFont="1" applyFill="1" applyBorder="1" applyAlignment="1">
      <alignment horizontal="left" vertical="center" wrapText="1"/>
    </xf>
    <xf numFmtId="17" fontId="13" fillId="16" borderId="4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10" fillId="6" borderId="4" xfId="0" applyFont="1" applyFill="1" applyBorder="1" applyAlignment="1">
      <alignment horizontal="left"/>
    </xf>
    <xf numFmtId="0" fontId="10" fillId="6" borderId="6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center" wrapText="1"/>
    </xf>
    <xf numFmtId="0" fontId="10" fillId="6" borderId="5" xfId="0" applyFont="1" applyFill="1" applyBorder="1" applyAlignment="1">
      <alignment horizontal="center" wrapText="1"/>
    </xf>
    <xf numFmtId="0" fontId="10" fillId="6" borderId="6" xfId="0" applyFont="1" applyFill="1" applyBorder="1" applyAlignment="1">
      <alignment horizontal="center" wrapText="1"/>
    </xf>
    <xf numFmtId="0" fontId="10" fillId="6" borderId="4" xfId="0" applyFont="1" applyFill="1" applyBorder="1" applyAlignment="1">
      <alignment horizontal="left" wrapText="1"/>
    </xf>
    <xf numFmtId="0" fontId="10" fillId="6" borderId="5" xfId="0" applyFont="1" applyFill="1" applyBorder="1" applyAlignment="1">
      <alignment horizontal="left" wrapText="1"/>
    </xf>
    <xf numFmtId="0" fontId="10" fillId="6" borderId="6" xfId="0" applyFont="1" applyFill="1" applyBorder="1" applyAlignment="1">
      <alignment horizontal="left" wrapText="1"/>
    </xf>
    <xf numFmtId="0" fontId="10" fillId="6" borderId="5" xfId="0" applyFont="1" applyFill="1" applyBorder="1" applyAlignment="1">
      <alignment horizontal="left"/>
    </xf>
    <xf numFmtId="0" fontId="1" fillId="0" borderId="12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15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27" fillId="16" borderId="0" xfId="0" applyFont="1" applyFill="1" applyAlignment="1">
      <alignment horizontal="center" vertical="center" wrapText="1"/>
    </xf>
    <xf numFmtId="0" fontId="10" fillId="6" borderId="4" xfId="0" applyFont="1" applyFill="1" applyBorder="1" applyAlignment="1">
      <alignment horizontal="center"/>
    </xf>
    <xf numFmtId="0" fontId="10" fillId="6" borderId="5" xfId="0" applyFont="1" applyFill="1" applyBorder="1" applyAlignment="1">
      <alignment horizontal="center"/>
    </xf>
    <xf numFmtId="0" fontId="10" fillId="6" borderId="6" xfId="0" applyFont="1" applyFill="1" applyBorder="1" applyAlignment="1">
      <alignment horizontal="center"/>
    </xf>
    <xf numFmtId="0" fontId="28" fillId="17" borderId="4" xfId="0" applyFont="1" applyFill="1" applyBorder="1" applyAlignment="1">
      <alignment horizontal="center" vertical="center" wrapText="1"/>
    </xf>
    <xf numFmtId="0" fontId="28" fillId="17" borderId="6" xfId="0" applyFont="1" applyFill="1" applyBorder="1" applyAlignment="1">
      <alignment horizontal="center" vertical="center" wrapText="1"/>
    </xf>
    <xf numFmtId="0" fontId="13" fillId="17" borderId="4" xfId="0" applyFont="1" applyFill="1" applyBorder="1" applyAlignment="1">
      <alignment horizontal="right" vertical="center"/>
    </xf>
    <xf numFmtId="0" fontId="13" fillId="17" borderId="6" xfId="0" applyFont="1" applyFill="1" applyBorder="1" applyAlignment="1">
      <alignment horizontal="right" vertical="center"/>
    </xf>
    <xf numFmtId="44" fontId="13" fillId="17" borderId="1" xfId="1" applyNumberFormat="1" applyFont="1" applyFill="1" applyBorder="1" applyAlignment="1">
      <alignment horizontal="left" vertical="center"/>
    </xf>
    <xf numFmtId="0" fontId="13" fillId="17" borderId="4" xfId="0" applyFont="1" applyFill="1" applyBorder="1" applyAlignment="1">
      <alignment horizontal="left" vertical="center" wrapText="1"/>
    </xf>
    <xf numFmtId="0" fontId="13" fillId="17" borderId="6" xfId="0" applyFont="1" applyFill="1" applyBorder="1" applyAlignment="1">
      <alignment horizontal="left" vertical="center" wrapText="1"/>
    </xf>
    <xf numFmtId="17" fontId="13" fillId="17" borderId="4" xfId="0" applyNumberFormat="1" applyFont="1" applyFill="1" applyBorder="1" applyAlignment="1">
      <alignment horizontal="right" vertical="center"/>
    </xf>
    <xf numFmtId="0" fontId="27" fillId="17" borderId="0" xfId="0" applyFont="1" applyFill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0" fillId="17" borderId="4" xfId="0" applyFont="1" applyFill="1" applyBorder="1" applyAlignment="1">
      <alignment horizontal="center" vertical="center" wrapText="1"/>
    </xf>
    <xf numFmtId="0" fontId="10" fillId="17" borderId="6" xfId="0" applyFont="1" applyFill="1" applyBorder="1" applyAlignment="1">
      <alignment horizontal="center" vertical="center" wrapText="1"/>
    </xf>
    <xf numFmtId="0" fontId="1" fillId="17" borderId="4" xfId="0" applyFont="1" applyFill="1" applyBorder="1" applyAlignment="1">
      <alignment horizontal="right" vertical="center"/>
    </xf>
    <xf numFmtId="0" fontId="1" fillId="17" borderId="6" xfId="0" applyFont="1" applyFill="1" applyBorder="1" applyAlignment="1">
      <alignment horizontal="right" vertical="center"/>
    </xf>
    <xf numFmtId="44" fontId="1" fillId="17" borderId="1" xfId="1" applyNumberFormat="1" applyFont="1" applyFill="1" applyBorder="1" applyAlignment="1">
      <alignment horizontal="left" vertical="center"/>
    </xf>
    <xf numFmtId="0" fontId="1" fillId="17" borderId="4" xfId="0" applyFont="1" applyFill="1" applyBorder="1" applyAlignment="1">
      <alignment horizontal="left" vertical="center" wrapText="1"/>
    </xf>
    <xf numFmtId="0" fontId="1" fillId="17" borderId="6" xfId="0" applyFont="1" applyFill="1" applyBorder="1" applyAlignment="1">
      <alignment horizontal="left" vertical="center" wrapText="1"/>
    </xf>
    <xf numFmtId="17" fontId="1" fillId="17" borderId="4" xfId="0" applyNumberFormat="1" applyFont="1" applyFill="1" applyBorder="1" applyAlignment="1">
      <alignment horizontal="right" vertical="center"/>
    </xf>
    <xf numFmtId="0" fontId="10" fillId="6" borderId="1" xfId="0" applyFont="1" applyFill="1" applyBorder="1" applyAlignment="1">
      <alignment horizontal="center"/>
    </xf>
    <xf numFmtId="0" fontId="10" fillId="4" borderId="1" xfId="0" applyFont="1" applyFill="1" applyBorder="1" applyAlignment="1">
      <alignment horizontal="left"/>
    </xf>
    <xf numFmtId="0" fontId="16" fillId="17" borderId="0" xfId="0" applyFont="1" applyFill="1" applyAlignment="1">
      <alignment horizontal="center" vertical="center" wrapText="1"/>
    </xf>
    <xf numFmtId="0" fontId="15" fillId="18" borderId="4" xfId="0" applyFont="1" applyFill="1" applyBorder="1" applyAlignment="1">
      <alignment horizontal="center" vertical="center" wrapText="1"/>
    </xf>
    <xf numFmtId="0" fontId="15" fillId="18" borderId="6" xfId="0" applyFont="1" applyFill="1" applyBorder="1" applyAlignment="1">
      <alignment horizontal="center" vertical="center" wrapText="1"/>
    </xf>
    <xf numFmtId="0" fontId="24" fillId="18" borderId="4" xfId="0" applyFont="1" applyFill="1" applyBorder="1" applyAlignment="1">
      <alignment horizontal="right" vertical="center"/>
    </xf>
    <xf numFmtId="0" fontId="24" fillId="18" borderId="6" xfId="0" applyFont="1" applyFill="1" applyBorder="1" applyAlignment="1">
      <alignment horizontal="right" vertical="center"/>
    </xf>
    <xf numFmtId="44" fontId="24" fillId="18" borderId="1" xfId="1" applyNumberFormat="1" applyFont="1" applyFill="1" applyBorder="1" applyAlignment="1">
      <alignment horizontal="left" vertical="center"/>
    </xf>
    <xf numFmtId="0" fontId="24" fillId="18" borderId="4" xfId="0" applyFont="1" applyFill="1" applyBorder="1" applyAlignment="1">
      <alignment horizontal="left" vertical="center" wrapText="1"/>
    </xf>
    <xf numFmtId="0" fontId="24" fillId="18" borderId="6" xfId="0" applyFont="1" applyFill="1" applyBorder="1" applyAlignment="1">
      <alignment horizontal="left" vertical="center" wrapText="1"/>
    </xf>
    <xf numFmtId="17" fontId="24" fillId="18" borderId="4" xfId="0" applyNumberFormat="1" applyFont="1" applyFill="1" applyBorder="1" applyAlignment="1">
      <alignment horizontal="right" vertical="center"/>
    </xf>
    <xf numFmtId="0" fontId="26" fillId="18" borderId="0" xfId="0" applyFont="1" applyFill="1" applyAlignment="1">
      <alignment horizontal="center" vertical="center" wrapText="1"/>
    </xf>
    <xf numFmtId="0" fontId="1" fillId="5" borderId="4" xfId="0" applyFont="1" applyFill="1" applyBorder="1" applyAlignment="1">
      <alignment horizontal="left" vertical="center" wrapText="1"/>
    </xf>
    <xf numFmtId="0" fontId="1" fillId="5" borderId="6" xfId="0" applyFont="1" applyFill="1" applyBorder="1" applyAlignment="1">
      <alignment horizontal="left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10" fillId="5" borderId="6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right" vertical="center"/>
    </xf>
    <xf numFmtId="0" fontId="1" fillId="5" borderId="6" xfId="0" applyFont="1" applyFill="1" applyBorder="1" applyAlignment="1">
      <alignment horizontal="right" vertical="center"/>
    </xf>
    <xf numFmtId="44" fontId="1" fillId="5" borderId="1" xfId="1" applyNumberFormat="1" applyFont="1" applyFill="1" applyBorder="1" applyAlignment="1">
      <alignment horizontal="left" vertical="center"/>
    </xf>
    <xf numFmtId="17" fontId="1" fillId="5" borderId="4" xfId="0" applyNumberFormat="1" applyFont="1" applyFill="1" applyBorder="1" applyAlignment="1">
      <alignment horizontal="right" vertical="center"/>
    </xf>
    <xf numFmtId="0" fontId="16" fillId="5" borderId="0" xfId="0" applyFont="1" applyFill="1" applyAlignment="1">
      <alignment horizontal="center" vertical="center" wrapText="1"/>
    </xf>
    <xf numFmtId="0" fontId="10" fillId="14" borderId="4" xfId="0" applyFont="1" applyFill="1" applyBorder="1" applyAlignment="1">
      <alignment horizontal="center" vertical="center" wrapText="1"/>
    </xf>
    <xf numFmtId="0" fontId="10" fillId="14" borderId="6" xfId="0" applyFont="1" applyFill="1" applyBorder="1" applyAlignment="1">
      <alignment horizontal="center" vertical="center" wrapText="1"/>
    </xf>
    <xf numFmtId="0" fontId="1" fillId="14" borderId="4" xfId="0" applyFont="1" applyFill="1" applyBorder="1" applyAlignment="1">
      <alignment horizontal="right" vertical="center"/>
    </xf>
    <xf numFmtId="0" fontId="1" fillId="14" borderId="6" xfId="0" applyFont="1" applyFill="1" applyBorder="1" applyAlignment="1">
      <alignment horizontal="right" vertical="center"/>
    </xf>
    <xf numFmtId="44" fontId="1" fillId="14" borderId="1" xfId="1" applyNumberFormat="1" applyFont="1" applyFill="1" applyBorder="1" applyAlignment="1">
      <alignment horizontal="left" vertical="center"/>
    </xf>
    <xf numFmtId="0" fontId="1" fillId="14" borderId="4" xfId="0" applyFont="1" applyFill="1" applyBorder="1" applyAlignment="1">
      <alignment horizontal="left" vertical="center" wrapText="1"/>
    </xf>
    <xf numFmtId="0" fontId="1" fillId="14" borderId="6" xfId="0" applyFont="1" applyFill="1" applyBorder="1" applyAlignment="1">
      <alignment horizontal="left" vertical="center" wrapText="1"/>
    </xf>
    <xf numFmtId="17" fontId="1" fillId="14" borderId="4" xfId="0" applyNumberFormat="1" applyFont="1" applyFill="1" applyBorder="1" applyAlignment="1">
      <alignment horizontal="right" vertical="center"/>
    </xf>
    <xf numFmtId="0" fontId="16" fillId="14" borderId="0" xfId="0" applyFont="1" applyFill="1" applyAlignment="1">
      <alignment horizontal="center" vertical="center" wrapText="1"/>
    </xf>
    <xf numFmtId="0" fontId="10" fillId="15" borderId="4" xfId="0" applyFont="1" applyFill="1" applyBorder="1" applyAlignment="1">
      <alignment horizontal="center" vertical="center" wrapText="1"/>
    </xf>
    <xf numFmtId="0" fontId="10" fillId="15" borderId="6" xfId="0" applyFont="1" applyFill="1" applyBorder="1" applyAlignment="1">
      <alignment horizontal="center" vertical="center" wrapText="1"/>
    </xf>
    <xf numFmtId="0" fontId="1" fillId="15" borderId="4" xfId="0" applyFont="1" applyFill="1" applyBorder="1" applyAlignment="1">
      <alignment horizontal="right" vertical="center"/>
    </xf>
    <xf numFmtId="0" fontId="1" fillId="15" borderId="6" xfId="0" applyFont="1" applyFill="1" applyBorder="1" applyAlignment="1">
      <alignment horizontal="right" vertical="center"/>
    </xf>
    <xf numFmtId="44" fontId="1" fillId="15" borderId="1" xfId="1" applyNumberFormat="1" applyFont="1" applyFill="1" applyBorder="1" applyAlignment="1">
      <alignment horizontal="left" vertical="center"/>
    </xf>
    <xf numFmtId="0" fontId="1" fillId="15" borderId="4" xfId="0" applyFont="1" applyFill="1" applyBorder="1" applyAlignment="1">
      <alignment horizontal="left" vertical="center" wrapText="1"/>
    </xf>
    <xf numFmtId="0" fontId="1" fillId="15" borderId="6" xfId="0" applyFont="1" applyFill="1" applyBorder="1" applyAlignment="1">
      <alignment horizontal="left" vertical="center" wrapText="1"/>
    </xf>
    <xf numFmtId="17" fontId="1" fillId="15" borderId="4" xfId="0" applyNumberFormat="1" applyFont="1" applyFill="1" applyBorder="1" applyAlignment="1">
      <alignment horizontal="right" vertical="center"/>
    </xf>
    <xf numFmtId="0" fontId="16" fillId="15" borderId="0" xfId="0" applyFont="1" applyFill="1" applyAlignment="1">
      <alignment horizontal="center" vertical="center" wrapText="1"/>
    </xf>
    <xf numFmtId="0" fontId="10" fillId="19" borderId="4" xfId="0" applyFont="1" applyFill="1" applyBorder="1" applyAlignment="1">
      <alignment horizontal="center" vertical="center" wrapText="1"/>
    </xf>
    <xf numFmtId="0" fontId="10" fillId="19" borderId="6" xfId="0" applyFont="1" applyFill="1" applyBorder="1" applyAlignment="1">
      <alignment horizontal="center" vertical="center" wrapText="1"/>
    </xf>
    <xf numFmtId="0" fontId="1" fillId="19" borderId="4" xfId="0" applyFont="1" applyFill="1" applyBorder="1" applyAlignment="1">
      <alignment horizontal="right" vertical="center"/>
    </xf>
    <xf numFmtId="0" fontId="1" fillId="19" borderId="6" xfId="0" applyFont="1" applyFill="1" applyBorder="1" applyAlignment="1">
      <alignment horizontal="right" vertical="center"/>
    </xf>
    <xf numFmtId="44" fontId="1" fillId="19" borderId="1" xfId="1" applyNumberFormat="1" applyFont="1" applyFill="1" applyBorder="1" applyAlignment="1">
      <alignment horizontal="left" vertical="center"/>
    </xf>
    <xf numFmtId="0" fontId="1" fillId="19" borderId="4" xfId="0" applyFont="1" applyFill="1" applyBorder="1" applyAlignment="1">
      <alignment horizontal="left" vertical="center" wrapText="1"/>
    </xf>
    <xf numFmtId="0" fontId="1" fillId="19" borderId="6" xfId="0" applyFont="1" applyFill="1" applyBorder="1" applyAlignment="1">
      <alignment horizontal="left" vertical="center" wrapText="1"/>
    </xf>
    <xf numFmtId="17" fontId="1" fillId="19" borderId="4" xfId="0" applyNumberFormat="1" applyFont="1" applyFill="1" applyBorder="1" applyAlignment="1">
      <alignment horizontal="right" vertical="center"/>
    </xf>
    <xf numFmtId="0" fontId="1" fillId="12" borderId="1" xfId="0" applyFont="1" applyFill="1" applyBorder="1" applyAlignment="1">
      <alignment horizontal="left" vertical="center"/>
    </xf>
    <xf numFmtId="0" fontId="15" fillId="18" borderId="0" xfId="0" applyFont="1" applyFill="1" applyAlignment="1">
      <alignment horizontal="center" vertical="center" wrapText="1"/>
    </xf>
    <xf numFmtId="0" fontId="18" fillId="3" borderId="0" xfId="0" applyFont="1" applyFill="1" applyBorder="1" applyAlignment="1">
      <alignment horizontal="center" vertical="center" wrapText="1"/>
    </xf>
    <xf numFmtId="0" fontId="15" fillId="3" borderId="0" xfId="0" applyFont="1" applyFill="1" applyBorder="1" applyAlignment="1">
      <alignment horizontal="center" vertical="center"/>
    </xf>
    <xf numFmtId="0" fontId="18" fillId="3" borderId="3" xfId="0" applyFont="1" applyFill="1" applyBorder="1" applyAlignment="1">
      <alignment horizontal="center" vertical="center" wrapText="1"/>
    </xf>
    <xf numFmtId="0" fontId="0" fillId="0" borderId="16" xfId="0" applyBorder="1" applyAlignment="1" applyProtection="1">
      <alignment horizontal="center"/>
    </xf>
    <xf numFmtId="0" fontId="30" fillId="0" borderId="17" xfId="0" applyFont="1" applyBorder="1" applyAlignment="1" applyProtection="1">
      <alignment horizontal="center" vertical="center"/>
    </xf>
    <xf numFmtId="0" fontId="30" fillId="0" borderId="18" xfId="0" applyFont="1" applyBorder="1" applyAlignment="1" applyProtection="1">
      <alignment horizontal="center" vertical="center"/>
    </xf>
    <xf numFmtId="0" fontId="0" fillId="0" borderId="0" xfId="0" applyProtection="1"/>
    <xf numFmtId="0" fontId="0" fillId="0" borderId="19" xfId="0" applyBorder="1" applyAlignment="1" applyProtection="1">
      <alignment horizontal="center"/>
    </xf>
    <xf numFmtId="0" fontId="31" fillId="0" borderId="0" xfId="0" applyFont="1" applyBorder="1" applyAlignment="1" applyProtection="1">
      <alignment horizontal="center" vertical="center"/>
    </xf>
    <xf numFmtId="0" fontId="31" fillId="0" borderId="20" xfId="0" applyFont="1" applyBorder="1" applyAlignment="1" applyProtection="1">
      <alignment horizontal="center" vertical="center"/>
    </xf>
    <xf numFmtId="0" fontId="0" fillId="0" borderId="21" xfId="0" applyBorder="1" applyAlignment="1" applyProtection="1">
      <alignment horizontal="center"/>
    </xf>
    <xf numFmtId="0" fontId="32" fillId="0" borderId="22" xfId="0" applyFont="1" applyBorder="1" applyAlignment="1" applyProtection="1">
      <alignment horizontal="center" vertical="center"/>
    </xf>
    <xf numFmtId="0" fontId="32" fillId="0" borderId="23" xfId="0" applyFont="1" applyBorder="1" applyAlignment="1" applyProtection="1">
      <alignment horizontal="center" vertical="center"/>
    </xf>
    <xf numFmtId="0" fontId="0" fillId="0" borderId="24" xfId="0" applyBorder="1" applyProtection="1"/>
    <xf numFmtId="0" fontId="0" fillId="0" borderId="0" xfId="0" applyBorder="1" applyProtection="1"/>
    <xf numFmtId="9" fontId="2" fillId="0" borderId="0" xfId="2" applyFont="1" applyBorder="1" applyProtection="1"/>
    <xf numFmtId="0" fontId="0" fillId="0" borderId="20" xfId="0" applyBorder="1" applyProtection="1"/>
    <xf numFmtId="0" fontId="32" fillId="22" borderId="25" xfId="0" applyFont="1" applyFill="1" applyBorder="1" applyAlignment="1" applyProtection="1">
      <alignment horizontal="left" vertical="center"/>
    </xf>
    <xf numFmtId="0" fontId="0" fillId="0" borderId="1" xfId="0" applyBorder="1" applyAlignment="1" applyProtection="1">
      <alignment horizontal="left" vertical="center"/>
      <protection locked="0"/>
    </xf>
    <xf numFmtId="0" fontId="32" fillId="0" borderId="1" xfId="0" applyFont="1" applyBorder="1" applyAlignment="1" applyProtection="1">
      <alignment horizontal="left" vertical="center"/>
    </xf>
    <xf numFmtId="14" fontId="0" fillId="0" borderId="1" xfId="0" applyNumberFormat="1" applyBorder="1" applyAlignment="1" applyProtection="1">
      <alignment horizontal="center" vertical="center"/>
      <protection locked="0"/>
    </xf>
    <xf numFmtId="14" fontId="0" fillId="0" borderId="26" xfId="0" applyNumberForma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left"/>
      <protection locked="0"/>
    </xf>
    <xf numFmtId="0" fontId="0" fillId="0" borderId="26" xfId="0" applyBorder="1" applyAlignment="1" applyProtection="1">
      <alignment horizontal="left"/>
      <protection locked="0"/>
    </xf>
    <xf numFmtId="0" fontId="32" fillId="22" borderId="25" xfId="0" applyFont="1" applyFill="1" applyBorder="1" applyAlignment="1" applyProtection="1">
      <alignment horizontal="left" vertical="center"/>
    </xf>
    <xf numFmtId="0" fontId="32" fillId="22" borderId="1" xfId="0" applyFont="1" applyFill="1" applyBorder="1" applyAlignment="1" applyProtection="1">
      <alignment horizontal="left" vertical="center"/>
    </xf>
    <xf numFmtId="0" fontId="33" fillId="0" borderId="27" xfId="0" applyFont="1" applyBorder="1" applyAlignment="1" applyProtection="1">
      <alignment horizontal="right"/>
    </xf>
    <xf numFmtId="0" fontId="33" fillId="0" borderId="11" xfId="0" applyFont="1" applyBorder="1" applyAlignment="1" applyProtection="1">
      <alignment horizontal="right"/>
    </xf>
    <xf numFmtId="0" fontId="33" fillId="0" borderId="28" xfId="0" applyFont="1" applyBorder="1" applyAlignment="1" applyProtection="1">
      <alignment horizontal="right"/>
    </xf>
    <xf numFmtId="0" fontId="34" fillId="22" borderId="25" xfId="0" applyFont="1" applyFill="1" applyBorder="1" applyAlignment="1" applyProtection="1">
      <alignment horizontal="left" vertical="center"/>
    </xf>
    <xf numFmtId="0" fontId="34" fillId="22" borderId="1" xfId="0" applyFont="1" applyFill="1" applyBorder="1" applyAlignment="1" applyProtection="1">
      <alignment horizontal="left" vertical="center"/>
    </xf>
    <xf numFmtId="9" fontId="34" fillId="22" borderId="1" xfId="2" applyFont="1" applyFill="1" applyBorder="1" applyAlignment="1" applyProtection="1">
      <alignment horizontal="center" vertical="center"/>
    </xf>
    <xf numFmtId="0" fontId="34" fillId="22" borderId="1" xfId="0" applyFont="1" applyFill="1" applyBorder="1" applyAlignment="1" applyProtection="1">
      <alignment horizontal="center" vertical="center"/>
    </xf>
    <xf numFmtId="0" fontId="34" fillId="22" borderId="1" xfId="0" applyFont="1" applyFill="1" applyBorder="1" applyAlignment="1" applyProtection="1">
      <alignment horizontal="center" wrapText="1"/>
    </xf>
    <xf numFmtId="0" fontId="0" fillId="22" borderId="25" xfId="0" applyFill="1" applyBorder="1" applyAlignment="1" applyProtection="1">
      <alignment horizontal="left" vertical="center"/>
    </xf>
    <xf numFmtId="0" fontId="0" fillId="22" borderId="1" xfId="0" applyFill="1" applyBorder="1" applyAlignment="1" applyProtection="1">
      <alignment horizontal="left" vertical="center"/>
    </xf>
    <xf numFmtId="9" fontId="32" fillId="22" borderId="1" xfId="2" applyFont="1" applyFill="1" applyBorder="1" applyProtection="1"/>
    <xf numFmtId="0" fontId="32" fillId="0" borderId="1" xfId="0" applyFont="1" applyBorder="1" applyProtection="1">
      <protection locked="0"/>
    </xf>
    <xf numFmtId="2" fontId="0" fillId="0" borderId="1" xfId="0" applyNumberFormat="1" applyBorder="1" applyProtection="1"/>
    <xf numFmtId="0" fontId="35" fillId="0" borderId="3" xfId="0" applyFont="1" applyFill="1" applyBorder="1" applyAlignment="1" applyProtection="1">
      <alignment horizontal="center"/>
    </xf>
    <xf numFmtId="0" fontId="35" fillId="0" borderId="0" xfId="0" applyFont="1" applyFill="1" applyBorder="1" applyAlignment="1" applyProtection="1">
      <alignment horizontal="center"/>
    </xf>
    <xf numFmtId="0" fontId="35" fillId="0" borderId="20" xfId="0" applyFont="1" applyFill="1" applyBorder="1" applyAlignment="1" applyProtection="1">
      <alignment horizontal="center"/>
    </xf>
    <xf numFmtId="0" fontId="34" fillId="0" borderId="0" xfId="0" applyFont="1" applyProtection="1"/>
    <xf numFmtId="0" fontId="32" fillId="0" borderId="0" xfId="0" applyFont="1" applyProtection="1"/>
    <xf numFmtId="0" fontId="0" fillId="23" borderId="1" xfId="0" applyFill="1" applyBorder="1" applyProtection="1"/>
    <xf numFmtId="2" fontId="36" fillId="23" borderId="1" xfId="0" applyNumberFormat="1" applyFont="1" applyFill="1" applyBorder="1" applyProtection="1"/>
    <xf numFmtId="0" fontId="0" fillId="0" borderId="0" xfId="0" applyBorder="1" applyAlignment="1" applyProtection="1">
      <alignment horizontal="center"/>
    </xf>
    <xf numFmtId="0" fontId="0" fillId="0" borderId="20" xfId="0" applyBorder="1" applyAlignment="1" applyProtection="1">
      <alignment horizontal="center"/>
    </xf>
    <xf numFmtId="0" fontId="0" fillId="0" borderId="0" xfId="0" applyAlignment="1" applyProtection="1">
      <alignment horizontal="center"/>
    </xf>
    <xf numFmtId="0" fontId="32" fillId="24" borderId="25" xfId="0" applyFont="1" applyFill="1" applyBorder="1" applyAlignment="1" applyProtection="1">
      <alignment horizontal="left" vertical="center"/>
    </xf>
    <xf numFmtId="0" fontId="0" fillId="24" borderId="1" xfId="0" applyFill="1" applyBorder="1" applyAlignment="1" applyProtection="1">
      <alignment horizontal="left" vertical="center"/>
    </xf>
    <xf numFmtId="9" fontId="32" fillId="24" borderId="1" xfId="2" applyFont="1" applyFill="1" applyBorder="1" applyProtection="1"/>
    <xf numFmtId="0" fontId="32" fillId="24" borderId="1" xfId="0" applyFont="1" applyFill="1" applyBorder="1" applyProtection="1">
      <protection locked="0"/>
    </xf>
    <xf numFmtId="0" fontId="0" fillId="24" borderId="1" xfId="0" applyFill="1" applyBorder="1" applyProtection="1"/>
    <xf numFmtId="0" fontId="36" fillId="23" borderId="25" xfId="0" applyFont="1" applyFill="1" applyBorder="1" applyAlignment="1" applyProtection="1">
      <alignment horizontal="left" vertical="center"/>
    </xf>
    <xf numFmtId="0" fontId="36" fillId="23" borderId="1" xfId="0" applyFont="1" applyFill="1" applyBorder="1" applyAlignment="1" applyProtection="1">
      <alignment horizontal="left" vertical="center"/>
    </xf>
    <xf numFmtId="9" fontId="36" fillId="23" borderId="1" xfId="2" applyFont="1" applyFill="1" applyBorder="1" applyProtection="1"/>
    <xf numFmtId="0" fontId="36" fillId="23" borderId="1" xfId="0" applyFont="1" applyFill="1" applyBorder="1" applyProtection="1"/>
    <xf numFmtId="0" fontId="36" fillId="23" borderId="25" xfId="0" applyFont="1" applyFill="1" applyBorder="1" applyAlignment="1" applyProtection="1">
      <alignment horizontal="left"/>
    </xf>
    <xf numFmtId="0" fontId="36" fillId="23" borderId="1" xfId="0" applyFont="1" applyFill="1" applyBorder="1" applyAlignment="1" applyProtection="1">
      <alignment horizontal="left"/>
    </xf>
    <xf numFmtId="0" fontId="36" fillId="23" borderId="0" xfId="0" applyFont="1" applyFill="1" applyBorder="1" applyAlignment="1" applyProtection="1">
      <alignment horizontal="center" vertical="center"/>
    </xf>
    <xf numFmtId="0" fontId="39" fillId="0" borderId="24" xfId="0" applyFont="1" applyBorder="1" applyAlignment="1" applyProtection="1">
      <alignment horizontal="left"/>
    </xf>
    <xf numFmtId="0" fontId="39" fillId="0" borderId="0" xfId="0" applyFont="1" applyBorder="1" applyAlignment="1" applyProtection="1">
      <alignment horizontal="left"/>
    </xf>
    <xf numFmtId="0" fontId="34" fillId="0" borderId="9" xfId="0" applyFont="1" applyBorder="1" applyAlignment="1" applyProtection="1">
      <alignment horizontal="center"/>
    </xf>
    <xf numFmtId="0" fontId="0" fillId="0" borderId="24" xfId="0" applyBorder="1" applyAlignment="1" applyProtection="1">
      <alignment horizontal="center" vertical="center" wrapText="1"/>
    </xf>
    <xf numFmtId="0" fontId="32" fillId="0" borderId="9" xfId="0" applyFont="1" applyBorder="1" applyAlignment="1" applyProtection="1">
      <alignment horizontal="center" vertical="center" wrapText="1"/>
    </xf>
    <xf numFmtId="0" fontId="32" fillId="0" borderId="9" xfId="0" applyFont="1" applyBorder="1" applyAlignment="1" applyProtection="1">
      <alignment horizontal="center" vertical="center" wrapText="1"/>
    </xf>
    <xf numFmtId="0" fontId="41" fillId="0" borderId="9" xfId="0" applyFont="1" applyBorder="1" applyAlignment="1" applyProtection="1">
      <alignment horizontal="center" vertical="center" wrapText="1"/>
    </xf>
    <xf numFmtId="0" fontId="0" fillId="0" borderId="9" xfId="0" applyBorder="1" applyAlignment="1" applyProtection="1">
      <alignment horizontal="center" vertical="center" wrapText="1"/>
    </xf>
    <xf numFmtId="0" fontId="0" fillId="0" borderId="20" xfId="0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32" fillId="0" borderId="25" xfId="0" applyFont="1" applyBorder="1" applyProtection="1"/>
    <xf numFmtId="3" fontId="0" fillId="0" borderId="1" xfId="0" applyNumberFormat="1" applyBorder="1" applyAlignment="1" applyProtection="1">
      <alignment horizontal="right"/>
    </xf>
    <xf numFmtId="44" fontId="2" fillId="0" borderId="1" xfId="1" applyFont="1" applyBorder="1" applyAlignment="1" applyProtection="1">
      <alignment horizontal="right"/>
    </xf>
    <xf numFmtId="0" fontId="0" fillId="0" borderId="1" xfId="0" applyBorder="1" applyProtection="1"/>
    <xf numFmtId="4" fontId="2" fillId="0" borderId="1" xfId="2" applyNumberFormat="1" applyFont="1" applyBorder="1" applyProtection="1">
      <protection locked="0"/>
    </xf>
    <xf numFmtId="4" fontId="0" fillId="0" borderId="1" xfId="0" applyNumberFormat="1" applyBorder="1" applyProtection="1">
      <protection locked="0"/>
    </xf>
    <xf numFmtId="44" fontId="2" fillId="0" borderId="1" xfId="1" applyFont="1" applyBorder="1" applyProtection="1"/>
    <xf numFmtId="167" fontId="0" fillId="0" borderId="1" xfId="0" applyNumberFormat="1" applyBorder="1" applyAlignment="1" applyProtection="1">
      <alignment horizontal="right"/>
    </xf>
    <xf numFmtId="0" fontId="0" fillId="0" borderId="1" xfId="0" applyBorder="1" applyAlignment="1" applyProtection="1">
      <alignment horizontal="right"/>
    </xf>
    <xf numFmtId="0" fontId="32" fillId="0" borderId="0" xfId="0" applyFont="1" applyBorder="1" applyProtection="1"/>
    <xf numFmtId="0" fontId="32" fillId="0" borderId="1" xfId="0" applyFont="1" applyBorder="1" applyAlignment="1" applyProtection="1">
      <alignment horizontal="center"/>
    </xf>
    <xf numFmtId="167" fontId="0" fillId="0" borderId="1" xfId="0" applyNumberFormat="1" applyBorder="1" applyAlignment="1" applyProtection="1">
      <alignment horizontal="center"/>
    </xf>
    <xf numFmtId="9" fontId="32" fillId="25" borderId="1" xfId="2" applyFont="1" applyFill="1" applyBorder="1" applyAlignment="1" applyProtection="1">
      <alignment horizontal="center" vertical="center"/>
    </xf>
    <xf numFmtId="0" fontId="0" fillId="25" borderId="1" xfId="0" applyFill="1" applyBorder="1" applyAlignment="1" applyProtection="1">
      <alignment horizontal="center" vertical="center"/>
    </xf>
    <xf numFmtId="0" fontId="42" fillId="0" borderId="20" xfId="0" applyFont="1" applyBorder="1" applyAlignment="1" applyProtection="1">
      <alignment horizontal="right"/>
    </xf>
    <xf numFmtId="0" fontId="41" fillId="0" borderId="27" xfId="0" applyFont="1" applyBorder="1" applyAlignment="1" applyProtection="1">
      <alignment horizontal="center" vertical="top"/>
    </xf>
    <xf numFmtId="0" fontId="41" fillId="0" borderId="13" xfId="0" applyFont="1" applyBorder="1" applyAlignment="1" applyProtection="1">
      <alignment horizontal="center" vertical="top"/>
    </xf>
    <xf numFmtId="0" fontId="41" fillId="0" borderId="12" xfId="0" applyFont="1" applyBorder="1" applyAlignment="1" applyProtection="1">
      <alignment horizontal="center" vertical="top"/>
    </xf>
    <xf numFmtId="0" fontId="41" fillId="0" borderId="1" xfId="0" applyFont="1" applyBorder="1" applyAlignment="1" applyProtection="1">
      <alignment horizontal="center" vertical="top"/>
    </xf>
    <xf numFmtId="0" fontId="41" fillId="0" borderId="26" xfId="0" applyFont="1" applyBorder="1" applyAlignment="1" applyProtection="1">
      <alignment horizontal="center" vertical="top"/>
    </xf>
    <xf numFmtId="0" fontId="41" fillId="0" borderId="24" xfId="0" applyFont="1" applyBorder="1" applyAlignment="1" applyProtection="1">
      <alignment horizontal="center" vertical="top"/>
    </xf>
    <xf numFmtId="0" fontId="41" fillId="0" borderId="14" xfId="0" applyFont="1" applyBorder="1" applyAlignment="1" applyProtection="1">
      <alignment horizontal="center" vertical="top"/>
    </xf>
    <xf numFmtId="0" fontId="41" fillId="0" borderId="3" xfId="0" applyFont="1" applyBorder="1" applyAlignment="1" applyProtection="1">
      <alignment horizontal="center" vertical="top"/>
    </xf>
    <xf numFmtId="0" fontId="41" fillId="0" borderId="29" xfId="0" applyFont="1" applyBorder="1" applyAlignment="1" applyProtection="1">
      <alignment horizontal="center" vertical="top"/>
    </xf>
    <xf numFmtId="0" fontId="41" fillId="0" borderId="30" xfId="0" applyFont="1" applyBorder="1" applyAlignment="1" applyProtection="1">
      <alignment horizontal="center" vertical="top"/>
    </xf>
    <xf numFmtId="0" fontId="41" fillId="0" borderId="31" xfId="0" applyFont="1" applyBorder="1" applyAlignment="1" applyProtection="1">
      <alignment horizontal="center" vertical="top"/>
    </xf>
    <xf numFmtId="0" fontId="41" fillId="0" borderId="32" xfId="0" applyFont="1" applyBorder="1" applyAlignment="1" applyProtection="1">
      <alignment horizontal="center" vertical="top"/>
    </xf>
    <xf numFmtId="0" fontId="41" fillId="0" borderId="33" xfId="0" applyFont="1" applyBorder="1" applyAlignment="1" applyProtection="1">
      <alignment horizontal="center" vertical="top"/>
    </xf>
    <xf numFmtId="9" fontId="2" fillId="0" borderId="0" xfId="2" applyFont="1" applyProtection="1"/>
    <xf numFmtId="0" fontId="32" fillId="0" borderId="1" xfId="0" applyFont="1" applyBorder="1" applyAlignment="1" applyProtection="1">
      <alignment horizontal="center" vertical="center"/>
    </xf>
    <xf numFmtId="0" fontId="32" fillId="0" borderId="1" xfId="0" applyFont="1" applyBorder="1" applyAlignment="1" applyProtection="1">
      <alignment horizontal="center" vertical="center" wrapText="1"/>
    </xf>
    <xf numFmtId="0" fontId="32" fillId="0" borderId="1" xfId="0" applyFont="1" applyBorder="1" applyAlignment="1" applyProtection="1">
      <alignment horizontal="center" vertical="center"/>
    </xf>
    <xf numFmtId="0" fontId="32" fillId="0" borderId="1" xfId="0" applyFont="1" applyBorder="1" applyAlignment="1" applyProtection="1">
      <alignment horizontal="center"/>
    </xf>
    <xf numFmtId="9" fontId="2" fillId="0" borderId="1" xfId="2" applyFont="1" applyBorder="1" applyAlignment="1" applyProtection="1">
      <alignment horizontal="center"/>
    </xf>
    <xf numFmtId="0" fontId="32" fillId="0" borderId="1" xfId="0" applyFont="1" applyBorder="1" applyAlignment="1" applyProtection="1">
      <alignment horizontal="right" vertical="center"/>
    </xf>
    <xf numFmtId="0" fontId="0" fillId="0" borderId="1" xfId="0" applyBorder="1" applyAlignment="1" applyProtection="1">
      <alignment horizontal="right" vertical="center"/>
    </xf>
    <xf numFmtId="0" fontId="32" fillId="0" borderId="34" xfId="0" applyFont="1" applyFill="1" applyBorder="1" applyAlignment="1" applyProtection="1">
      <alignment vertical="center"/>
    </xf>
    <xf numFmtId="0" fontId="32" fillId="0" borderId="5" xfId="0" applyFont="1" applyFill="1" applyBorder="1" applyAlignment="1" applyProtection="1">
      <alignment vertical="center"/>
    </xf>
    <xf numFmtId="0" fontId="32" fillId="0" borderId="6" xfId="0" applyFont="1" applyFill="1" applyBorder="1" applyAlignment="1" applyProtection="1">
      <alignment vertical="center"/>
    </xf>
    <xf numFmtId="167" fontId="0" fillId="0" borderId="4" xfId="0" applyNumberFormat="1" applyBorder="1" applyAlignment="1" applyProtection="1">
      <alignment horizontal="center" vertical="center"/>
    </xf>
    <xf numFmtId="167" fontId="0" fillId="0" borderId="5" xfId="0" applyNumberFormat="1" applyBorder="1" applyAlignment="1" applyProtection="1">
      <alignment horizontal="center" vertical="center"/>
    </xf>
    <xf numFmtId="167" fontId="0" fillId="0" borderId="6" xfId="0" applyNumberFormat="1" applyBorder="1" applyAlignment="1" applyProtection="1">
      <alignment horizontal="center" vertical="center"/>
    </xf>
    <xf numFmtId="0" fontId="32" fillId="0" borderId="4" xfId="0" applyFont="1" applyBorder="1" applyAlignment="1" applyProtection="1">
      <alignment horizontal="center"/>
    </xf>
    <xf numFmtId="0" fontId="32" fillId="0" borderId="5" xfId="0" applyFont="1" applyBorder="1" applyAlignment="1" applyProtection="1">
      <alignment horizontal="center"/>
    </xf>
    <xf numFmtId="0" fontId="32" fillId="0" borderId="6" xfId="0" applyFont="1" applyBorder="1" applyAlignment="1" applyProtection="1">
      <alignment horizontal="center"/>
    </xf>
    <xf numFmtId="0" fontId="0" fillId="0" borderId="4" xfId="0" applyBorder="1" applyAlignment="1" applyProtection="1">
      <alignment horizontal="center"/>
    </xf>
    <xf numFmtId="0" fontId="0" fillId="0" borderId="5" xfId="0" applyBorder="1" applyAlignment="1" applyProtection="1">
      <alignment horizontal="center"/>
    </xf>
    <xf numFmtId="0" fontId="0" fillId="0" borderId="6" xfId="0" applyBorder="1" applyAlignment="1" applyProtection="1">
      <alignment horizontal="center"/>
    </xf>
    <xf numFmtId="44" fontId="2" fillId="0" borderId="4" xfId="1" applyFont="1" applyBorder="1" applyAlignment="1" applyProtection="1">
      <alignment horizontal="center"/>
    </xf>
    <xf numFmtId="44" fontId="2" fillId="0" borderId="5" xfId="1" applyFont="1" applyBorder="1" applyAlignment="1" applyProtection="1">
      <alignment horizontal="center"/>
    </xf>
    <xf numFmtId="44" fontId="2" fillId="0" borderId="6" xfId="1" applyFont="1" applyBorder="1" applyAlignment="1" applyProtection="1">
      <alignment horizontal="center"/>
    </xf>
    <xf numFmtId="0" fontId="32" fillId="0" borderId="27" xfId="0" applyFont="1" applyFill="1" applyBorder="1" applyAlignment="1" applyProtection="1">
      <alignment vertical="center"/>
    </xf>
    <xf numFmtId="0" fontId="32" fillId="0" borderId="11" xfId="0" applyFont="1" applyFill="1" applyBorder="1" applyAlignment="1" applyProtection="1">
      <alignment vertical="center"/>
    </xf>
    <xf numFmtId="0" fontId="32" fillId="0" borderId="13" xfId="0" applyFont="1" applyFill="1" applyBorder="1" applyAlignment="1" applyProtection="1">
      <alignment vertical="center"/>
    </xf>
    <xf numFmtId="44" fontId="2" fillId="0" borderId="12" xfId="1" applyFont="1" applyBorder="1" applyAlignment="1" applyProtection="1">
      <alignment horizontal="center"/>
    </xf>
    <xf numFmtId="44" fontId="2" fillId="0" borderId="11" xfId="1" applyFont="1" applyBorder="1" applyAlignment="1" applyProtection="1">
      <alignment horizontal="center"/>
    </xf>
    <xf numFmtId="44" fontId="2" fillId="0" borderId="13" xfId="1" applyFont="1" applyBorder="1" applyAlignment="1" applyProtection="1">
      <alignment horizontal="center"/>
    </xf>
    <xf numFmtId="0" fontId="43" fillId="23" borderId="25" xfId="0" applyFont="1" applyFill="1" applyBorder="1" applyAlignment="1" applyProtection="1">
      <alignment horizontal="center"/>
    </xf>
    <xf numFmtId="0" fontId="43" fillId="23" borderId="1" xfId="0" applyFont="1" applyFill="1" applyBorder="1" applyAlignment="1" applyProtection="1">
      <alignment horizontal="center"/>
    </xf>
    <xf numFmtId="0" fontId="43" fillId="23" borderId="26" xfId="0" applyFont="1" applyFill="1" applyBorder="1" applyAlignment="1" applyProtection="1">
      <alignment horizontal="center"/>
    </xf>
    <xf numFmtId="0" fontId="32" fillId="0" borderId="27" xfId="0" applyFont="1" applyBorder="1" applyAlignment="1" applyProtection="1">
      <alignment horizontal="left" vertical="top" wrapText="1"/>
      <protection locked="0"/>
    </xf>
    <xf numFmtId="0" fontId="0" fillId="0" borderId="11" xfId="0" applyBorder="1" applyAlignment="1" applyProtection="1">
      <alignment horizontal="left" vertical="top" wrapText="1"/>
      <protection locked="0"/>
    </xf>
    <xf numFmtId="0" fontId="0" fillId="0" borderId="28" xfId="0" applyBorder="1" applyAlignment="1" applyProtection="1">
      <alignment horizontal="left" vertical="top" wrapText="1"/>
      <protection locked="0"/>
    </xf>
    <xf numFmtId="0" fontId="0" fillId="0" borderId="24" xfId="0" applyBorder="1" applyAlignment="1" applyProtection="1">
      <alignment horizontal="left" vertical="top" wrapText="1"/>
      <protection locked="0"/>
    </xf>
    <xf numFmtId="0" fontId="0" fillId="0" borderId="0" xfId="0" applyBorder="1" applyAlignment="1" applyProtection="1">
      <alignment horizontal="left" vertical="top" wrapText="1"/>
      <protection locked="0"/>
    </xf>
    <xf numFmtId="0" fontId="0" fillId="0" borderId="20" xfId="0" applyBorder="1" applyAlignment="1" applyProtection="1">
      <alignment horizontal="left" vertical="top" wrapText="1"/>
      <protection locked="0"/>
    </xf>
    <xf numFmtId="0" fontId="0" fillId="0" borderId="35" xfId="0" applyBorder="1" applyAlignment="1" applyProtection="1">
      <alignment horizontal="left" vertical="top" wrapText="1"/>
      <protection locked="0"/>
    </xf>
    <xf numFmtId="0" fontId="0" fillId="0" borderId="15" xfId="0" applyBorder="1" applyAlignment="1" applyProtection="1">
      <alignment horizontal="left" vertical="top" wrapText="1"/>
      <protection locked="0"/>
    </xf>
    <xf numFmtId="0" fontId="0" fillId="0" borderId="36" xfId="0" applyBorder="1" applyAlignment="1" applyProtection="1">
      <alignment horizontal="left" vertical="top" wrapText="1"/>
      <protection locked="0"/>
    </xf>
    <xf numFmtId="0" fontId="0" fillId="0" borderId="29" xfId="0" applyBorder="1" applyProtection="1"/>
    <xf numFmtId="0" fontId="0" fillId="0" borderId="22" xfId="0" applyBorder="1" applyProtection="1"/>
    <xf numFmtId="9" fontId="2" fillId="0" borderId="22" xfId="2" applyFont="1" applyBorder="1" applyProtection="1"/>
    <xf numFmtId="0" fontId="42" fillId="0" borderId="23" xfId="0" applyFont="1" applyBorder="1" applyAlignment="1" applyProtection="1">
      <alignment horizontal="right"/>
    </xf>
    <xf numFmtId="0" fontId="30" fillId="0" borderId="37" xfId="0" applyFont="1" applyBorder="1" applyAlignment="1" applyProtection="1">
      <alignment horizontal="center" vertical="center"/>
    </xf>
    <xf numFmtId="0" fontId="31" fillId="0" borderId="24" xfId="0" applyFont="1" applyBorder="1" applyAlignment="1" applyProtection="1">
      <alignment horizontal="center" vertical="center"/>
    </xf>
    <xf numFmtId="0" fontId="42" fillId="0" borderId="29" xfId="0" applyFont="1" applyBorder="1" applyAlignment="1" applyProtection="1">
      <alignment horizontal="center" vertical="center"/>
    </xf>
    <xf numFmtId="0" fontId="42" fillId="0" borderId="22" xfId="0" applyFont="1" applyBorder="1" applyAlignment="1" applyProtection="1">
      <alignment horizontal="center" vertical="center"/>
    </xf>
    <xf numFmtId="0" fontId="42" fillId="0" borderId="23" xfId="0" applyFont="1" applyBorder="1" applyAlignment="1" applyProtection="1">
      <alignment horizontal="center" vertical="center"/>
    </xf>
    <xf numFmtId="0" fontId="32" fillId="22" borderId="1" xfId="0" applyFont="1" applyFill="1" applyBorder="1" applyAlignment="1" applyProtection="1">
      <alignment horizontal="left" vertical="center"/>
    </xf>
    <xf numFmtId="14" fontId="0" fillId="0" borderId="1" xfId="0" applyNumberFormat="1" applyBorder="1" applyAlignment="1" applyProtection="1">
      <alignment horizontal="center" vertical="center"/>
      <protection locked="0"/>
    </xf>
    <xf numFmtId="0" fontId="32" fillId="22" borderId="1" xfId="0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/>
      <protection locked="0"/>
    </xf>
    <xf numFmtId="0" fontId="3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2" fillId="0" borderId="1" xfId="0" applyFont="1" applyBorder="1" applyAlignment="1"/>
    <xf numFmtId="0" fontId="0" fillId="0" borderId="1" xfId="0" applyBorder="1" applyAlignment="1" applyProtection="1">
      <alignment vertical="center"/>
      <protection locked="0"/>
    </xf>
    <xf numFmtId="0" fontId="43" fillId="23" borderId="1" xfId="0" applyFont="1" applyFill="1" applyBorder="1" applyAlignment="1" applyProtection="1">
      <alignment horizontal="left" vertical="center"/>
    </xf>
    <xf numFmtId="0" fontId="36" fillId="23" borderId="1" xfId="0" applyFont="1" applyFill="1" applyBorder="1" applyAlignment="1">
      <alignment horizontal="center"/>
    </xf>
    <xf numFmtId="0" fontId="43" fillId="23" borderId="1" xfId="0" applyFont="1" applyFill="1" applyBorder="1" applyAlignment="1">
      <alignment horizontal="center"/>
    </xf>
    <xf numFmtId="0" fontId="32" fillId="0" borderId="4" xfId="0" applyFont="1" applyBorder="1" applyAlignment="1">
      <alignment horizontal="center"/>
    </xf>
    <xf numFmtId="0" fontId="32" fillId="0" borderId="5" xfId="0" applyFont="1" applyBorder="1" applyAlignment="1">
      <alignment horizontal="center"/>
    </xf>
    <xf numFmtId="0" fontId="32" fillId="0" borderId="6" xfId="0" applyFont="1" applyBorder="1" applyAlignment="1">
      <alignment horizontal="center"/>
    </xf>
    <xf numFmtId="0" fontId="32" fillId="0" borderId="1" xfId="0" applyFont="1" applyBorder="1"/>
    <xf numFmtId="49" fontId="32" fillId="0" borderId="1" xfId="0" applyNumberFormat="1" applyFont="1" applyBorder="1" applyAlignment="1">
      <alignment horizontal="center"/>
    </xf>
    <xf numFmtId="0" fontId="32" fillId="0" borderId="0" xfId="0" applyFont="1" applyBorder="1" applyAlignment="1" applyProtection="1">
      <alignment horizontal="center"/>
    </xf>
    <xf numFmtId="0" fontId="32" fillId="0" borderId="0" xfId="0" applyFont="1" applyBorder="1" applyAlignment="1" applyProtection="1">
      <alignment horizontal="right" vertical="center"/>
    </xf>
    <xf numFmtId="0" fontId="0" fillId="0" borderId="0" xfId="0" applyBorder="1" applyAlignment="1" applyProtection="1">
      <alignment horizontal="right" vertical="center"/>
    </xf>
    <xf numFmtId="0" fontId="32" fillId="0" borderId="0" xfId="0" applyFont="1" applyBorder="1" applyAlignment="1" applyProtection="1">
      <alignment horizontal="right" vertical="center"/>
    </xf>
    <xf numFmtId="0" fontId="0" fillId="0" borderId="0" xfId="0" applyBorder="1" applyAlignment="1" applyProtection="1">
      <alignment horizontal="right" vertical="center"/>
    </xf>
    <xf numFmtId="0" fontId="32" fillId="0" borderId="4" xfId="0" applyFont="1" applyFill="1" applyBorder="1" applyAlignment="1">
      <alignment horizontal="center"/>
    </xf>
    <xf numFmtId="0" fontId="32" fillId="0" borderId="5" xfId="0" applyFont="1" applyFill="1" applyBorder="1" applyAlignment="1">
      <alignment horizontal="center"/>
    </xf>
    <xf numFmtId="0" fontId="32" fillId="0" borderId="6" xfId="0" applyFont="1" applyFill="1" applyBorder="1" applyAlignment="1">
      <alignment horizontal="center"/>
    </xf>
    <xf numFmtId="0" fontId="32" fillId="0" borderId="4" xfId="0" applyFont="1" applyBorder="1" applyAlignment="1" applyProtection="1">
      <alignment horizontal="right" vertical="center"/>
    </xf>
    <xf numFmtId="0" fontId="0" fillId="0" borderId="5" xfId="0" applyBorder="1" applyAlignment="1" applyProtection="1">
      <alignment horizontal="right" vertical="center"/>
    </xf>
    <xf numFmtId="0" fontId="0" fillId="0" borderId="6" xfId="0" applyBorder="1" applyAlignment="1" applyProtection="1">
      <alignment horizontal="right" vertical="center"/>
    </xf>
    <xf numFmtId="0" fontId="32" fillId="0" borderId="0" xfId="0" applyFont="1" applyBorder="1"/>
    <xf numFmtId="49" fontId="32" fillId="0" borderId="0" xfId="0" applyNumberFormat="1" applyFont="1" applyBorder="1" applyAlignment="1">
      <alignment horizontal="center"/>
    </xf>
    <xf numFmtId="0" fontId="32" fillId="0" borderId="0" xfId="0" applyFont="1"/>
    <xf numFmtId="49" fontId="32" fillId="0" borderId="0" xfId="0" applyNumberFormat="1" applyFont="1"/>
    <xf numFmtId="49" fontId="0" fillId="0" borderId="0" xfId="0" applyNumberFormat="1"/>
    <xf numFmtId="0" fontId="0" fillId="0" borderId="0" xfId="0" applyNumberFormat="1"/>
    <xf numFmtId="0" fontId="3" fillId="0" borderId="0" xfId="0" applyFont="1" applyBorder="1" applyAlignment="1">
      <alignment horizontal="center" vertical="center" wrapText="1"/>
    </xf>
    <xf numFmtId="0" fontId="44" fillId="0" borderId="0" xfId="0" applyFont="1" applyBorder="1" applyAlignment="1">
      <alignment horizontal="center"/>
    </xf>
    <xf numFmtId="0" fontId="46" fillId="0" borderId="1" xfId="0" applyFont="1" applyBorder="1" applyAlignment="1">
      <alignment horizontal="center" vertical="center" wrapText="1"/>
    </xf>
    <xf numFmtId="0" fontId="46" fillId="0" borderId="1" xfId="0" applyFont="1" applyBorder="1" applyAlignment="1">
      <alignment horizontal="left" vertical="center" wrapText="1"/>
    </xf>
    <xf numFmtId="0" fontId="47" fillId="26" borderId="1" xfId="0" applyFont="1" applyFill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3" fillId="26" borderId="4" xfId="0" applyFont="1" applyFill="1" applyBorder="1" applyAlignment="1" applyProtection="1">
      <alignment horizontal="left" vertical="center" wrapText="1"/>
      <protection locked="0"/>
    </xf>
    <xf numFmtId="0" fontId="3" fillId="26" borderId="5" xfId="0" applyFont="1" applyFill="1" applyBorder="1" applyAlignment="1" applyProtection="1">
      <alignment horizontal="left" vertical="center" wrapText="1"/>
      <protection locked="0"/>
    </xf>
    <xf numFmtId="0" fontId="3" fillId="26" borderId="6" xfId="0" applyFont="1" applyFill="1" applyBorder="1" applyAlignment="1" applyProtection="1">
      <alignment horizontal="left" vertical="center" wrapText="1"/>
      <protection locked="0"/>
    </xf>
    <xf numFmtId="0" fontId="3" fillId="26" borderId="1" xfId="0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 applyProtection="1">
      <alignment vertical="center" wrapText="1"/>
      <protection locked="0"/>
    </xf>
    <xf numFmtId="0" fontId="22" fillId="26" borderId="4" xfId="0" applyFont="1" applyFill="1" applyBorder="1" applyAlignment="1">
      <alignment horizontal="left" vertical="center" wrapText="1"/>
    </xf>
    <xf numFmtId="0" fontId="22" fillId="26" borderId="5" xfId="0" applyFont="1" applyFill="1" applyBorder="1" applyAlignment="1">
      <alignment horizontal="left" vertical="center" wrapText="1"/>
    </xf>
    <xf numFmtId="166" fontId="3" fillId="26" borderId="1" xfId="1" applyNumberFormat="1" applyFont="1" applyFill="1" applyBorder="1" applyAlignment="1">
      <alignment horizontal="right" vertical="center" wrapText="1"/>
    </xf>
    <xf numFmtId="0" fontId="22" fillId="26" borderId="1" xfId="0" applyFont="1" applyFill="1" applyBorder="1" applyAlignment="1">
      <alignment horizontal="left" vertical="center" wrapText="1"/>
    </xf>
    <xf numFmtId="164" fontId="3" fillId="26" borderId="1" xfId="1" applyNumberFormat="1" applyFont="1" applyFill="1" applyBorder="1" applyAlignment="1">
      <alignment horizontal="right" vertical="center" wrapText="1"/>
    </xf>
    <xf numFmtId="44" fontId="8" fillId="26" borderId="1" xfId="1" applyFont="1" applyFill="1" applyBorder="1" applyAlignment="1">
      <alignment horizontal="right" vertical="center"/>
    </xf>
  </cellXfs>
  <cellStyles count="3">
    <cellStyle name="Moeda" xfId="1" builtinId="4"/>
    <cellStyle name="Normal" xfId="0" builtinId="0"/>
    <cellStyle name="Porcentagem" xfId="2" builtinId="5"/>
  </cellStyles>
  <dxfs count="3">
    <dxf>
      <font>
        <b/>
        <i val="0"/>
        <color theme="1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FFFF00"/>
        </patternFill>
      </fill>
    </dxf>
    <dxf>
      <font>
        <b/>
        <i val="0"/>
        <color theme="1"/>
      </font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0</xdr:row>
      <xdr:rowOff>47625</xdr:rowOff>
    </xdr:from>
    <xdr:to>
      <xdr:col>0</xdr:col>
      <xdr:colOff>723900</xdr:colOff>
      <xdr:row>2</xdr:row>
      <xdr:rowOff>95250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0" y="47625"/>
          <a:ext cx="5334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161925</xdr:colOff>
      <xdr:row>49</xdr:row>
      <xdr:rowOff>85725</xdr:rowOff>
    </xdr:from>
    <xdr:to>
      <xdr:col>0</xdr:col>
      <xdr:colOff>695325</xdr:colOff>
      <xdr:row>51</xdr:row>
      <xdr:rowOff>161925</xdr:rowOff>
    </xdr:to>
    <xdr:pic>
      <xdr:nvPicPr>
        <xdr:cNvPr id="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1925" y="11963400"/>
          <a:ext cx="5334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0</xdr:row>
      <xdr:rowOff>0</xdr:rowOff>
    </xdr:from>
    <xdr:to>
      <xdr:col>0</xdr:col>
      <xdr:colOff>695325</xdr:colOff>
      <xdr:row>2</xdr:row>
      <xdr:rowOff>142875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1925" y="0"/>
          <a:ext cx="5334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5"/>
  <sheetViews>
    <sheetView tabSelected="1" workbookViewId="0">
      <selection activeCell="E56" sqref="E56"/>
    </sheetView>
  </sheetViews>
  <sheetFormatPr defaultRowHeight="15" x14ac:dyDescent="0.25"/>
  <cols>
    <col min="1" max="1" width="7.28515625" style="2" customWidth="1"/>
    <col min="2" max="2" width="9.140625" style="2"/>
    <col min="3" max="3" width="18" style="2" bestFit="1" customWidth="1"/>
    <col min="4" max="4" width="26.5703125" style="2" customWidth="1"/>
    <col min="5" max="5" width="17.28515625" style="2" customWidth="1"/>
    <col min="6" max="6" width="17.7109375" style="2" customWidth="1"/>
    <col min="7" max="7" width="16.5703125" style="2" bestFit="1" customWidth="1"/>
    <col min="8" max="8" width="17.42578125" style="2" customWidth="1"/>
    <col min="9" max="16384" width="9.140625" style="2"/>
  </cols>
  <sheetData>
    <row r="1" spans="1:8" ht="15" customHeight="1" x14ac:dyDescent="0.25">
      <c r="A1" s="279" t="s">
        <v>2</v>
      </c>
      <c r="B1" s="280"/>
      <c r="C1" s="281"/>
      <c r="D1" s="274" t="s">
        <v>372</v>
      </c>
      <c r="E1" s="274"/>
      <c r="F1" s="274"/>
    </row>
    <row r="2" spans="1:8" x14ac:dyDescent="0.25">
      <c r="A2" s="275" t="s">
        <v>3</v>
      </c>
      <c r="B2" s="275"/>
      <c r="C2" s="1"/>
      <c r="D2" s="274"/>
      <c r="E2" s="274"/>
      <c r="F2" s="274"/>
    </row>
    <row r="3" spans="1:8" x14ac:dyDescent="0.25">
      <c r="A3" s="276" t="s">
        <v>4</v>
      </c>
      <c r="B3" s="276"/>
      <c r="C3" s="276"/>
      <c r="D3" s="276"/>
      <c r="E3" s="276"/>
      <c r="F3" s="276"/>
    </row>
    <row r="4" spans="1:8" x14ac:dyDescent="0.25">
      <c r="A4" s="606"/>
      <c r="B4" s="606"/>
      <c r="C4" s="606"/>
      <c r="D4" s="606"/>
      <c r="E4" s="606"/>
      <c r="F4" s="606"/>
    </row>
    <row r="5" spans="1:8" ht="18" x14ac:dyDescent="0.25">
      <c r="A5" s="607" t="s">
        <v>467</v>
      </c>
      <c r="B5" s="607"/>
      <c r="C5" s="607"/>
      <c r="D5" s="607"/>
      <c r="E5" s="607"/>
      <c r="F5" s="607"/>
      <c r="G5" s="607"/>
      <c r="H5" s="607"/>
    </row>
    <row r="6" spans="1:8" ht="23.45" customHeight="1" x14ac:dyDescent="0.25">
      <c r="A6" s="608" t="s">
        <v>468</v>
      </c>
      <c r="B6" s="608"/>
      <c r="C6" s="608"/>
      <c r="D6" s="608"/>
      <c r="E6" s="608"/>
      <c r="F6" s="608"/>
      <c r="G6" s="608"/>
      <c r="H6" s="608"/>
    </row>
    <row r="7" spans="1:8" ht="25.5" customHeight="1" x14ac:dyDescent="0.25">
      <c r="A7" s="609" t="s">
        <v>469</v>
      </c>
      <c r="B7" s="609"/>
      <c r="C7" s="609"/>
      <c r="D7" s="610"/>
      <c r="E7" s="611" t="s">
        <v>470</v>
      </c>
      <c r="F7" s="612"/>
      <c r="G7" s="612"/>
      <c r="H7" s="613"/>
    </row>
    <row r="8" spans="1:8" ht="23.45" customHeight="1" x14ac:dyDescent="0.25">
      <c r="A8" s="609" t="s">
        <v>471</v>
      </c>
      <c r="B8" s="609"/>
      <c r="C8" s="609"/>
      <c r="D8" s="609"/>
      <c r="E8" s="609"/>
      <c r="F8" s="609"/>
      <c r="G8" s="609"/>
      <c r="H8" s="609"/>
    </row>
    <row r="9" spans="1:8" ht="23.45" customHeight="1" x14ac:dyDescent="0.25">
      <c r="A9" s="609" t="s">
        <v>472</v>
      </c>
      <c r="B9" s="609"/>
      <c r="C9" s="609"/>
      <c r="D9" s="609"/>
      <c r="E9" s="609"/>
      <c r="F9" s="609"/>
      <c r="G9" s="609"/>
      <c r="H9" s="609"/>
    </row>
    <row r="10" spans="1:8" ht="23.45" customHeight="1" x14ac:dyDescent="0.25">
      <c r="A10" s="609" t="s">
        <v>473</v>
      </c>
      <c r="B10" s="609"/>
      <c r="C10" s="609"/>
      <c r="D10" s="609"/>
      <c r="E10" s="609"/>
      <c r="F10" s="609"/>
      <c r="G10" s="609"/>
      <c r="H10" s="609"/>
    </row>
    <row r="12" spans="1:8" ht="15" customHeight="1" x14ac:dyDescent="0.25">
      <c r="A12" s="614" t="s">
        <v>474</v>
      </c>
      <c r="B12" s="615"/>
      <c r="C12" s="615"/>
      <c r="D12" s="615"/>
      <c r="E12" s="615"/>
      <c r="F12" s="615"/>
      <c r="G12" s="615"/>
      <c r="H12" s="616"/>
    </row>
    <row r="13" spans="1:8" ht="22.5" customHeight="1" x14ac:dyDescent="0.25">
      <c r="A13" s="617" t="s">
        <v>475</v>
      </c>
      <c r="B13" s="617"/>
      <c r="C13" s="617"/>
      <c r="D13" s="617"/>
      <c r="E13" s="617"/>
      <c r="F13" s="617"/>
      <c r="G13" s="617"/>
      <c r="H13" s="617"/>
    </row>
    <row r="14" spans="1:8" x14ac:dyDescent="0.25">
      <c r="A14" s="617" t="s">
        <v>385</v>
      </c>
      <c r="B14" s="617"/>
      <c r="C14" s="617"/>
      <c r="D14" s="618"/>
      <c r="E14" s="618"/>
      <c r="F14" s="618"/>
      <c r="G14" s="618"/>
      <c r="H14" s="618"/>
    </row>
    <row r="15" spans="1:8" x14ac:dyDescent="0.25">
      <c r="A15" s="606"/>
      <c r="B15" s="606"/>
      <c r="C15" s="606"/>
      <c r="D15" s="606"/>
      <c r="E15" s="606"/>
      <c r="F15" s="606"/>
    </row>
    <row r="16" spans="1:8" x14ac:dyDescent="0.25">
      <c r="A16" s="277" t="s">
        <v>5</v>
      </c>
      <c r="B16" s="278"/>
      <c r="C16" s="278"/>
      <c r="D16" s="278"/>
      <c r="E16" s="278"/>
      <c r="F16" s="278"/>
    </row>
    <row r="17" spans="1:9" x14ac:dyDescent="0.25">
      <c r="A17" s="3" t="s">
        <v>6</v>
      </c>
      <c r="B17" s="271" t="s">
        <v>7</v>
      </c>
      <c r="C17" s="272"/>
      <c r="D17" s="272"/>
      <c r="E17" s="272"/>
      <c r="F17" s="273"/>
    </row>
    <row r="18" spans="1:9" x14ac:dyDescent="0.25">
      <c r="A18" s="3" t="s">
        <v>8</v>
      </c>
      <c r="B18" s="266" t="s">
        <v>9</v>
      </c>
      <c r="C18" s="267"/>
      <c r="D18" s="268" t="s">
        <v>10</v>
      </c>
      <c r="E18" s="268"/>
      <c r="F18" s="268"/>
    </row>
    <row r="19" spans="1:9" ht="120.75" customHeight="1" x14ac:dyDescent="0.25">
      <c r="A19" s="4" t="s">
        <v>11</v>
      </c>
      <c r="B19" s="269" t="s">
        <v>12</v>
      </c>
      <c r="C19" s="270"/>
      <c r="D19" s="619"/>
      <c r="E19" s="620"/>
      <c r="F19" s="620"/>
      <c r="I19" s="230"/>
    </row>
    <row r="20" spans="1:9" x14ac:dyDescent="0.25">
      <c r="A20" s="3" t="s">
        <v>13</v>
      </c>
      <c r="B20" s="265" t="s">
        <v>14</v>
      </c>
      <c r="C20" s="265"/>
      <c r="D20" s="265"/>
      <c r="E20" s="265"/>
      <c r="F20" s="5">
        <v>12</v>
      </c>
    </row>
    <row r="21" spans="1:9" ht="22.5" x14ac:dyDescent="0.25">
      <c r="A21" s="257"/>
      <c r="B21" s="6" t="s">
        <v>0</v>
      </c>
      <c r="C21" s="258" t="s">
        <v>15</v>
      </c>
      <c r="D21" s="259"/>
      <c r="E21" s="5" t="s">
        <v>1</v>
      </c>
      <c r="F21" s="7" t="s">
        <v>17</v>
      </c>
    </row>
    <row r="22" spans="1:9" x14ac:dyDescent="0.25">
      <c r="A22" s="257"/>
      <c r="B22" s="8">
        <v>14397</v>
      </c>
      <c r="C22" s="253" t="s">
        <v>289</v>
      </c>
      <c r="D22" s="254"/>
      <c r="E22" s="9" t="s">
        <v>261</v>
      </c>
      <c r="F22" s="621"/>
    </row>
    <row r="23" spans="1:9" x14ac:dyDescent="0.25">
      <c r="B23" s="8">
        <v>19399</v>
      </c>
      <c r="C23" s="253" t="s">
        <v>304</v>
      </c>
      <c r="D23" s="254"/>
      <c r="E23" s="9" t="s">
        <v>313</v>
      </c>
      <c r="F23" s="621"/>
      <c r="G23" s="231"/>
    </row>
    <row r="24" spans="1:9" x14ac:dyDescent="0.25">
      <c r="B24" s="8">
        <v>5380</v>
      </c>
      <c r="C24" s="253" t="s">
        <v>359</v>
      </c>
      <c r="D24" s="254"/>
      <c r="E24" s="9" t="s">
        <v>317</v>
      </c>
      <c r="F24" s="621"/>
    </row>
    <row r="25" spans="1:9" x14ac:dyDescent="0.25">
      <c r="B25" s="8">
        <v>5380</v>
      </c>
      <c r="C25" s="253" t="s">
        <v>332</v>
      </c>
      <c r="D25" s="254"/>
      <c r="E25" s="9" t="s">
        <v>338</v>
      </c>
      <c r="F25" s="621"/>
    </row>
    <row r="28" spans="1:9" ht="148.5" customHeight="1" x14ac:dyDescent="0.25">
      <c r="A28" s="219" t="s">
        <v>11</v>
      </c>
      <c r="B28" s="264" t="s">
        <v>12</v>
      </c>
      <c r="C28" s="264"/>
      <c r="D28" s="622"/>
      <c r="E28" s="622"/>
      <c r="F28" s="622"/>
      <c r="G28" s="218"/>
    </row>
    <row r="29" spans="1:9" ht="15" customHeight="1" x14ac:dyDescent="0.25">
      <c r="A29" s="220" t="s">
        <v>13</v>
      </c>
      <c r="B29" s="265" t="s">
        <v>14</v>
      </c>
      <c r="C29" s="265"/>
      <c r="D29" s="265"/>
      <c r="E29" s="265"/>
      <c r="F29" s="203">
        <v>12</v>
      </c>
    </row>
    <row r="30" spans="1:9" x14ac:dyDescent="0.25">
      <c r="A30" s="215"/>
      <c r="B30" s="216" t="s">
        <v>0</v>
      </c>
      <c r="C30" s="262" t="s">
        <v>15</v>
      </c>
      <c r="D30" s="263"/>
      <c r="E30" s="216" t="s">
        <v>1</v>
      </c>
      <c r="F30" s="217" t="s">
        <v>349</v>
      </c>
    </row>
    <row r="31" spans="1:9" ht="39" customHeight="1" x14ac:dyDescent="0.25">
      <c r="A31" s="215"/>
      <c r="B31" s="9">
        <v>15008</v>
      </c>
      <c r="C31" s="253" t="s">
        <v>371</v>
      </c>
      <c r="D31" s="254"/>
      <c r="E31" s="9" t="s">
        <v>350</v>
      </c>
      <c r="F31" s="623"/>
      <c r="G31" s="231"/>
    </row>
    <row r="33" spans="1:8" x14ac:dyDescent="0.25">
      <c r="A33" s="260" t="s">
        <v>16</v>
      </c>
      <c r="B33" s="260"/>
      <c r="C33" s="260"/>
      <c r="D33" s="260"/>
      <c r="E33" s="260"/>
      <c r="F33" s="260"/>
      <c r="G33" s="260"/>
      <c r="H33" s="260"/>
    </row>
    <row r="34" spans="1:8" ht="33.75" x14ac:dyDescent="0.25">
      <c r="A34" s="66" t="s">
        <v>288</v>
      </c>
      <c r="B34" s="10" t="s">
        <v>236</v>
      </c>
      <c r="C34" s="145" t="s">
        <v>0</v>
      </c>
      <c r="D34" s="176" t="s">
        <v>290</v>
      </c>
      <c r="E34" s="11" t="s">
        <v>294</v>
      </c>
      <c r="F34" s="12" t="s">
        <v>295</v>
      </c>
      <c r="G34" s="12" t="s">
        <v>237</v>
      </c>
      <c r="H34" s="12" t="s">
        <v>238</v>
      </c>
    </row>
    <row r="35" spans="1:8" ht="25.5" customHeight="1" x14ac:dyDescent="0.25">
      <c r="A35" s="261">
        <v>1</v>
      </c>
      <c r="B35" s="13">
        <v>1</v>
      </c>
      <c r="C35" s="13">
        <f>+B22</f>
        <v>14397</v>
      </c>
      <c r="D35" s="191" t="s">
        <v>291</v>
      </c>
      <c r="E35" s="188">
        <f>+Demanda!B16</f>
        <v>17</v>
      </c>
      <c r="F35" s="187">
        <f>+'Copeiragem 44h'!D152</f>
        <v>2.17</v>
      </c>
      <c r="G35" s="187">
        <f>+F35*E35</f>
        <v>36.89</v>
      </c>
      <c r="H35" s="187">
        <f>+G35*$F$20</f>
        <v>442.68</v>
      </c>
    </row>
    <row r="36" spans="1:8" s="14" customFormat="1" ht="25.5" customHeight="1" x14ac:dyDescent="0.2">
      <c r="A36" s="261"/>
      <c r="B36" s="13">
        <v>2</v>
      </c>
      <c r="C36" s="13">
        <f>+B22</f>
        <v>14397</v>
      </c>
      <c r="D36" s="191" t="s">
        <v>292</v>
      </c>
      <c r="E36" s="188">
        <f>+Demanda!C16</f>
        <v>58</v>
      </c>
      <c r="F36" s="187">
        <f>+'Copeiragem Diurno'!D152</f>
        <v>2.17</v>
      </c>
      <c r="G36" s="187">
        <f>+F36*E36</f>
        <v>125.86</v>
      </c>
      <c r="H36" s="187">
        <f>+G36*$F$20</f>
        <v>1510.32</v>
      </c>
    </row>
    <row r="37" spans="1:8" s="14" customFormat="1" ht="25.5" customHeight="1" x14ac:dyDescent="0.2">
      <c r="A37" s="261"/>
      <c r="B37" s="13">
        <v>3</v>
      </c>
      <c r="C37" s="13">
        <f>+B22</f>
        <v>14397</v>
      </c>
      <c r="D37" s="191" t="s">
        <v>293</v>
      </c>
      <c r="E37" s="188">
        <f>+Demanda!D16</f>
        <v>18</v>
      </c>
      <c r="F37" s="187">
        <f>+'Copeiragem Noturno'!D152</f>
        <v>2.17</v>
      </c>
      <c r="G37" s="187">
        <f>+F37*E37</f>
        <v>39.06</v>
      </c>
      <c r="H37" s="187">
        <f>+G37*$F$20</f>
        <v>468.72</v>
      </c>
    </row>
    <row r="38" spans="1:8" s="14" customFormat="1" ht="25.5" customHeight="1" x14ac:dyDescent="0.2">
      <c r="A38" s="261"/>
      <c r="B38" s="13">
        <v>4</v>
      </c>
      <c r="C38" s="13">
        <f>+B22</f>
        <v>14397</v>
      </c>
      <c r="D38" s="191" t="s">
        <v>379</v>
      </c>
      <c r="E38" s="188">
        <f>+Demanda!E16</f>
        <v>5</v>
      </c>
      <c r="F38" s="187">
        <f>+'Copeiro 44 Sab'!D152</f>
        <v>2.17</v>
      </c>
      <c r="G38" s="187">
        <f>+F38*E38</f>
        <v>10.85</v>
      </c>
      <c r="H38" s="187">
        <f>+G38*$F$20</f>
        <v>130.19999999999999</v>
      </c>
    </row>
    <row r="39" spans="1:8" s="14" customFormat="1" ht="25.5" customHeight="1" x14ac:dyDescent="0.2">
      <c r="B39" s="16"/>
      <c r="E39" s="189"/>
      <c r="F39" s="200"/>
      <c r="G39" s="200"/>
      <c r="H39" s="190">
        <f>SUM(H35:H38)</f>
        <v>2551.92</v>
      </c>
    </row>
    <row r="40" spans="1:8" s="14" customFormat="1" ht="15" customHeight="1" x14ac:dyDescent="0.2">
      <c r="B40" s="15"/>
      <c r="F40" s="197"/>
      <c r="G40" s="197"/>
      <c r="H40" s="197"/>
    </row>
    <row r="41" spans="1:8" s="14" customFormat="1" ht="33.75" x14ac:dyDescent="0.2">
      <c r="B41" s="145" t="s">
        <v>236</v>
      </c>
      <c r="C41" s="145" t="s">
        <v>0</v>
      </c>
      <c r="D41" s="176" t="s">
        <v>290</v>
      </c>
      <c r="E41" s="11" t="s">
        <v>294</v>
      </c>
      <c r="F41" s="201" t="s">
        <v>295</v>
      </c>
      <c r="G41" s="201" t="s">
        <v>237</v>
      </c>
      <c r="H41" s="201" t="s">
        <v>238</v>
      </c>
    </row>
    <row r="42" spans="1:8" s="14" customFormat="1" ht="25.5" customHeight="1" x14ac:dyDescent="0.2">
      <c r="B42" s="13">
        <v>5</v>
      </c>
      <c r="C42" s="13">
        <f>+B23</f>
        <v>19399</v>
      </c>
      <c r="D42" s="191" t="s">
        <v>318</v>
      </c>
      <c r="E42" s="188">
        <f>+Demanda!B23</f>
        <v>2</v>
      </c>
      <c r="F42" s="187">
        <f>+'Cozinheiro 44h'!D152</f>
        <v>86.54</v>
      </c>
      <c r="G42" s="187">
        <f>+F42*E42</f>
        <v>173.08</v>
      </c>
      <c r="H42" s="187">
        <f>+G42*$F$20</f>
        <v>2076.96</v>
      </c>
    </row>
    <row r="43" spans="1:8" x14ac:dyDescent="0.25">
      <c r="A43" s="65"/>
      <c r="B43" s="65"/>
      <c r="C43" s="65"/>
      <c r="D43" s="65"/>
      <c r="E43" s="65"/>
      <c r="F43" s="202"/>
      <c r="G43" s="196"/>
      <c r="H43" s="196"/>
    </row>
    <row r="44" spans="1:8" ht="33.75" x14ac:dyDescent="0.25">
      <c r="A44" s="145" t="s">
        <v>288</v>
      </c>
      <c r="B44" s="145" t="s">
        <v>236</v>
      </c>
      <c r="C44" s="145" t="s">
        <v>0</v>
      </c>
      <c r="D44" s="176" t="s">
        <v>290</v>
      </c>
      <c r="E44" s="11" t="s">
        <v>294</v>
      </c>
      <c r="F44" s="201" t="s">
        <v>295</v>
      </c>
      <c r="G44" s="201" t="s">
        <v>237</v>
      </c>
      <c r="H44" s="201" t="s">
        <v>238</v>
      </c>
    </row>
    <row r="45" spans="1:8" ht="25.5" customHeight="1" x14ac:dyDescent="0.25">
      <c r="A45" s="255">
        <v>2</v>
      </c>
      <c r="B45" s="13">
        <v>6</v>
      </c>
      <c r="C45" s="13">
        <f>+B24</f>
        <v>5380</v>
      </c>
      <c r="D45" s="191" t="s">
        <v>319</v>
      </c>
      <c r="E45" s="188">
        <f>+Demanda!B29</f>
        <v>1</v>
      </c>
      <c r="F45" s="187">
        <f>+'Camareiro 44h'!D152</f>
        <v>57.69</v>
      </c>
      <c r="G45" s="187">
        <f>+F45*E45</f>
        <v>57.69</v>
      </c>
      <c r="H45" s="187">
        <f>+G45*$F$20</f>
        <v>692.28</v>
      </c>
    </row>
    <row r="46" spans="1:8" ht="25.5" customHeight="1" x14ac:dyDescent="0.25">
      <c r="A46" s="255"/>
      <c r="B46" s="13">
        <v>7</v>
      </c>
      <c r="C46" s="13">
        <f>+B24</f>
        <v>5380</v>
      </c>
      <c r="D46" s="191" t="s">
        <v>320</v>
      </c>
      <c r="E46" s="188">
        <f>+Demanda!C29</f>
        <v>2</v>
      </c>
      <c r="F46" s="187">
        <f>+'Camareiro 12 36 Diurno'!D152</f>
        <v>57.69</v>
      </c>
      <c r="G46" s="187">
        <f>+F46*E46</f>
        <v>115.38</v>
      </c>
      <c r="H46" s="187">
        <f>+G46*$F$20</f>
        <v>1384.56</v>
      </c>
    </row>
    <row r="47" spans="1:8" x14ac:dyDescent="0.25">
      <c r="F47" s="196"/>
      <c r="G47" s="196"/>
      <c r="H47" s="177">
        <f>SUM(H45:H46)</f>
        <v>2076.84</v>
      </c>
    </row>
    <row r="48" spans="1:8" x14ac:dyDescent="0.25">
      <c r="F48" s="196"/>
      <c r="G48" s="196"/>
      <c r="H48" s="196"/>
    </row>
    <row r="49" spans="1:8" ht="33.75" x14ac:dyDescent="0.25">
      <c r="A49" s="16"/>
      <c r="B49" s="229" t="s">
        <v>236</v>
      </c>
      <c r="C49" s="145" t="s">
        <v>0</v>
      </c>
      <c r="D49" s="176" t="s">
        <v>290</v>
      </c>
      <c r="E49" s="11" t="s">
        <v>294</v>
      </c>
      <c r="F49" s="201" t="s">
        <v>295</v>
      </c>
      <c r="G49" s="201" t="s">
        <v>237</v>
      </c>
      <c r="H49" s="201" t="s">
        <v>238</v>
      </c>
    </row>
    <row r="50" spans="1:8" ht="33.75" x14ac:dyDescent="0.25">
      <c r="A50" s="232"/>
      <c r="B50" s="13">
        <v>8</v>
      </c>
      <c r="C50" s="13">
        <f>+B25</f>
        <v>5380</v>
      </c>
      <c r="D50" s="191" t="s">
        <v>333</v>
      </c>
      <c r="E50" s="188">
        <f>+Demanda!B35</f>
        <v>1</v>
      </c>
      <c r="F50" s="187">
        <f>+'Aux Coz 44'!D152</f>
        <v>173.08</v>
      </c>
      <c r="G50" s="187">
        <f>+F50*E50</f>
        <v>173.08</v>
      </c>
      <c r="H50" s="187">
        <f>+G50*$F$20</f>
        <v>2076.96</v>
      </c>
    </row>
    <row r="51" spans="1:8" x14ac:dyDescent="0.25">
      <c r="F51" s="196"/>
      <c r="G51" s="196"/>
      <c r="H51" s="177">
        <f>SUM(H50:H50)</f>
        <v>2076.96</v>
      </c>
    </row>
    <row r="52" spans="1:8" x14ac:dyDescent="0.25">
      <c r="F52" s="196"/>
      <c r="G52" s="196"/>
      <c r="H52" s="227"/>
    </row>
    <row r="53" spans="1:8" ht="33.75" x14ac:dyDescent="0.25">
      <c r="B53" s="145" t="s">
        <v>236</v>
      </c>
      <c r="C53" s="145" t="s">
        <v>0</v>
      </c>
      <c r="D53" s="176" t="s">
        <v>290</v>
      </c>
      <c r="E53" s="204" t="s">
        <v>294</v>
      </c>
      <c r="F53" s="201" t="s">
        <v>295</v>
      </c>
      <c r="G53" s="201" t="s">
        <v>237</v>
      </c>
      <c r="H53" s="201" t="s">
        <v>238</v>
      </c>
    </row>
    <row r="54" spans="1:8" ht="51" customHeight="1" x14ac:dyDescent="0.25">
      <c r="A54" s="256">
        <v>3</v>
      </c>
      <c r="B54" s="13">
        <v>9</v>
      </c>
      <c r="C54" s="13">
        <f>+B31</f>
        <v>15008</v>
      </c>
      <c r="D54" s="235" t="str">
        <f>+C31</f>
        <v xml:space="preserve">Motorista - CARRO DE PASSEIO/UTILITÁRIO  PESADO/VAN - veículos de até 19 passageiros - 44horas seg a sex </v>
      </c>
      <c r="E54" s="188">
        <f>+Demanda!B41</f>
        <v>24</v>
      </c>
      <c r="F54" s="187">
        <f>+'Motorista 44'!D146</f>
        <v>1.86</v>
      </c>
      <c r="G54" s="187">
        <f>+F54*E54</f>
        <v>44.64</v>
      </c>
      <c r="H54" s="187">
        <f>+G54*$F$20</f>
        <v>535.68000000000006</v>
      </c>
    </row>
    <row r="55" spans="1:8" ht="51" customHeight="1" x14ac:dyDescent="0.25">
      <c r="A55" s="256"/>
      <c r="B55" s="13">
        <v>10</v>
      </c>
      <c r="C55" s="13">
        <v>15008</v>
      </c>
      <c r="D55" s="191" t="s">
        <v>369</v>
      </c>
      <c r="E55" s="188">
        <v>300</v>
      </c>
      <c r="F55" s="187">
        <f>+'Motorista 44'!D159</f>
        <v>140.69999999999999</v>
      </c>
      <c r="G55" s="187">
        <f>+F55*E55</f>
        <v>42210</v>
      </c>
      <c r="H55" s="187">
        <f>+G55*$F$20</f>
        <v>506520</v>
      </c>
    </row>
    <row r="56" spans="1:8" x14ac:dyDescent="0.25">
      <c r="H56" s="177">
        <f>+H55+H54</f>
        <v>507055.68</v>
      </c>
    </row>
    <row r="58" spans="1:8" x14ac:dyDescent="0.25">
      <c r="H58" s="177">
        <f>+H51+H47+H42+H39+H56</f>
        <v>515838.36</v>
      </c>
    </row>
    <row r="61" spans="1:8" x14ac:dyDescent="0.25">
      <c r="A61" s="14" t="s">
        <v>360</v>
      </c>
    </row>
    <row r="62" spans="1:8" ht="35.25" customHeight="1" x14ac:dyDescent="0.25">
      <c r="A62" s="252" t="s">
        <v>351</v>
      </c>
      <c r="B62" s="252"/>
      <c r="C62" s="252"/>
      <c r="D62" s="252"/>
      <c r="E62" s="252"/>
      <c r="F62" s="252"/>
      <c r="G62" s="252"/>
      <c r="H62" s="252"/>
    </row>
    <row r="64" spans="1:8" x14ac:dyDescent="0.25">
      <c r="C64" s="14"/>
    </row>
    <row r="65" spans="3:3" x14ac:dyDescent="0.25">
      <c r="C65" s="14"/>
    </row>
  </sheetData>
  <mergeCells count="37">
    <mergeCell ref="B17:F17"/>
    <mergeCell ref="D1:F2"/>
    <mergeCell ref="A2:B2"/>
    <mergeCell ref="A3:F3"/>
    <mergeCell ref="A16:F16"/>
    <mergeCell ref="A1:C1"/>
    <mergeCell ref="A5:H5"/>
    <mergeCell ref="A6:H6"/>
    <mergeCell ref="A7:C7"/>
    <mergeCell ref="E7:H7"/>
    <mergeCell ref="A8:H8"/>
    <mergeCell ref="A9:H9"/>
    <mergeCell ref="A10:H10"/>
    <mergeCell ref="A12:H12"/>
    <mergeCell ref="A13:H13"/>
    <mergeCell ref="A14:C14"/>
    <mergeCell ref="B18:C18"/>
    <mergeCell ref="D18:F18"/>
    <mergeCell ref="B19:C19"/>
    <mergeCell ref="D19:F19"/>
    <mergeCell ref="B20:E20"/>
    <mergeCell ref="A21:A22"/>
    <mergeCell ref="C21:D21"/>
    <mergeCell ref="C22:D22"/>
    <mergeCell ref="A33:H33"/>
    <mergeCell ref="A35:A38"/>
    <mergeCell ref="C23:D23"/>
    <mergeCell ref="C30:D30"/>
    <mergeCell ref="C31:D31"/>
    <mergeCell ref="B28:C28"/>
    <mergeCell ref="B29:E29"/>
    <mergeCell ref="D28:F28"/>
    <mergeCell ref="A62:H62"/>
    <mergeCell ref="C24:D24"/>
    <mergeCell ref="A45:A46"/>
    <mergeCell ref="C25:D25"/>
    <mergeCell ref="A54:A55"/>
  </mergeCells>
  <pageMargins left="0.9055118110236221" right="3.937007874015748E-2" top="0.78740157480314965" bottom="0.78740157480314965" header="0.31496062992125984" footer="0.31496062992125984"/>
  <pageSetup paperSize="9" scale="51" orientation="portrait" r:id="rId1"/>
  <headerFooter>
    <oddFooter>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C127"/>
  <sheetViews>
    <sheetView workbookViewId="0">
      <selection activeCell="B7" sqref="B7"/>
    </sheetView>
  </sheetViews>
  <sheetFormatPr defaultRowHeight="12.75" x14ac:dyDescent="0.2"/>
  <cols>
    <col min="1" max="1" width="73.7109375" style="71" customWidth="1"/>
    <col min="2" max="2" width="16.42578125" style="71" bestFit="1" customWidth="1"/>
    <col min="3" max="3" width="13.85546875" style="71" bestFit="1" customWidth="1"/>
    <col min="4" max="4" width="10.7109375" style="71" bestFit="1" customWidth="1"/>
    <col min="5" max="5" width="79" style="71" customWidth="1"/>
    <col min="6" max="16384" width="9.140625" style="71"/>
  </cols>
  <sheetData>
    <row r="1" spans="1:3" ht="33" customHeight="1" x14ac:dyDescent="0.2">
      <c r="A1" s="386" t="s">
        <v>314</v>
      </c>
      <c r="B1" s="386"/>
      <c r="C1" s="386"/>
    </row>
    <row r="3" spans="1:3" x14ac:dyDescent="0.2">
      <c r="A3" s="86" t="s">
        <v>147</v>
      </c>
      <c r="B3" s="86">
        <v>220</v>
      </c>
    </row>
    <row r="4" spans="1:3" x14ac:dyDescent="0.2">
      <c r="A4" s="86" t="s">
        <v>148</v>
      </c>
      <c r="B4" s="86">
        <v>365.25</v>
      </c>
    </row>
    <row r="5" spans="1:3" x14ac:dyDescent="0.2">
      <c r="A5" s="86" t="s">
        <v>149</v>
      </c>
      <c r="B5" s="49">
        <f>(365.25/12)/(7/5)</f>
        <v>21.741071428571431</v>
      </c>
    </row>
    <row r="6" spans="1:3" x14ac:dyDescent="0.2">
      <c r="A6" s="95" t="s">
        <v>30</v>
      </c>
      <c r="B6" s="90">
        <f>+'Cozinheiro 44h'!D12</f>
        <v>0</v>
      </c>
    </row>
    <row r="7" spans="1:3" x14ac:dyDescent="0.2">
      <c r="A7" s="95" t="s">
        <v>150</v>
      </c>
      <c r="B7" s="90">
        <f>+'Cozinheiro 44h'!D23</f>
        <v>0</v>
      </c>
    </row>
    <row r="9" spans="1:3" x14ac:dyDescent="0.2">
      <c r="A9" s="353" t="s">
        <v>151</v>
      </c>
      <c r="B9" s="354"/>
      <c r="C9" s="355"/>
    </row>
    <row r="10" spans="1:3" x14ac:dyDescent="0.2">
      <c r="A10" s="86" t="s">
        <v>152</v>
      </c>
      <c r="B10" s="86">
        <f>+$B$4</f>
        <v>365.25</v>
      </c>
      <c r="C10" s="107"/>
    </row>
    <row r="11" spans="1:3" x14ac:dyDescent="0.2">
      <c r="A11" s="86" t="s">
        <v>153</v>
      </c>
      <c r="B11" s="95">
        <v>12</v>
      </c>
      <c r="C11" s="107"/>
    </row>
    <row r="12" spans="1:3" x14ac:dyDescent="0.2">
      <c r="A12" s="86" t="s">
        <v>154</v>
      </c>
      <c r="B12" s="89">
        <v>1</v>
      </c>
      <c r="C12" s="107"/>
    </row>
    <row r="13" spans="1:3" x14ac:dyDescent="0.2">
      <c r="A13" s="95" t="s">
        <v>155</v>
      </c>
      <c r="B13" s="119">
        <f>+B5</f>
        <v>21.741071428571431</v>
      </c>
      <c r="C13" s="107"/>
    </row>
    <row r="14" spans="1:3" x14ac:dyDescent="0.2">
      <c r="A14" s="101" t="s">
        <v>156</v>
      </c>
      <c r="B14" s="120"/>
      <c r="C14" s="107"/>
    </row>
    <row r="15" spans="1:3" x14ac:dyDescent="0.2">
      <c r="A15" s="86" t="s">
        <v>157</v>
      </c>
      <c r="B15" s="89">
        <v>0.06</v>
      </c>
      <c r="C15" s="107"/>
    </row>
    <row r="16" spans="1:3" x14ac:dyDescent="0.2">
      <c r="A16" s="334" t="s">
        <v>158</v>
      </c>
      <c r="B16" s="335"/>
      <c r="C16" s="48">
        <f>ROUND((B13*(B14*2)-($B$6*B15)),2)</f>
        <v>0</v>
      </c>
    </row>
    <row r="18" spans="1:3" x14ac:dyDescent="0.2">
      <c r="A18" s="353" t="s">
        <v>159</v>
      </c>
      <c r="B18" s="354"/>
      <c r="C18" s="355"/>
    </row>
    <row r="19" spans="1:3" x14ac:dyDescent="0.2">
      <c r="A19" s="86" t="s">
        <v>152</v>
      </c>
      <c r="B19" s="86">
        <f>+$B$4</f>
        <v>365.25</v>
      </c>
      <c r="C19" s="107"/>
    </row>
    <row r="20" spans="1:3" x14ac:dyDescent="0.2">
      <c r="A20" s="86" t="s">
        <v>153</v>
      </c>
      <c r="B20" s="95">
        <v>12</v>
      </c>
      <c r="C20" s="107"/>
    </row>
    <row r="21" spans="1:3" x14ac:dyDescent="0.2">
      <c r="A21" s="86" t="s">
        <v>154</v>
      </c>
      <c r="B21" s="89">
        <v>1</v>
      </c>
      <c r="C21" s="107"/>
    </row>
    <row r="22" spans="1:3" x14ac:dyDescent="0.2">
      <c r="A22" s="95" t="s">
        <v>155</v>
      </c>
      <c r="B22" s="119">
        <f>+B5</f>
        <v>21.741071428571431</v>
      </c>
      <c r="C22" s="107"/>
    </row>
    <row r="23" spans="1:3" x14ac:dyDescent="0.2">
      <c r="A23" s="101" t="s">
        <v>160</v>
      </c>
      <c r="B23" s="120"/>
      <c r="C23" s="107"/>
    </row>
    <row r="24" spans="1:3" x14ac:dyDescent="0.2">
      <c r="A24" s="86" t="s">
        <v>161</v>
      </c>
      <c r="B24" s="89">
        <v>0.1</v>
      </c>
      <c r="C24" s="107"/>
    </row>
    <row r="25" spans="1:3" x14ac:dyDescent="0.2">
      <c r="A25" s="334" t="s">
        <v>160</v>
      </c>
      <c r="B25" s="335"/>
      <c r="C25" s="48">
        <f>ROUND((B22*(B23)-((B22*B23)*B24)),2)</f>
        <v>0</v>
      </c>
    </row>
    <row r="27" spans="1:3" x14ac:dyDescent="0.2">
      <c r="A27" s="353" t="s">
        <v>162</v>
      </c>
      <c r="B27" s="354"/>
      <c r="C27" s="355"/>
    </row>
    <row r="28" spans="1:3" x14ac:dyDescent="0.2">
      <c r="A28" s="86" t="s">
        <v>163</v>
      </c>
      <c r="B28" s="90">
        <f>+B7</f>
        <v>0</v>
      </c>
      <c r="C28" s="107"/>
    </row>
    <row r="29" spans="1:3" x14ac:dyDescent="0.2">
      <c r="A29" s="86" t="s">
        <v>164</v>
      </c>
      <c r="B29" s="86">
        <v>12</v>
      </c>
      <c r="C29" s="107"/>
    </row>
    <row r="30" spans="1:3" x14ac:dyDescent="0.2">
      <c r="A30" s="101" t="s">
        <v>165</v>
      </c>
      <c r="B30" s="116"/>
      <c r="C30" s="107"/>
    </row>
    <row r="31" spans="1:3" x14ac:dyDescent="0.2">
      <c r="A31" s="334" t="s">
        <v>166</v>
      </c>
      <c r="B31" s="335"/>
      <c r="C31" s="48">
        <f>ROUND(+(B28/B29)*B30,2)</f>
        <v>0</v>
      </c>
    </row>
    <row r="33" spans="1:3" x14ac:dyDescent="0.2">
      <c r="A33" s="336" t="s">
        <v>167</v>
      </c>
      <c r="B33" s="337"/>
      <c r="C33" s="338"/>
    </row>
    <row r="34" spans="1:3" s="97" customFormat="1" x14ac:dyDescent="0.2">
      <c r="A34" s="121" t="s">
        <v>168</v>
      </c>
      <c r="B34" s="116">
        <f>+B30</f>
        <v>0</v>
      </c>
      <c r="C34" s="107"/>
    </row>
    <row r="35" spans="1:3" x14ac:dyDescent="0.2">
      <c r="A35" s="86" t="s">
        <v>169</v>
      </c>
      <c r="B35" s="90">
        <f>+'Cozinheiro 44h'!$D$23</f>
        <v>0</v>
      </c>
      <c r="C35" s="107"/>
    </row>
    <row r="36" spans="1:3" x14ac:dyDescent="0.2">
      <c r="A36" s="86" t="s">
        <v>53</v>
      </c>
      <c r="B36" s="90">
        <f>+'Cozinheiro 44h'!$D$29</f>
        <v>0</v>
      </c>
      <c r="C36" s="107"/>
    </row>
    <row r="37" spans="1:3" x14ac:dyDescent="0.2">
      <c r="A37" s="86" t="s">
        <v>56</v>
      </c>
      <c r="B37" s="90">
        <f>+'Cozinheiro 44h'!$D$31</f>
        <v>0</v>
      </c>
      <c r="C37" s="107"/>
    </row>
    <row r="38" spans="1:3" x14ac:dyDescent="0.2">
      <c r="A38" s="86" t="s">
        <v>58</v>
      </c>
      <c r="B38" s="90">
        <f>+'Cozinheiro 44h'!$D$32</f>
        <v>0</v>
      </c>
      <c r="C38" s="107"/>
    </row>
    <row r="39" spans="1:3" x14ac:dyDescent="0.2">
      <c r="A39" s="50" t="s">
        <v>170</v>
      </c>
      <c r="B39" s="51">
        <f>SUM(B35:B38)</f>
        <v>0</v>
      </c>
      <c r="C39" s="107"/>
    </row>
    <row r="40" spans="1:3" x14ac:dyDescent="0.2">
      <c r="A40" s="95" t="s">
        <v>171</v>
      </c>
      <c r="B40" s="89">
        <v>0.4</v>
      </c>
      <c r="C40" s="107"/>
    </row>
    <row r="41" spans="1:3" x14ac:dyDescent="0.2">
      <c r="A41" s="95" t="s">
        <v>172</v>
      </c>
      <c r="B41" s="89">
        <f>+'Cozinheiro 44h'!$C$44</f>
        <v>0.08</v>
      </c>
      <c r="C41" s="107"/>
    </row>
    <row r="42" spans="1:3" x14ac:dyDescent="0.2">
      <c r="A42" s="305" t="s">
        <v>173</v>
      </c>
      <c r="B42" s="306"/>
      <c r="C42" s="41">
        <f>ROUND(+B39*B40*B41*B34,2)</f>
        <v>0</v>
      </c>
    </row>
    <row r="43" spans="1:3" x14ac:dyDescent="0.2">
      <c r="A43" s="334" t="s">
        <v>174</v>
      </c>
      <c r="B43" s="335"/>
      <c r="C43" s="42">
        <f>+C42</f>
        <v>0</v>
      </c>
    </row>
    <row r="45" spans="1:3" x14ac:dyDescent="0.2">
      <c r="A45" s="353" t="s">
        <v>175</v>
      </c>
      <c r="B45" s="354"/>
      <c r="C45" s="355"/>
    </row>
    <row r="46" spans="1:3" x14ac:dyDescent="0.2">
      <c r="A46" s="86" t="s">
        <v>163</v>
      </c>
      <c r="B46" s="90">
        <f>+B7</f>
        <v>0</v>
      </c>
      <c r="C46" s="107"/>
    </row>
    <row r="47" spans="1:3" x14ac:dyDescent="0.2">
      <c r="A47" s="86" t="s">
        <v>176</v>
      </c>
      <c r="B47" s="122">
        <v>30</v>
      </c>
      <c r="C47" s="107"/>
    </row>
    <row r="48" spans="1:3" x14ac:dyDescent="0.2">
      <c r="A48" s="86" t="s">
        <v>164</v>
      </c>
      <c r="B48" s="86">
        <v>12</v>
      </c>
      <c r="C48" s="107"/>
    </row>
    <row r="49" spans="1:3" x14ac:dyDescent="0.2">
      <c r="A49" s="86" t="s">
        <v>177</v>
      </c>
      <c r="B49" s="86">
        <v>7</v>
      </c>
      <c r="C49" s="107"/>
    </row>
    <row r="50" spans="1:3" x14ac:dyDescent="0.2">
      <c r="A50" s="101" t="s">
        <v>178</v>
      </c>
      <c r="B50" s="116"/>
      <c r="C50" s="107"/>
    </row>
    <row r="51" spans="1:3" x14ac:dyDescent="0.2">
      <c r="A51" s="334" t="s">
        <v>179</v>
      </c>
      <c r="B51" s="335"/>
      <c r="C51" s="48">
        <f>+ROUND(((B46/B47/B48)*B49)*B50,2)</f>
        <v>0</v>
      </c>
    </row>
    <row r="53" spans="1:3" x14ac:dyDescent="0.2">
      <c r="A53" s="336" t="s">
        <v>180</v>
      </c>
      <c r="B53" s="337"/>
      <c r="C53" s="338"/>
    </row>
    <row r="54" spans="1:3" x14ac:dyDescent="0.2">
      <c r="A54" s="121" t="s">
        <v>181</v>
      </c>
      <c r="B54" s="116">
        <f>+B50</f>
        <v>0</v>
      </c>
      <c r="C54" s="107"/>
    </row>
    <row r="55" spans="1:3" x14ac:dyDescent="0.2">
      <c r="A55" s="86" t="s">
        <v>169</v>
      </c>
      <c r="B55" s="90">
        <f>+'Cozinheiro 44h'!$D$23</f>
        <v>0</v>
      </c>
      <c r="C55" s="107"/>
    </row>
    <row r="56" spans="1:3" x14ac:dyDescent="0.2">
      <c r="A56" s="86" t="s">
        <v>53</v>
      </c>
      <c r="B56" s="90">
        <f>+'Cozinheiro 44h'!$D$29</f>
        <v>0</v>
      </c>
      <c r="C56" s="107"/>
    </row>
    <row r="57" spans="1:3" x14ac:dyDescent="0.2">
      <c r="A57" s="86" t="s">
        <v>56</v>
      </c>
      <c r="B57" s="90">
        <f>+'Cozinheiro 44h'!$D$31</f>
        <v>0</v>
      </c>
      <c r="C57" s="107"/>
    </row>
    <row r="58" spans="1:3" x14ac:dyDescent="0.2">
      <c r="A58" s="86" t="s">
        <v>58</v>
      </c>
      <c r="B58" s="90">
        <f>+'Cozinheiro 44h'!$D$32</f>
        <v>0</v>
      </c>
      <c r="C58" s="107"/>
    </row>
    <row r="59" spans="1:3" x14ac:dyDescent="0.2">
      <c r="A59" s="50" t="s">
        <v>170</v>
      </c>
      <c r="B59" s="51">
        <f>SUM(B55:B58)</f>
        <v>0</v>
      </c>
      <c r="C59" s="107"/>
    </row>
    <row r="60" spans="1:3" x14ac:dyDescent="0.2">
      <c r="A60" s="95" t="s">
        <v>171</v>
      </c>
      <c r="B60" s="89">
        <v>0.4</v>
      </c>
      <c r="C60" s="107"/>
    </row>
    <row r="61" spans="1:3" x14ac:dyDescent="0.2">
      <c r="A61" s="95" t="s">
        <v>172</v>
      </c>
      <c r="B61" s="89">
        <f>+'Cozinheiro 44h'!$C$44</f>
        <v>0.08</v>
      </c>
      <c r="C61" s="107"/>
    </row>
    <row r="62" spans="1:3" x14ac:dyDescent="0.2">
      <c r="A62" s="305" t="s">
        <v>173</v>
      </c>
      <c r="B62" s="306"/>
      <c r="C62" s="41">
        <f>ROUND(+B59*B60*B61*B54,2)</f>
        <v>0</v>
      </c>
    </row>
    <row r="63" spans="1:3" x14ac:dyDescent="0.2">
      <c r="A63" s="334" t="s">
        <v>182</v>
      </c>
      <c r="B63" s="335"/>
      <c r="C63" s="42">
        <f>+C62</f>
        <v>0</v>
      </c>
    </row>
    <row r="65" spans="1:3" x14ac:dyDescent="0.2">
      <c r="A65" s="336" t="s">
        <v>183</v>
      </c>
      <c r="B65" s="337"/>
      <c r="C65" s="338"/>
    </row>
    <row r="66" spans="1:3" x14ac:dyDescent="0.2">
      <c r="A66" s="343" t="s">
        <v>184</v>
      </c>
      <c r="B66" s="344"/>
      <c r="C66" s="345"/>
    </row>
    <row r="67" spans="1:3" x14ac:dyDescent="0.2">
      <c r="A67" s="346"/>
      <c r="B67" s="347"/>
      <c r="C67" s="348"/>
    </row>
    <row r="68" spans="1:3" x14ac:dyDescent="0.2">
      <c r="A68" s="346"/>
      <c r="B68" s="347"/>
      <c r="C68" s="348"/>
    </row>
    <row r="69" spans="1:3" x14ac:dyDescent="0.2">
      <c r="A69" s="349"/>
      <c r="B69" s="350"/>
      <c r="C69" s="351"/>
    </row>
    <row r="70" spans="1:3" x14ac:dyDescent="0.2">
      <c r="A70" s="123"/>
      <c r="B70" s="123"/>
      <c r="C70" s="123"/>
    </row>
    <row r="71" spans="1:3" x14ac:dyDescent="0.2">
      <c r="A71" s="336" t="s">
        <v>185</v>
      </c>
      <c r="B71" s="337"/>
      <c r="C71" s="338"/>
    </row>
    <row r="72" spans="1:3" x14ac:dyDescent="0.2">
      <c r="A72" s="86" t="s">
        <v>186</v>
      </c>
      <c r="B72" s="90">
        <f>+$B$7</f>
        <v>0</v>
      </c>
      <c r="C72" s="107"/>
    </row>
    <row r="73" spans="1:3" x14ac:dyDescent="0.2">
      <c r="A73" s="86" t="s">
        <v>153</v>
      </c>
      <c r="B73" s="86">
        <v>30</v>
      </c>
      <c r="C73" s="107"/>
    </row>
    <row r="74" spans="1:3" x14ac:dyDescent="0.2">
      <c r="A74" s="86" t="s">
        <v>187</v>
      </c>
      <c r="B74" s="86">
        <v>12</v>
      </c>
      <c r="C74" s="107"/>
    </row>
    <row r="75" spans="1:3" x14ac:dyDescent="0.2">
      <c r="A75" s="101" t="s">
        <v>188</v>
      </c>
      <c r="B75" s="101"/>
      <c r="C75" s="107"/>
    </row>
    <row r="76" spans="1:3" x14ac:dyDescent="0.2">
      <c r="A76" s="334" t="s">
        <v>189</v>
      </c>
      <c r="B76" s="335"/>
      <c r="C76" s="36">
        <f>+ROUND((B72/B73/B74)*B75,2)</f>
        <v>0</v>
      </c>
    </row>
    <row r="78" spans="1:3" x14ac:dyDescent="0.2">
      <c r="A78" s="336" t="s">
        <v>190</v>
      </c>
      <c r="B78" s="337"/>
      <c r="C78" s="338"/>
    </row>
    <row r="79" spans="1:3" x14ac:dyDescent="0.2">
      <c r="A79" s="86" t="s">
        <v>186</v>
      </c>
      <c r="B79" s="90">
        <f>+$B$7</f>
        <v>0</v>
      </c>
      <c r="C79" s="107"/>
    </row>
    <row r="80" spans="1:3" x14ac:dyDescent="0.2">
      <c r="A80" s="86" t="s">
        <v>153</v>
      </c>
      <c r="B80" s="86">
        <v>30</v>
      </c>
      <c r="C80" s="107"/>
    </row>
    <row r="81" spans="1:3" x14ac:dyDescent="0.2">
      <c r="A81" s="86" t="s">
        <v>187</v>
      </c>
      <c r="B81" s="86">
        <v>12</v>
      </c>
      <c r="C81" s="107"/>
    </row>
    <row r="82" spans="1:3" x14ac:dyDescent="0.2">
      <c r="A82" s="95" t="s">
        <v>191</v>
      </c>
      <c r="B82" s="86">
        <v>5</v>
      </c>
      <c r="C82" s="107"/>
    </row>
    <row r="83" spans="1:3" x14ac:dyDescent="0.2">
      <c r="A83" s="101" t="s">
        <v>192</v>
      </c>
      <c r="B83" s="116"/>
      <c r="C83" s="107"/>
    </row>
    <row r="84" spans="1:3" x14ac:dyDescent="0.2">
      <c r="A84" s="101" t="s">
        <v>193</v>
      </c>
      <c r="B84" s="116"/>
      <c r="C84" s="107"/>
    </row>
    <row r="85" spans="1:3" x14ac:dyDescent="0.2">
      <c r="A85" s="334" t="s">
        <v>194</v>
      </c>
      <c r="B85" s="335"/>
      <c r="C85" s="48">
        <f>ROUND(+B79/B80/B81*B82*B83*B84,2)</f>
        <v>0</v>
      </c>
    </row>
    <row r="87" spans="1:3" x14ac:dyDescent="0.2">
      <c r="A87" s="336" t="s">
        <v>195</v>
      </c>
      <c r="B87" s="337"/>
      <c r="C87" s="338"/>
    </row>
    <row r="88" spans="1:3" x14ac:dyDescent="0.2">
      <c r="A88" s="86" t="s">
        <v>186</v>
      </c>
      <c r="B88" s="90">
        <f>+$B$7</f>
        <v>0</v>
      </c>
      <c r="C88" s="107"/>
    </row>
    <row r="89" spans="1:3" x14ac:dyDescent="0.2">
      <c r="A89" s="86" t="s">
        <v>153</v>
      </c>
      <c r="B89" s="86">
        <v>30</v>
      </c>
      <c r="C89" s="107"/>
    </row>
    <row r="90" spans="1:3" x14ac:dyDescent="0.2">
      <c r="A90" s="86" t="s">
        <v>187</v>
      </c>
      <c r="B90" s="86">
        <v>12</v>
      </c>
      <c r="C90" s="107"/>
    </row>
    <row r="91" spans="1:3" x14ac:dyDescent="0.2">
      <c r="A91" s="95" t="s">
        <v>196</v>
      </c>
      <c r="B91" s="86">
        <v>15</v>
      </c>
      <c r="C91" s="107"/>
    </row>
    <row r="92" spans="1:3" x14ac:dyDescent="0.2">
      <c r="A92" s="101" t="s">
        <v>197</v>
      </c>
      <c r="B92" s="116"/>
      <c r="C92" s="107"/>
    </row>
    <row r="93" spans="1:3" x14ac:dyDescent="0.2">
      <c r="A93" s="334" t="s">
        <v>198</v>
      </c>
      <c r="B93" s="335"/>
      <c r="C93" s="48">
        <f>ROUND(+B88/B89/B90*B91*B92,2)</f>
        <v>0</v>
      </c>
    </row>
    <row r="95" spans="1:3" x14ac:dyDescent="0.2">
      <c r="A95" s="336" t="s">
        <v>199</v>
      </c>
      <c r="B95" s="337"/>
      <c r="C95" s="338"/>
    </row>
    <row r="96" spans="1:3" x14ac:dyDescent="0.2">
      <c r="A96" s="86" t="s">
        <v>186</v>
      </c>
      <c r="B96" s="90">
        <f>+$B$7</f>
        <v>0</v>
      </c>
      <c r="C96" s="107"/>
    </row>
    <row r="97" spans="1:3" x14ac:dyDescent="0.2">
      <c r="A97" s="86" t="s">
        <v>153</v>
      </c>
      <c r="B97" s="86">
        <v>30</v>
      </c>
      <c r="C97" s="107"/>
    </row>
    <row r="98" spans="1:3" x14ac:dyDescent="0.2">
      <c r="A98" s="86" t="s">
        <v>187</v>
      </c>
      <c r="B98" s="86">
        <v>12</v>
      </c>
      <c r="C98" s="107"/>
    </row>
    <row r="99" spans="1:3" x14ac:dyDescent="0.2">
      <c r="A99" s="95" t="s">
        <v>196</v>
      </c>
      <c r="B99" s="86">
        <v>5</v>
      </c>
      <c r="C99" s="107"/>
    </row>
    <row r="100" spans="1:3" x14ac:dyDescent="0.2">
      <c r="A100" s="101" t="s">
        <v>200</v>
      </c>
      <c r="B100" s="116"/>
      <c r="C100" s="107"/>
    </row>
    <row r="101" spans="1:3" x14ac:dyDescent="0.2">
      <c r="A101" s="334" t="s">
        <v>201</v>
      </c>
      <c r="B101" s="335"/>
      <c r="C101" s="48">
        <f>ROUND(+B96/B97/B98*B99*B100,2)</f>
        <v>0</v>
      </c>
    </row>
    <row r="103" spans="1:3" x14ac:dyDescent="0.2">
      <c r="A103" s="336" t="s">
        <v>202</v>
      </c>
      <c r="B103" s="337"/>
      <c r="C103" s="338"/>
    </row>
    <row r="104" spans="1:3" x14ac:dyDescent="0.2">
      <c r="A104" s="339" t="s">
        <v>203</v>
      </c>
      <c r="B104" s="340"/>
      <c r="C104" s="341"/>
    </row>
    <row r="105" spans="1:3" x14ac:dyDescent="0.2">
      <c r="A105" s="86" t="s">
        <v>186</v>
      </c>
      <c r="B105" s="90">
        <f>+$B$7</f>
        <v>0</v>
      </c>
      <c r="C105" s="107"/>
    </row>
    <row r="106" spans="1:3" x14ac:dyDescent="0.2">
      <c r="A106" s="86" t="s">
        <v>204</v>
      </c>
      <c r="B106" s="90">
        <f>+B105*(1/3)</f>
        <v>0</v>
      </c>
      <c r="C106" s="107"/>
    </row>
    <row r="107" spans="1:3" x14ac:dyDescent="0.2">
      <c r="A107" s="50" t="s">
        <v>170</v>
      </c>
      <c r="B107" s="51">
        <f>SUM(B105:B106)</f>
        <v>0</v>
      </c>
      <c r="C107" s="107"/>
    </row>
    <row r="108" spans="1:3" x14ac:dyDescent="0.2">
      <c r="A108" s="86" t="s">
        <v>205</v>
      </c>
      <c r="B108" s="86">
        <v>4</v>
      </c>
      <c r="C108" s="107"/>
    </row>
    <row r="109" spans="1:3" x14ac:dyDescent="0.2">
      <c r="A109" s="86" t="s">
        <v>187</v>
      </c>
      <c r="B109" s="86">
        <v>12</v>
      </c>
      <c r="C109" s="107"/>
    </row>
    <row r="110" spans="1:3" x14ac:dyDescent="0.2">
      <c r="A110" s="101" t="s">
        <v>206</v>
      </c>
      <c r="B110" s="116"/>
      <c r="C110" s="107"/>
    </row>
    <row r="111" spans="1:3" x14ac:dyDescent="0.2">
      <c r="A111" s="101" t="s">
        <v>207</v>
      </c>
      <c r="B111" s="116"/>
      <c r="C111" s="107"/>
    </row>
    <row r="112" spans="1:3" x14ac:dyDescent="0.2">
      <c r="A112" s="334" t="s">
        <v>208</v>
      </c>
      <c r="B112" s="335"/>
      <c r="C112" s="48">
        <f>ROUND((((+B107*(B108/B109)/B109)*B110)*B111),2)</f>
        <v>0</v>
      </c>
    </row>
    <row r="113" spans="1:3" x14ac:dyDescent="0.2">
      <c r="A113" s="334" t="s">
        <v>209</v>
      </c>
      <c r="B113" s="342"/>
      <c r="C113" s="335"/>
    </row>
    <row r="114" spans="1:3" x14ac:dyDescent="0.2">
      <c r="A114" s="86" t="s">
        <v>186</v>
      </c>
      <c r="B114" s="90">
        <f>+'Cozinheiro 44h'!D23</f>
        <v>0</v>
      </c>
      <c r="C114" s="107"/>
    </row>
    <row r="115" spans="1:3" x14ac:dyDescent="0.2">
      <c r="A115" s="86" t="s">
        <v>53</v>
      </c>
      <c r="B115" s="90">
        <f>+'Cozinheiro 44h'!D29</f>
        <v>0</v>
      </c>
      <c r="C115" s="107"/>
    </row>
    <row r="116" spans="1:3" x14ac:dyDescent="0.2">
      <c r="A116" s="50" t="s">
        <v>170</v>
      </c>
      <c r="B116" s="51">
        <f>SUM(B114:B115)</f>
        <v>0</v>
      </c>
      <c r="C116" s="107"/>
    </row>
    <row r="117" spans="1:3" x14ac:dyDescent="0.2">
      <c r="A117" s="86" t="s">
        <v>205</v>
      </c>
      <c r="B117" s="86">
        <v>4</v>
      </c>
      <c r="C117" s="107"/>
    </row>
    <row r="118" spans="1:3" x14ac:dyDescent="0.2">
      <c r="A118" s="86" t="s">
        <v>187</v>
      </c>
      <c r="B118" s="86">
        <v>12</v>
      </c>
      <c r="C118" s="107"/>
    </row>
    <row r="119" spans="1:3" x14ac:dyDescent="0.2">
      <c r="A119" s="101" t="s">
        <v>206</v>
      </c>
      <c r="B119" s="116">
        <f>+B110</f>
        <v>0</v>
      </c>
      <c r="C119" s="107"/>
    </row>
    <row r="120" spans="1:3" x14ac:dyDescent="0.2">
      <c r="A120" s="101" t="s">
        <v>207</v>
      </c>
      <c r="B120" s="116">
        <f>+B111</f>
        <v>0</v>
      </c>
      <c r="C120" s="107"/>
    </row>
    <row r="121" spans="1:3" x14ac:dyDescent="0.2">
      <c r="A121" s="95" t="s">
        <v>210</v>
      </c>
      <c r="B121" s="89">
        <f>+'Cozinheiro 44h'!C45</f>
        <v>0.36800000000000005</v>
      </c>
      <c r="C121" s="107"/>
    </row>
    <row r="122" spans="1:3" x14ac:dyDescent="0.2">
      <c r="A122" s="334" t="s">
        <v>211</v>
      </c>
      <c r="B122" s="335"/>
      <c r="C122" s="42">
        <f>ROUND((((B116*(B117/B118)*B119)*B120)*B121),2)</f>
        <v>0</v>
      </c>
    </row>
    <row r="124" spans="1:3" ht="30.75" customHeight="1" x14ac:dyDescent="0.2">
      <c r="A124" s="333" t="s">
        <v>315</v>
      </c>
      <c r="B124" s="333"/>
      <c r="C124" s="333"/>
    </row>
    <row r="125" spans="1:3" x14ac:dyDescent="0.2">
      <c r="C125" s="124"/>
    </row>
    <row r="126" spans="1:3" x14ac:dyDescent="0.2">
      <c r="C126" s="112"/>
    </row>
    <row r="127" spans="1:3" x14ac:dyDescent="0.2">
      <c r="C127" s="112"/>
    </row>
  </sheetData>
  <mergeCells count="31">
    <mergeCell ref="A51:B51"/>
    <mergeCell ref="A1:C1"/>
    <mergeCell ref="A9:C9"/>
    <mergeCell ref="A16:B16"/>
    <mergeCell ref="A18:C18"/>
    <mergeCell ref="A25:B25"/>
    <mergeCell ref="A27:C27"/>
    <mergeCell ref="A31:B31"/>
    <mergeCell ref="A33:C33"/>
    <mergeCell ref="A42:B42"/>
    <mergeCell ref="A43:B43"/>
    <mergeCell ref="A45:C45"/>
    <mergeCell ref="A95:C95"/>
    <mergeCell ref="A53:C53"/>
    <mergeCell ref="A62:B62"/>
    <mergeCell ref="A63:B63"/>
    <mergeCell ref="A65:C65"/>
    <mergeCell ref="A66:C69"/>
    <mergeCell ref="A71:C71"/>
    <mergeCell ref="A76:B76"/>
    <mergeCell ref="A78:C78"/>
    <mergeCell ref="A85:B85"/>
    <mergeCell ref="A87:C87"/>
    <mergeCell ref="A93:B93"/>
    <mergeCell ref="A124:C124"/>
    <mergeCell ref="A101:B101"/>
    <mergeCell ref="A103:C103"/>
    <mergeCell ref="A104:C104"/>
    <mergeCell ref="A112:B112"/>
    <mergeCell ref="A113:C113"/>
    <mergeCell ref="A122:B122"/>
  </mergeCells>
  <pageMargins left="0.51181102362204722" right="0.51181102362204722" top="0.78740157480314965" bottom="0.78740157480314965" header="0.31496062992125984" footer="0.31496062992125984"/>
  <pageSetup paperSize="9" scale="70" orientation="portrait" r:id="rId1"/>
  <headerFooter>
    <oddFooter>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G166"/>
  <sheetViews>
    <sheetView topLeftCell="A19" workbookViewId="0">
      <selection activeCell="D53" sqref="D53:D55"/>
    </sheetView>
  </sheetViews>
  <sheetFormatPr defaultRowHeight="12.75" x14ac:dyDescent="0.2"/>
  <cols>
    <col min="1" max="1" width="6.42578125" style="71" customWidth="1"/>
    <col min="2" max="2" width="57.7109375" style="71" customWidth="1"/>
    <col min="3" max="3" width="10.7109375" style="71" bestFit="1" customWidth="1"/>
    <col min="4" max="4" width="17.85546875" style="71" customWidth="1"/>
    <col min="5" max="5" width="13.42578125" style="71" bestFit="1" customWidth="1"/>
    <col min="6" max="16384" width="9.140625" style="71"/>
  </cols>
  <sheetData>
    <row r="1" spans="1:6" x14ac:dyDescent="0.2">
      <c r="A1" s="322" t="s">
        <v>18</v>
      </c>
      <c r="B1" s="323"/>
      <c r="C1" s="323"/>
      <c r="D1" s="324"/>
      <c r="E1" s="17"/>
      <c r="F1" s="17"/>
    </row>
    <row r="3" spans="1:6" x14ac:dyDescent="0.2">
      <c r="A3" s="299" t="s">
        <v>19</v>
      </c>
      <c r="B3" s="300"/>
      <c r="C3" s="300"/>
      <c r="D3" s="308"/>
    </row>
    <row r="4" spans="1:6" s="74" customFormat="1" ht="54.75" customHeight="1" x14ac:dyDescent="0.25">
      <c r="A4" s="72">
        <v>1</v>
      </c>
      <c r="B4" s="73" t="s">
        <v>20</v>
      </c>
      <c r="C4" s="389" t="s">
        <v>263</v>
      </c>
      <c r="D4" s="390"/>
    </row>
    <row r="5" spans="1:6" s="74" customFormat="1" x14ac:dyDescent="0.25">
      <c r="A5" s="72">
        <v>2</v>
      </c>
      <c r="B5" s="73" t="s">
        <v>21</v>
      </c>
      <c r="C5" s="391" t="str">
        <f>+Apresentacao!E22</f>
        <v>5134-25</v>
      </c>
      <c r="D5" s="392"/>
    </row>
    <row r="6" spans="1:6" s="74" customFormat="1" x14ac:dyDescent="0.25">
      <c r="A6" s="72">
        <v>3</v>
      </c>
      <c r="B6" s="73" t="s">
        <v>22</v>
      </c>
      <c r="C6" s="393">
        <f>+Apresentacao!F22</f>
        <v>0</v>
      </c>
      <c r="D6" s="393"/>
    </row>
    <row r="7" spans="1:6" s="74" customFormat="1" ht="42.75" customHeight="1" x14ac:dyDescent="0.25">
      <c r="A7" s="72">
        <v>4</v>
      </c>
      <c r="B7" s="73" t="s">
        <v>23</v>
      </c>
      <c r="C7" s="387" t="s">
        <v>24</v>
      </c>
      <c r="D7" s="388"/>
    </row>
    <row r="8" spans="1:6" s="74" customFormat="1" x14ac:dyDescent="0.25">
      <c r="A8" s="72">
        <v>5</v>
      </c>
      <c r="B8" s="73" t="s">
        <v>25</v>
      </c>
      <c r="C8" s="394">
        <v>43524</v>
      </c>
      <c r="D8" s="392"/>
    </row>
    <row r="9" spans="1:6" x14ac:dyDescent="0.2">
      <c r="D9" s="18"/>
    </row>
    <row r="10" spans="1:6" x14ac:dyDescent="0.2">
      <c r="A10" s="291" t="s">
        <v>26</v>
      </c>
      <c r="B10" s="292"/>
      <c r="C10" s="292"/>
      <c r="D10" s="292"/>
    </row>
    <row r="11" spans="1:6" x14ac:dyDescent="0.2">
      <c r="A11" s="75">
        <v>1</v>
      </c>
      <c r="B11" s="76" t="s">
        <v>27</v>
      </c>
      <c r="C11" s="19" t="s">
        <v>28</v>
      </c>
      <c r="D11" s="77" t="s">
        <v>29</v>
      </c>
    </row>
    <row r="12" spans="1:6" x14ac:dyDescent="0.2">
      <c r="A12" s="78" t="s">
        <v>6</v>
      </c>
      <c r="B12" s="289" t="s">
        <v>30</v>
      </c>
      <c r="C12" s="289"/>
      <c r="D12" s="79">
        <f>+C6</f>
        <v>0</v>
      </c>
    </row>
    <row r="13" spans="1:6" x14ac:dyDescent="0.2">
      <c r="A13" s="78" t="s">
        <v>8</v>
      </c>
      <c r="B13" s="80" t="s">
        <v>31</v>
      </c>
      <c r="C13" s="81"/>
      <c r="D13" s="79"/>
      <c r="E13" s="82"/>
    </row>
    <row r="14" spans="1:6" x14ac:dyDescent="0.2">
      <c r="A14" s="78" t="s">
        <v>11</v>
      </c>
      <c r="B14" s="80" t="s">
        <v>32</v>
      </c>
      <c r="C14" s="81"/>
      <c r="D14" s="79">
        <f>+C14*D12</f>
        <v>0</v>
      </c>
    </row>
    <row r="15" spans="1:6" x14ac:dyDescent="0.2">
      <c r="A15" s="78" t="s">
        <v>13</v>
      </c>
      <c r="B15" s="289" t="s">
        <v>33</v>
      </c>
      <c r="C15" s="289"/>
      <c r="D15" s="79"/>
    </row>
    <row r="16" spans="1:6" x14ac:dyDescent="0.2">
      <c r="A16" s="78" t="s">
        <v>34</v>
      </c>
      <c r="B16" s="289" t="s">
        <v>35</v>
      </c>
      <c r="C16" s="289"/>
      <c r="D16" s="79"/>
    </row>
    <row r="17" spans="1:6" x14ac:dyDescent="0.2">
      <c r="A17" s="78" t="s">
        <v>36</v>
      </c>
      <c r="B17" s="318" t="s">
        <v>37</v>
      </c>
      <c r="C17" s="319"/>
      <c r="D17" s="79"/>
    </row>
    <row r="18" spans="1:6" x14ac:dyDescent="0.2">
      <c r="A18" s="78" t="s">
        <v>38</v>
      </c>
      <c r="B18" s="289" t="s">
        <v>39</v>
      </c>
      <c r="C18" s="289"/>
      <c r="D18" s="79"/>
    </row>
    <row r="19" spans="1:6" x14ac:dyDescent="0.2">
      <c r="A19" s="78" t="s">
        <v>40</v>
      </c>
      <c r="B19" s="318" t="s">
        <v>41</v>
      </c>
      <c r="C19" s="319"/>
      <c r="D19" s="83"/>
    </row>
    <row r="20" spans="1:6" x14ac:dyDescent="0.2">
      <c r="A20" s="78" t="s">
        <v>42</v>
      </c>
      <c r="B20" s="80" t="s">
        <v>43</v>
      </c>
      <c r="C20" s="81"/>
      <c r="D20" s="79"/>
    </row>
    <row r="21" spans="1:6" x14ac:dyDescent="0.2">
      <c r="A21" s="78" t="s">
        <v>44</v>
      </c>
      <c r="B21" s="289" t="s">
        <v>45</v>
      </c>
      <c r="C21" s="289"/>
      <c r="D21" s="84"/>
      <c r="F21" s="85"/>
    </row>
    <row r="22" spans="1:6" x14ac:dyDescent="0.2">
      <c r="A22" s="78" t="s">
        <v>46</v>
      </c>
      <c r="B22" s="289" t="s">
        <v>47</v>
      </c>
      <c r="C22" s="289"/>
      <c r="D22" s="84"/>
    </row>
    <row r="23" spans="1:6" x14ac:dyDescent="0.2">
      <c r="A23" s="290" t="s">
        <v>48</v>
      </c>
      <c r="B23" s="290"/>
      <c r="C23" s="290"/>
      <c r="D23" s="20">
        <f>SUM(D12:D22)</f>
        <v>0</v>
      </c>
    </row>
    <row r="25" spans="1:6" x14ac:dyDescent="0.2">
      <c r="A25" s="291" t="s">
        <v>49</v>
      </c>
      <c r="B25" s="292"/>
      <c r="C25" s="292"/>
      <c r="D25" s="292"/>
    </row>
    <row r="27" spans="1:6" x14ac:dyDescent="0.2">
      <c r="A27" s="291" t="s">
        <v>50</v>
      </c>
      <c r="B27" s="292"/>
      <c r="C27" s="292"/>
      <c r="D27" s="292"/>
    </row>
    <row r="28" spans="1:6" x14ac:dyDescent="0.2">
      <c r="A28" s="21" t="s">
        <v>51</v>
      </c>
      <c r="B28" s="22" t="s">
        <v>52</v>
      </c>
      <c r="C28" s="23" t="s">
        <v>28</v>
      </c>
      <c r="D28" s="24" t="s">
        <v>29</v>
      </c>
    </row>
    <row r="29" spans="1:6" x14ac:dyDescent="0.2">
      <c r="A29" s="78" t="s">
        <v>6</v>
      </c>
      <c r="B29" s="86" t="s">
        <v>53</v>
      </c>
      <c r="C29" s="87" t="e">
        <f>ROUND(+D29/$D$23,4)</f>
        <v>#DIV/0!</v>
      </c>
      <c r="D29" s="84">
        <f>ROUND(+D23/12,2)</f>
        <v>0</v>
      </c>
    </row>
    <row r="30" spans="1:6" x14ac:dyDescent="0.2">
      <c r="A30" s="25" t="s">
        <v>8</v>
      </c>
      <c r="B30" s="88" t="s">
        <v>54</v>
      </c>
      <c r="C30" s="26" t="e">
        <f>ROUND(+D30/$D$23,4)</f>
        <v>#DIV/0!</v>
      </c>
      <c r="D30" s="27">
        <f>+D31+D32</f>
        <v>0</v>
      </c>
    </row>
    <row r="31" spans="1:6" x14ac:dyDescent="0.2">
      <c r="A31" s="78" t="s">
        <v>55</v>
      </c>
      <c r="B31" s="28" t="s">
        <v>56</v>
      </c>
      <c r="C31" s="29" t="e">
        <f>ROUND(+D31/$D$23,4)</f>
        <v>#DIV/0!</v>
      </c>
      <c r="D31" s="30">
        <f>ROUND(+D23/12,2)</f>
        <v>0</v>
      </c>
    </row>
    <row r="32" spans="1:6" x14ac:dyDescent="0.2">
      <c r="A32" s="78" t="s">
        <v>57</v>
      </c>
      <c r="B32" s="28" t="s">
        <v>58</v>
      </c>
      <c r="C32" s="29" t="e">
        <f>ROUND(+D32/$D$23,4)</f>
        <v>#DIV/0!</v>
      </c>
      <c r="D32" s="30">
        <f>ROUND(+(D23*1/3)/12,2)</f>
        <v>0</v>
      </c>
    </row>
    <row r="33" spans="1:4" x14ac:dyDescent="0.2">
      <c r="A33" s="290" t="s">
        <v>48</v>
      </c>
      <c r="B33" s="290"/>
      <c r="C33" s="290"/>
      <c r="D33" s="20">
        <f>+D30+D29</f>
        <v>0</v>
      </c>
    </row>
    <row r="35" spans="1:4" ht="26.25" customHeight="1" x14ac:dyDescent="0.2">
      <c r="A35" s="320" t="s">
        <v>59</v>
      </c>
      <c r="B35" s="321"/>
      <c r="C35" s="321"/>
      <c r="D35" s="321"/>
    </row>
    <row r="36" spans="1:4" x14ac:dyDescent="0.2">
      <c r="A36" s="21" t="s">
        <v>60</v>
      </c>
      <c r="B36" s="31" t="s">
        <v>61</v>
      </c>
      <c r="C36" s="23" t="s">
        <v>28</v>
      </c>
      <c r="D36" s="24" t="s">
        <v>29</v>
      </c>
    </row>
    <row r="37" spans="1:4" x14ac:dyDescent="0.2">
      <c r="A37" s="78" t="s">
        <v>6</v>
      </c>
      <c r="B37" s="86" t="s">
        <v>62</v>
      </c>
      <c r="C37" s="89">
        <v>0.2</v>
      </c>
      <c r="D37" s="90">
        <f>ROUND(C37*($D$23+$D$33),2)</f>
        <v>0</v>
      </c>
    </row>
    <row r="38" spans="1:4" x14ac:dyDescent="0.2">
      <c r="A38" s="78" t="s">
        <v>8</v>
      </c>
      <c r="B38" s="86" t="s">
        <v>63</v>
      </c>
      <c r="C38" s="89">
        <v>2.5000000000000001E-2</v>
      </c>
      <c r="D38" s="90">
        <f>ROUND(C38*($D$23+$D$33),2)</f>
        <v>0</v>
      </c>
    </row>
    <row r="39" spans="1:4" x14ac:dyDescent="0.2">
      <c r="A39" s="78" t="s">
        <v>11</v>
      </c>
      <c r="B39" s="86" t="s">
        <v>64</v>
      </c>
      <c r="C39" s="89">
        <f>3%</f>
        <v>0.03</v>
      </c>
      <c r="D39" s="90">
        <f t="shared" ref="D39:D43" si="0">ROUND(C39*($D$23+$D$33),2)</f>
        <v>0</v>
      </c>
    </row>
    <row r="40" spans="1:4" x14ac:dyDescent="0.2">
      <c r="A40" s="78" t="s">
        <v>13</v>
      </c>
      <c r="B40" s="86" t="s">
        <v>65</v>
      </c>
      <c r="C40" s="89">
        <v>1.4999999999999999E-2</v>
      </c>
      <c r="D40" s="90">
        <f t="shared" si="0"/>
        <v>0</v>
      </c>
    </row>
    <row r="41" spans="1:4" x14ac:dyDescent="0.2">
      <c r="A41" s="78" t="s">
        <v>34</v>
      </c>
      <c r="B41" s="86" t="s">
        <v>66</v>
      </c>
      <c r="C41" s="89">
        <v>0.01</v>
      </c>
      <c r="D41" s="90">
        <f t="shared" si="0"/>
        <v>0</v>
      </c>
    </row>
    <row r="42" spans="1:4" x14ac:dyDescent="0.2">
      <c r="A42" s="78" t="s">
        <v>36</v>
      </c>
      <c r="B42" s="86" t="s">
        <v>67</v>
      </c>
      <c r="C42" s="89">
        <v>6.0000000000000001E-3</v>
      </c>
      <c r="D42" s="90">
        <f t="shared" si="0"/>
        <v>0</v>
      </c>
    </row>
    <row r="43" spans="1:4" x14ac:dyDescent="0.2">
      <c r="A43" s="78" t="s">
        <v>38</v>
      </c>
      <c r="B43" s="86" t="s">
        <v>68</v>
      </c>
      <c r="C43" s="89">
        <v>2E-3</v>
      </c>
      <c r="D43" s="90">
        <f t="shared" si="0"/>
        <v>0</v>
      </c>
    </row>
    <row r="44" spans="1:4" x14ac:dyDescent="0.2">
      <c r="A44" s="78" t="s">
        <v>40</v>
      </c>
      <c r="B44" s="86" t="s">
        <v>69</v>
      </c>
      <c r="C44" s="89">
        <v>0.08</v>
      </c>
      <c r="D44" s="90">
        <f>ROUND(C44*($D$23+$D$33),2)</f>
        <v>0</v>
      </c>
    </row>
    <row r="45" spans="1:4" x14ac:dyDescent="0.2">
      <c r="A45" s="68" t="s">
        <v>48</v>
      </c>
      <c r="B45" s="69"/>
      <c r="C45" s="32">
        <f>SUM(C37:C44)</f>
        <v>0.36800000000000005</v>
      </c>
      <c r="D45" s="33">
        <f>SUM(D37:D44)</f>
        <v>0</v>
      </c>
    </row>
    <row r="46" spans="1:4" x14ac:dyDescent="0.2">
      <c r="A46" s="91"/>
      <c r="B46" s="91"/>
      <c r="C46" s="91"/>
      <c r="D46" s="91"/>
    </row>
    <row r="47" spans="1:4" x14ac:dyDescent="0.2">
      <c r="A47" s="320" t="s">
        <v>70</v>
      </c>
      <c r="B47" s="321"/>
      <c r="C47" s="321"/>
      <c r="D47" s="321"/>
    </row>
    <row r="48" spans="1:4" x14ac:dyDescent="0.2">
      <c r="A48" s="21" t="s">
        <v>71</v>
      </c>
      <c r="B48" s="31" t="s">
        <v>72</v>
      </c>
      <c r="C48" s="23"/>
      <c r="D48" s="24" t="s">
        <v>29</v>
      </c>
    </row>
    <row r="49" spans="1:6" x14ac:dyDescent="0.2">
      <c r="A49" s="92" t="s">
        <v>6</v>
      </c>
      <c r="B49" s="86" t="s">
        <v>73</v>
      </c>
      <c r="C49" s="93"/>
      <c r="D49" s="90">
        <f>+'Men Cal Copeiragem 44'!C16</f>
        <v>0</v>
      </c>
    </row>
    <row r="50" spans="1:6" s="97" customFormat="1" x14ac:dyDescent="0.2">
      <c r="A50" s="94" t="s">
        <v>74</v>
      </c>
      <c r="B50" s="95" t="s">
        <v>75</v>
      </c>
      <c r="C50" s="87">
        <f>+$C$131+$C$132</f>
        <v>9.2499999999999999E-2</v>
      </c>
      <c r="D50" s="96">
        <f>+(C50*D49)*-1</f>
        <v>0</v>
      </c>
      <c r="F50" s="98"/>
    </row>
    <row r="51" spans="1:6" x14ac:dyDescent="0.2">
      <c r="A51" s="92" t="s">
        <v>8</v>
      </c>
      <c r="B51" s="86" t="s">
        <v>76</v>
      </c>
      <c r="C51" s="93"/>
      <c r="D51" s="90">
        <f>+'Men Cal Copeiragem 44'!C25</f>
        <v>0</v>
      </c>
      <c r="F51" s="99"/>
    </row>
    <row r="52" spans="1:6" s="97" customFormat="1" x14ac:dyDescent="0.2">
      <c r="A52" s="94" t="s">
        <v>55</v>
      </c>
      <c r="B52" s="95" t="s">
        <v>75</v>
      </c>
      <c r="C52" s="87">
        <f>+$C$131+$C$132</f>
        <v>9.2499999999999999E-2</v>
      </c>
      <c r="D52" s="96">
        <f>+(C52*D51)*-1</f>
        <v>0</v>
      </c>
      <c r="F52" s="100"/>
    </row>
    <row r="53" spans="1:6" x14ac:dyDescent="0.2">
      <c r="A53" s="101" t="s">
        <v>11</v>
      </c>
      <c r="B53" s="101" t="s">
        <v>77</v>
      </c>
      <c r="C53" s="93"/>
      <c r="D53" s="134"/>
      <c r="F53" s="99"/>
    </row>
    <row r="54" spans="1:6" x14ac:dyDescent="0.2">
      <c r="A54" s="101" t="s">
        <v>13</v>
      </c>
      <c r="B54" s="101" t="s">
        <v>234</v>
      </c>
      <c r="C54" s="93"/>
      <c r="D54" s="134"/>
      <c r="F54" s="99"/>
    </row>
    <row r="55" spans="1:6" ht="25.5" x14ac:dyDescent="0.2">
      <c r="A55" s="101" t="s">
        <v>34</v>
      </c>
      <c r="B55" s="103" t="s">
        <v>235</v>
      </c>
      <c r="C55" s="93"/>
      <c r="D55" s="135"/>
      <c r="F55" s="104"/>
    </row>
    <row r="56" spans="1:6" x14ac:dyDescent="0.2">
      <c r="A56" s="101" t="s">
        <v>36</v>
      </c>
      <c r="B56" s="133" t="s">
        <v>80</v>
      </c>
      <c r="C56" s="93"/>
      <c r="D56" s="102"/>
    </row>
    <row r="57" spans="1:6" x14ac:dyDescent="0.2">
      <c r="A57" s="299" t="s">
        <v>48</v>
      </c>
      <c r="B57" s="308"/>
      <c r="C57" s="34"/>
      <c r="D57" s="35">
        <f>SUM(D49:D56)</f>
        <v>0</v>
      </c>
    </row>
    <row r="59" spans="1:6" x14ac:dyDescent="0.2">
      <c r="A59" s="291" t="s">
        <v>81</v>
      </c>
      <c r="B59" s="292"/>
      <c r="C59" s="292"/>
      <c r="D59" s="292"/>
    </row>
    <row r="60" spans="1:6" x14ac:dyDescent="0.2">
      <c r="A60" s="36">
        <v>2</v>
      </c>
      <c r="B60" s="315" t="s">
        <v>82</v>
      </c>
      <c r="C60" s="315"/>
      <c r="D60" s="37" t="s">
        <v>29</v>
      </c>
    </row>
    <row r="61" spans="1:6" x14ac:dyDescent="0.2">
      <c r="A61" s="95" t="s">
        <v>51</v>
      </c>
      <c r="B61" s="316" t="s">
        <v>52</v>
      </c>
      <c r="C61" s="316"/>
      <c r="D61" s="90">
        <f>+D33</f>
        <v>0</v>
      </c>
    </row>
    <row r="62" spans="1:6" x14ac:dyDescent="0.2">
      <c r="A62" s="95" t="s">
        <v>60</v>
      </c>
      <c r="B62" s="316" t="s">
        <v>61</v>
      </c>
      <c r="C62" s="316"/>
      <c r="D62" s="90">
        <f>+D45</f>
        <v>0</v>
      </c>
    </row>
    <row r="63" spans="1:6" x14ac:dyDescent="0.2">
      <c r="A63" s="95" t="s">
        <v>71</v>
      </c>
      <c r="B63" s="316" t="s">
        <v>72</v>
      </c>
      <c r="C63" s="316"/>
      <c r="D63" s="105">
        <f>+D57</f>
        <v>0</v>
      </c>
    </row>
    <row r="64" spans="1:6" x14ac:dyDescent="0.2">
      <c r="A64" s="315" t="s">
        <v>48</v>
      </c>
      <c r="B64" s="315"/>
      <c r="C64" s="315"/>
      <c r="D64" s="38">
        <f>SUM(D61:D63)</f>
        <v>0</v>
      </c>
    </row>
    <row r="66" spans="1:4" x14ac:dyDescent="0.2">
      <c r="A66" s="291" t="s">
        <v>83</v>
      </c>
      <c r="B66" s="292"/>
      <c r="C66" s="292"/>
      <c r="D66" s="292"/>
    </row>
    <row r="68" spans="1:4" x14ac:dyDescent="0.2">
      <c r="A68" s="39">
        <v>3</v>
      </c>
      <c r="B68" s="22" t="s">
        <v>84</v>
      </c>
      <c r="C68" s="19" t="s">
        <v>28</v>
      </c>
      <c r="D68" s="19" t="s">
        <v>29</v>
      </c>
    </row>
    <row r="69" spans="1:4" x14ac:dyDescent="0.2">
      <c r="A69" s="78" t="s">
        <v>6</v>
      </c>
      <c r="B69" s="95" t="s">
        <v>85</v>
      </c>
      <c r="C69" s="87" t="e">
        <f>+D69/$D$23</f>
        <v>#DIV/0!</v>
      </c>
      <c r="D69" s="106">
        <f>+'Men Cal Copeiragem 44'!C31</f>
        <v>0</v>
      </c>
    </row>
    <row r="70" spans="1:4" x14ac:dyDescent="0.2">
      <c r="A70" s="78" t="s">
        <v>8</v>
      </c>
      <c r="B70" s="86" t="s">
        <v>86</v>
      </c>
      <c r="C70" s="107"/>
      <c r="D70" s="84">
        <f>ROUND(+D69*$C$44,2)</f>
        <v>0</v>
      </c>
    </row>
    <row r="71" spans="1:4" ht="25.5" x14ac:dyDescent="0.2">
      <c r="A71" s="78" t="s">
        <v>11</v>
      </c>
      <c r="B71" s="108" t="s">
        <v>87</v>
      </c>
      <c r="C71" s="89" t="e">
        <f>+D71/$D$23</f>
        <v>#DIV/0!</v>
      </c>
      <c r="D71" s="84">
        <f>+'Men Cal Copeiragem 44'!C43</f>
        <v>0</v>
      </c>
    </row>
    <row r="72" spans="1:4" x14ac:dyDescent="0.2">
      <c r="A72" s="109" t="s">
        <v>13</v>
      </c>
      <c r="B72" s="86" t="s">
        <v>88</v>
      </c>
      <c r="C72" s="89" t="e">
        <f>+D72/$D$23</f>
        <v>#DIV/0!</v>
      </c>
      <c r="D72" s="84">
        <f>+'Men Cal Copeiragem 44'!C51</f>
        <v>0</v>
      </c>
    </row>
    <row r="73" spans="1:4" ht="25.5" x14ac:dyDescent="0.2">
      <c r="A73" s="109" t="s">
        <v>34</v>
      </c>
      <c r="B73" s="108" t="s">
        <v>89</v>
      </c>
      <c r="C73" s="107"/>
      <c r="D73" s="110"/>
    </row>
    <row r="74" spans="1:4" ht="25.5" x14ac:dyDescent="0.2">
      <c r="A74" s="109" t="s">
        <v>36</v>
      </c>
      <c r="B74" s="108" t="s">
        <v>90</v>
      </c>
      <c r="C74" s="89" t="e">
        <f>+D74/$D$23</f>
        <v>#DIV/0!</v>
      </c>
      <c r="D74" s="90">
        <f>+'Men Cal Copeiragem 44'!C63</f>
        <v>0</v>
      </c>
    </row>
    <row r="75" spans="1:4" x14ac:dyDescent="0.2">
      <c r="A75" s="299" t="s">
        <v>48</v>
      </c>
      <c r="B75" s="300"/>
      <c r="C75" s="308"/>
      <c r="D75" s="40">
        <f>SUM(D69:D74)</f>
        <v>0</v>
      </c>
    </row>
    <row r="77" spans="1:4" x14ac:dyDescent="0.2">
      <c r="A77" s="291" t="s">
        <v>91</v>
      </c>
      <c r="B77" s="292"/>
      <c r="C77" s="292"/>
      <c r="D77" s="292"/>
    </row>
    <row r="79" spans="1:4" x14ac:dyDescent="0.2">
      <c r="A79" s="317" t="s">
        <v>92</v>
      </c>
      <c r="B79" s="317"/>
      <c r="C79" s="317"/>
      <c r="D79" s="317"/>
    </row>
    <row r="80" spans="1:4" x14ac:dyDescent="0.2">
      <c r="A80" s="39" t="s">
        <v>93</v>
      </c>
      <c r="B80" s="299" t="s">
        <v>94</v>
      </c>
      <c r="C80" s="308"/>
      <c r="D80" s="19" t="s">
        <v>29</v>
      </c>
    </row>
    <row r="81" spans="1:4" x14ac:dyDescent="0.2">
      <c r="A81" s="86" t="s">
        <v>6</v>
      </c>
      <c r="B81" s="303" t="s">
        <v>95</v>
      </c>
      <c r="C81" s="304"/>
      <c r="D81" s="84"/>
    </row>
    <row r="82" spans="1:4" x14ac:dyDescent="0.2">
      <c r="A82" s="95" t="s">
        <v>8</v>
      </c>
      <c r="B82" s="309" t="s">
        <v>94</v>
      </c>
      <c r="C82" s="310"/>
      <c r="D82" s="111">
        <f>+'Men Cal Copeiragem 44'!C76</f>
        <v>0</v>
      </c>
    </row>
    <row r="83" spans="1:4" s="97" customFormat="1" x14ac:dyDescent="0.2">
      <c r="A83" s="95" t="s">
        <v>11</v>
      </c>
      <c r="B83" s="309" t="s">
        <v>96</v>
      </c>
      <c r="C83" s="310"/>
      <c r="D83" s="111">
        <f>+'Men Cal Copeiragem 44'!C85</f>
        <v>0</v>
      </c>
    </row>
    <row r="84" spans="1:4" s="97" customFormat="1" x14ac:dyDescent="0.2">
      <c r="A84" s="95" t="s">
        <v>13</v>
      </c>
      <c r="B84" s="309" t="s">
        <v>97</v>
      </c>
      <c r="C84" s="310"/>
      <c r="D84" s="111">
        <f>+'Men Cal Copeiragem 44'!C93</f>
        <v>0</v>
      </c>
    </row>
    <row r="85" spans="1:4" s="97" customFormat="1" ht="14.25" x14ac:dyDescent="0.2">
      <c r="A85" s="95" t="s">
        <v>34</v>
      </c>
      <c r="B85" s="309" t="s">
        <v>233</v>
      </c>
      <c r="C85" s="310"/>
      <c r="D85" s="111"/>
    </row>
    <row r="86" spans="1:4" s="97" customFormat="1" x14ac:dyDescent="0.2">
      <c r="A86" s="95" t="s">
        <v>36</v>
      </c>
      <c r="B86" s="309" t="s">
        <v>98</v>
      </c>
      <c r="C86" s="310"/>
      <c r="D86" s="111">
        <f>+'Men Cal Copeiragem 44'!C101</f>
        <v>0</v>
      </c>
    </row>
    <row r="87" spans="1:4" x14ac:dyDescent="0.2">
      <c r="A87" s="86" t="s">
        <v>38</v>
      </c>
      <c r="B87" s="303" t="s">
        <v>47</v>
      </c>
      <c r="C87" s="304"/>
      <c r="D87" s="84"/>
    </row>
    <row r="88" spans="1:4" x14ac:dyDescent="0.2">
      <c r="A88" s="86" t="s">
        <v>40</v>
      </c>
      <c r="B88" s="303" t="s">
        <v>99</v>
      </c>
      <c r="C88" s="304"/>
      <c r="D88" s="110"/>
    </row>
    <row r="89" spans="1:4" x14ac:dyDescent="0.2">
      <c r="A89" s="290" t="s">
        <v>48</v>
      </c>
      <c r="B89" s="290"/>
      <c r="C89" s="290"/>
      <c r="D89" s="20">
        <f>SUM(D81:D88)</f>
        <v>0</v>
      </c>
    </row>
    <row r="90" spans="1:4" x14ac:dyDescent="0.2">
      <c r="D90" s="112"/>
    </row>
    <row r="91" spans="1:4" x14ac:dyDescent="0.2">
      <c r="A91" s="39" t="s">
        <v>100</v>
      </c>
      <c r="B91" s="299" t="s">
        <v>101</v>
      </c>
      <c r="C91" s="308"/>
      <c r="D91" s="19" t="s">
        <v>29</v>
      </c>
    </row>
    <row r="92" spans="1:4" s="97" customFormat="1" x14ac:dyDescent="0.2">
      <c r="A92" s="95" t="s">
        <v>6</v>
      </c>
      <c r="B92" s="311" t="s">
        <v>102</v>
      </c>
      <c r="C92" s="312"/>
      <c r="D92" s="111">
        <f>+'Men Cal Copeiragem 44'!C112</f>
        <v>0</v>
      </c>
    </row>
    <row r="93" spans="1:4" s="97" customFormat="1" ht="28.5" customHeight="1" x14ac:dyDescent="0.2">
      <c r="A93" s="95" t="s">
        <v>8</v>
      </c>
      <c r="B93" s="313" t="s">
        <v>103</v>
      </c>
      <c r="C93" s="314"/>
      <c r="D93" s="110"/>
    </row>
    <row r="94" spans="1:4" s="97" customFormat="1" ht="31.5" customHeight="1" x14ac:dyDescent="0.2">
      <c r="A94" s="95" t="s">
        <v>11</v>
      </c>
      <c r="B94" s="313" t="s">
        <v>104</v>
      </c>
      <c r="C94" s="314"/>
      <c r="D94" s="110"/>
    </row>
    <row r="95" spans="1:4" x14ac:dyDescent="0.2">
      <c r="A95" s="86" t="s">
        <v>13</v>
      </c>
      <c r="B95" s="303" t="s">
        <v>47</v>
      </c>
      <c r="C95" s="304"/>
      <c r="D95" s="84"/>
    </row>
    <row r="96" spans="1:4" x14ac:dyDescent="0.2">
      <c r="A96" s="290" t="s">
        <v>48</v>
      </c>
      <c r="B96" s="290"/>
      <c r="C96" s="290"/>
      <c r="D96" s="20">
        <f>SUM(D92:D95)</f>
        <v>0</v>
      </c>
    </row>
    <row r="97" spans="1:4" x14ac:dyDescent="0.2">
      <c r="D97" s="112"/>
    </row>
    <row r="98" spans="1:4" x14ac:dyDescent="0.2">
      <c r="A98" s="39" t="s">
        <v>105</v>
      </c>
      <c r="B98" s="290" t="s">
        <v>106</v>
      </c>
      <c r="C98" s="290"/>
      <c r="D98" s="19" t="s">
        <v>29</v>
      </c>
    </row>
    <row r="99" spans="1:4" s="114" customFormat="1" x14ac:dyDescent="0.25">
      <c r="A99" s="109" t="s">
        <v>6</v>
      </c>
      <c r="B99" s="302" t="s">
        <v>107</v>
      </c>
      <c r="C99" s="302"/>
      <c r="D99" s="113"/>
    </row>
    <row r="100" spans="1:4" x14ac:dyDescent="0.2">
      <c r="A100" s="290" t="s">
        <v>48</v>
      </c>
      <c r="B100" s="290"/>
      <c r="C100" s="290"/>
      <c r="D100" s="20">
        <f>SUM(D99:D99)</f>
        <v>0</v>
      </c>
    </row>
    <row r="102" spans="1:4" x14ac:dyDescent="0.2">
      <c r="A102" s="70" t="s">
        <v>108</v>
      </c>
      <c r="B102" s="70"/>
      <c r="C102" s="70"/>
      <c r="D102" s="70"/>
    </row>
    <row r="103" spans="1:4" x14ac:dyDescent="0.2">
      <c r="A103" s="86" t="s">
        <v>93</v>
      </c>
      <c r="B103" s="303" t="s">
        <v>94</v>
      </c>
      <c r="C103" s="304"/>
      <c r="D103" s="90">
        <f>+D89</f>
        <v>0</v>
      </c>
    </row>
    <row r="104" spans="1:4" x14ac:dyDescent="0.2">
      <c r="A104" s="86" t="s">
        <v>100</v>
      </c>
      <c r="B104" s="303" t="s">
        <v>101</v>
      </c>
      <c r="C104" s="304"/>
      <c r="D104" s="90">
        <f>+D96</f>
        <v>0</v>
      </c>
    </row>
    <row r="105" spans="1:4" x14ac:dyDescent="0.2">
      <c r="A105" s="115"/>
      <c r="B105" s="305" t="s">
        <v>109</v>
      </c>
      <c r="C105" s="306"/>
      <c r="D105" s="41">
        <f>+D104+D103</f>
        <v>0</v>
      </c>
    </row>
    <row r="106" spans="1:4" x14ac:dyDescent="0.2">
      <c r="A106" s="86" t="s">
        <v>105</v>
      </c>
      <c r="B106" s="303" t="s">
        <v>106</v>
      </c>
      <c r="C106" s="304"/>
      <c r="D106" s="90">
        <f>+D100</f>
        <v>0</v>
      </c>
    </row>
    <row r="107" spans="1:4" x14ac:dyDescent="0.2">
      <c r="A107" s="307" t="s">
        <v>48</v>
      </c>
      <c r="B107" s="307"/>
      <c r="C107" s="307"/>
      <c r="D107" s="42">
        <f>+D106+D105</f>
        <v>0</v>
      </c>
    </row>
    <row r="109" spans="1:4" x14ac:dyDescent="0.2">
      <c r="A109" s="291" t="s">
        <v>110</v>
      </c>
      <c r="B109" s="292"/>
      <c r="C109" s="292"/>
      <c r="D109" s="292"/>
    </row>
    <row r="111" spans="1:4" x14ac:dyDescent="0.2">
      <c r="A111" s="39">
        <v>5</v>
      </c>
      <c r="B111" s="299" t="s">
        <v>111</v>
      </c>
      <c r="C111" s="308"/>
      <c r="D111" s="19" t="s">
        <v>29</v>
      </c>
    </row>
    <row r="112" spans="1:4" x14ac:dyDescent="0.2">
      <c r="A112" s="86" t="s">
        <v>6</v>
      </c>
      <c r="B112" s="289" t="s">
        <v>112</v>
      </c>
      <c r="C112" s="289"/>
      <c r="D112" s="84">
        <f>+Uniforme!E12</f>
        <v>0</v>
      </c>
    </row>
    <row r="113" spans="1:4" x14ac:dyDescent="0.2">
      <c r="A113" s="86" t="s">
        <v>74</v>
      </c>
      <c r="B113" s="95" t="s">
        <v>75</v>
      </c>
      <c r="C113" s="87">
        <f>+$C$131+$C$132</f>
        <v>9.2499999999999999E-2</v>
      </c>
      <c r="D113" s="96">
        <f>+(C113*D112)*-1</f>
        <v>0</v>
      </c>
    </row>
    <row r="114" spans="1:4" x14ac:dyDescent="0.2">
      <c r="A114" s="86" t="s">
        <v>8</v>
      </c>
      <c r="B114" s="289" t="s">
        <v>113</v>
      </c>
      <c r="C114" s="289"/>
      <c r="D114" s="84"/>
    </row>
    <row r="115" spans="1:4" x14ac:dyDescent="0.2">
      <c r="A115" s="86" t="s">
        <v>55</v>
      </c>
      <c r="B115" s="95" t="s">
        <v>75</v>
      </c>
      <c r="C115" s="87">
        <f>+$C$131+$C$132</f>
        <v>9.2499999999999999E-2</v>
      </c>
      <c r="D115" s="96">
        <f>+(C115*D114)*-1</f>
        <v>0</v>
      </c>
    </row>
    <row r="116" spans="1:4" x14ac:dyDescent="0.2">
      <c r="A116" s="86" t="s">
        <v>11</v>
      </c>
      <c r="B116" s="289" t="s">
        <v>114</v>
      </c>
      <c r="C116" s="289"/>
      <c r="D116" s="84"/>
    </row>
    <row r="117" spans="1:4" x14ac:dyDescent="0.2">
      <c r="A117" s="86" t="s">
        <v>78</v>
      </c>
      <c r="B117" s="95" t="s">
        <v>75</v>
      </c>
      <c r="C117" s="87">
        <f>+$C$131+$C$132</f>
        <v>9.2499999999999999E-2</v>
      </c>
      <c r="D117" s="96">
        <f>+(C117*D116)*-1</f>
        <v>0</v>
      </c>
    </row>
    <row r="118" spans="1:4" x14ac:dyDescent="0.2">
      <c r="A118" s="86" t="s">
        <v>13</v>
      </c>
      <c r="B118" s="289" t="s">
        <v>47</v>
      </c>
      <c r="C118" s="289"/>
      <c r="D118" s="84"/>
    </row>
    <row r="119" spans="1:4" x14ac:dyDescent="0.2">
      <c r="A119" s="86" t="s">
        <v>79</v>
      </c>
      <c r="B119" s="95" t="s">
        <v>75</v>
      </c>
      <c r="C119" s="87">
        <f>+$C$131+$C$132</f>
        <v>9.2499999999999999E-2</v>
      </c>
      <c r="D119" s="96">
        <f>+(C119*D118)*-1</f>
        <v>0</v>
      </c>
    </row>
    <row r="120" spans="1:4" x14ac:dyDescent="0.2">
      <c r="A120" s="290" t="s">
        <v>48</v>
      </c>
      <c r="B120" s="290"/>
      <c r="C120" s="290"/>
      <c r="D120" s="20">
        <f>SUM(D112:D118)</f>
        <v>0</v>
      </c>
    </row>
    <row r="122" spans="1:4" x14ac:dyDescent="0.2">
      <c r="A122" s="291" t="s">
        <v>115</v>
      </c>
      <c r="B122" s="292"/>
      <c r="C122" s="292"/>
      <c r="D122" s="292"/>
    </row>
    <row r="124" spans="1:4" x14ac:dyDescent="0.2">
      <c r="A124" s="39">
        <v>6</v>
      </c>
      <c r="B124" s="22" t="s">
        <v>116</v>
      </c>
      <c r="C124" s="67" t="s">
        <v>28</v>
      </c>
      <c r="D124" s="19" t="s">
        <v>29</v>
      </c>
    </row>
    <row r="125" spans="1:4" x14ac:dyDescent="0.2">
      <c r="A125" s="101" t="s">
        <v>6</v>
      </c>
      <c r="B125" s="101" t="s">
        <v>117</v>
      </c>
      <c r="C125" s="116">
        <v>0.03</v>
      </c>
      <c r="D125" s="102">
        <f>($D$120+$D$107+$D$75+$D$64+$D$23)*C125</f>
        <v>0</v>
      </c>
    </row>
    <row r="126" spans="1:4" x14ac:dyDescent="0.2">
      <c r="A126" s="101" t="s">
        <v>8</v>
      </c>
      <c r="B126" s="101" t="s">
        <v>118</v>
      </c>
      <c r="C126" s="116">
        <v>0.03</v>
      </c>
      <c r="D126" s="102">
        <f>($D$120+$D$107+$D$75+$D$64+$D$23+D125)*C126</f>
        <v>0</v>
      </c>
    </row>
    <row r="127" spans="1:4" s="44" customFormat="1" x14ac:dyDescent="0.25">
      <c r="A127" s="293" t="s">
        <v>119</v>
      </c>
      <c r="B127" s="294"/>
      <c r="C127" s="295"/>
      <c r="D127" s="43">
        <f>++D126+D125+D120+D107+D75+D64+D23</f>
        <v>0</v>
      </c>
    </row>
    <row r="128" spans="1:4" s="44" customFormat="1" ht="33" customHeight="1" x14ac:dyDescent="0.25">
      <c r="A128" s="296" t="s">
        <v>120</v>
      </c>
      <c r="B128" s="297"/>
      <c r="C128" s="298"/>
      <c r="D128" s="43">
        <f>ROUND(D127/(1-(C131+C132+C134+C136+C137)),2)</f>
        <v>0</v>
      </c>
    </row>
    <row r="129" spans="1:7" x14ac:dyDescent="0.2">
      <c r="A129" s="86" t="s">
        <v>11</v>
      </c>
      <c r="B129" s="86" t="s">
        <v>121</v>
      </c>
      <c r="C129" s="89"/>
      <c r="D129" s="86"/>
    </row>
    <row r="130" spans="1:7" x14ac:dyDescent="0.2">
      <c r="A130" s="86" t="s">
        <v>78</v>
      </c>
      <c r="B130" s="86" t="s">
        <v>122</v>
      </c>
      <c r="C130" s="89"/>
      <c r="D130" s="86"/>
    </row>
    <row r="131" spans="1:7" x14ac:dyDescent="0.2">
      <c r="A131" s="101" t="s">
        <v>123</v>
      </c>
      <c r="B131" s="101" t="s">
        <v>124</v>
      </c>
      <c r="C131" s="116">
        <v>1.6500000000000001E-2</v>
      </c>
      <c r="D131" s="102">
        <f>ROUND(C131*$D$128,2)</f>
        <v>0</v>
      </c>
      <c r="G131" s="117"/>
    </row>
    <row r="132" spans="1:7" x14ac:dyDescent="0.2">
      <c r="A132" s="101" t="s">
        <v>125</v>
      </c>
      <c r="B132" s="101" t="s">
        <v>126</v>
      </c>
      <c r="C132" s="116">
        <v>7.5999999999999998E-2</v>
      </c>
      <c r="D132" s="102">
        <f>ROUND(C132*$D$128,2)</f>
        <v>0</v>
      </c>
      <c r="G132" s="117"/>
    </row>
    <row r="133" spans="1:7" x14ac:dyDescent="0.2">
      <c r="A133" s="86" t="s">
        <v>127</v>
      </c>
      <c r="B133" s="86" t="s">
        <v>128</v>
      </c>
      <c r="C133" s="89"/>
      <c r="D133" s="90"/>
      <c r="G133" s="117"/>
    </row>
    <row r="134" spans="1:7" x14ac:dyDescent="0.2">
      <c r="A134" s="86" t="s">
        <v>129</v>
      </c>
      <c r="B134" s="86" t="s">
        <v>130</v>
      </c>
      <c r="C134" s="89"/>
      <c r="D134" s="86"/>
      <c r="G134" s="117"/>
    </row>
    <row r="135" spans="1:7" x14ac:dyDescent="0.2">
      <c r="A135" s="86" t="s">
        <v>131</v>
      </c>
      <c r="B135" s="86" t="s">
        <v>132</v>
      </c>
      <c r="C135" s="89"/>
      <c r="D135" s="86"/>
    </row>
    <row r="136" spans="1:7" x14ac:dyDescent="0.2">
      <c r="A136" s="101" t="s">
        <v>133</v>
      </c>
      <c r="B136" s="101" t="s">
        <v>134</v>
      </c>
      <c r="C136" s="116">
        <v>0.05</v>
      </c>
      <c r="D136" s="102">
        <f>ROUND(C136*$D$128,2)</f>
        <v>0</v>
      </c>
    </row>
    <row r="137" spans="1:7" x14ac:dyDescent="0.2">
      <c r="A137" s="86" t="s">
        <v>135</v>
      </c>
      <c r="B137" s="86" t="s">
        <v>136</v>
      </c>
      <c r="C137" s="89"/>
      <c r="D137" s="86"/>
    </row>
    <row r="138" spans="1:7" x14ac:dyDescent="0.2">
      <c r="A138" s="86" t="s">
        <v>13</v>
      </c>
      <c r="B138" s="86" t="s">
        <v>248</v>
      </c>
      <c r="C138" s="143"/>
      <c r="D138" s="86"/>
    </row>
    <row r="139" spans="1:7" ht="14.25" x14ac:dyDescent="0.2">
      <c r="A139" s="86" t="s">
        <v>249</v>
      </c>
      <c r="B139" s="86" t="s">
        <v>250</v>
      </c>
      <c r="C139" s="143"/>
      <c r="D139" s="144">
        <f>+D157</f>
        <v>0.59</v>
      </c>
    </row>
    <row r="140" spans="1:7" x14ac:dyDescent="0.2">
      <c r="A140" s="86" t="s">
        <v>251</v>
      </c>
      <c r="B140" s="86" t="s">
        <v>252</v>
      </c>
      <c r="C140" s="143"/>
      <c r="D140" s="144">
        <f>+D158</f>
        <v>1.58</v>
      </c>
    </row>
    <row r="141" spans="1:7" x14ac:dyDescent="0.2">
      <c r="A141" s="299" t="s">
        <v>48</v>
      </c>
      <c r="B141" s="300"/>
      <c r="C141" s="45">
        <f>+C137+C136+C134+C132+C131+C126+C125</f>
        <v>0.20250000000000001</v>
      </c>
      <c r="D141" s="20">
        <f>+D136+D134+D132+D131+D126+D125+D139+D140</f>
        <v>2.17</v>
      </c>
    </row>
    <row r="143" spans="1:7" x14ac:dyDescent="0.2">
      <c r="A143" s="301" t="s">
        <v>137</v>
      </c>
      <c r="B143" s="301"/>
      <c r="C143" s="301"/>
      <c r="D143" s="301"/>
    </row>
    <row r="144" spans="1:7" x14ac:dyDescent="0.2">
      <c r="A144" s="86" t="s">
        <v>6</v>
      </c>
      <c r="B144" s="286" t="s">
        <v>138</v>
      </c>
      <c r="C144" s="286"/>
      <c r="D144" s="84">
        <f>+D23</f>
        <v>0</v>
      </c>
    </row>
    <row r="145" spans="1:5" x14ac:dyDescent="0.2">
      <c r="A145" s="86" t="s">
        <v>139</v>
      </c>
      <c r="B145" s="286" t="s">
        <v>140</v>
      </c>
      <c r="C145" s="286"/>
      <c r="D145" s="84">
        <f>+D64</f>
        <v>0</v>
      </c>
    </row>
    <row r="146" spans="1:5" x14ac:dyDescent="0.2">
      <c r="A146" s="86" t="s">
        <v>11</v>
      </c>
      <c r="B146" s="286" t="s">
        <v>141</v>
      </c>
      <c r="C146" s="286"/>
      <c r="D146" s="84">
        <f>+D75</f>
        <v>0</v>
      </c>
    </row>
    <row r="147" spans="1:5" x14ac:dyDescent="0.2">
      <c r="A147" s="86" t="s">
        <v>13</v>
      </c>
      <c r="B147" s="286" t="s">
        <v>142</v>
      </c>
      <c r="C147" s="286"/>
      <c r="D147" s="84">
        <f>+D107</f>
        <v>0</v>
      </c>
    </row>
    <row r="148" spans="1:5" x14ac:dyDescent="0.2">
      <c r="A148" s="86" t="s">
        <v>34</v>
      </c>
      <c r="B148" s="286" t="s">
        <v>143</v>
      </c>
      <c r="C148" s="286"/>
      <c r="D148" s="84">
        <f>+D120</f>
        <v>0</v>
      </c>
    </row>
    <row r="149" spans="1:5" x14ac:dyDescent="0.2">
      <c r="B149" s="287" t="s">
        <v>144</v>
      </c>
      <c r="C149" s="287"/>
      <c r="D149" s="46">
        <f>SUM(D144:D148)</f>
        <v>0</v>
      </c>
    </row>
    <row r="150" spans="1:5" x14ac:dyDescent="0.2">
      <c r="A150" s="86" t="s">
        <v>36</v>
      </c>
      <c r="B150" s="286" t="s">
        <v>145</v>
      </c>
      <c r="C150" s="286"/>
      <c r="D150" s="84">
        <f>+D141</f>
        <v>2.17</v>
      </c>
    </row>
    <row r="152" spans="1:5" x14ac:dyDescent="0.2">
      <c r="A152" s="288" t="s">
        <v>146</v>
      </c>
      <c r="B152" s="288"/>
      <c r="C152" s="288"/>
      <c r="D152" s="47">
        <f>ROUND(+D150+D149,2)</f>
        <v>2.17</v>
      </c>
    </row>
    <row r="154" spans="1:5" ht="35.25" customHeight="1" x14ac:dyDescent="0.2">
      <c r="A154" s="252" t="s">
        <v>242</v>
      </c>
      <c r="B154" s="252"/>
      <c r="C154" s="252"/>
      <c r="D154" s="252"/>
    </row>
    <row r="155" spans="1:5" x14ac:dyDescent="0.2">
      <c r="A155" s="285" t="s">
        <v>243</v>
      </c>
      <c r="B155" s="285"/>
      <c r="C155" s="285"/>
      <c r="D155" s="285"/>
      <c r="E155" s="118"/>
    </row>
    <row r="156" spans="1:5" ht="22.5" x14ac:dyDescent="0.25">
      <c r="A156" s="2"/>
      <c r="B156" s="138"/>
      <c r="C156" s="139" t="s">
        <v>244</v>
      </c>
      <c r="D156" s="140" t="s">
        <v>245</v>
      </c>
      <c r="E156" s="118"/>
    </row>
    <row r="157" spans="1:5" x14ac:dyDescent="0.2">
      <c r="A157" s="141" t="s">
        <v>246</v>
      </c>
      <c r="B157" s="141"/>
      <c r="C157" s="142">
        <f>ROUND((565/12),2)</f>
        <v>47.08</v>
      </c>
      <c r="D157" s="142">
        <f>ROUND(+C157/+(+Apresentacao!$E$35+Apresentacao!$E$36+Apresentacao!$E$38),2)</f>
        <v>0.59</v>
      </c>
      <c r="E157" s="118"/>
    </row>
    <row r="158" spans="1:5" x14ac:dyDescent="0.2">
      <c r="A158" s="141" t="s">
        <v>247</v>
      </c>
      <c r="B158" s="141"/>
      <c r="C158" s="142">
        <v>126</v>
      </c>
      <c r="D158" s="142">
        <f>ROUND(+C158/+(+Apresentacao!$E$35+Apresentacao!$E$36+Apresentacao!$E$38),2)</f>
        <v>1.58</v>
      </c>
      <c r="E158" s="118"/>
    </row>
    <row r="159" spans="1:5" x14ac:dyDescent="0.2">
      <c r="A159" s="118"/>
      <c r="B159" s="118"/>
      <c r="C159" s="118"/>
      <c r="D159" s="118"/>
      <c r="E159" s="118"/>
    </row>
    <row r="160" spans="1:5" x14ac:dyDescent="0.2">
      <c r="A160" s="118"/>
      <c r="B160" s="118"/>
      <c r="C160" s="118"/>
      <c r="D160" s="118"/>
      <c r="E160" s="118"/>
    </row>
    <row r="161" spans="1:5" x14ac:dyDescent="0.2">
      <c r="A161" s="118"/>
      <c r="B161" s="118"/>
      <c r="C161" s="118"/>
      <c r="D161" s="118"/>
      <c r="E161" s="118"/>
    </row>
    <row r="162" spans="1:5" x14ac:dyDescent="0.2">
      <c r="A162" s="118"/>
      <c r="B162" s="118"/>
      <c r="C162" s="118"/>
      <c r="D162" s="118"/>
      <c r="E162" s="118"/>
    </row>
    <row r="163" spans="1:5" x14ac:dyDescent="0.2">
      <c r="A163" s="118"/>
      <c r="B163" s="118"/>
      <c r="C163" s="118"/>
      <c r="D163" s="118"/>
      <c r="E163" s="118"/>
    </row>
    <row r="164" spans="1:5" x14ac:dyDescent="0.2">
      <c r="A164" s="118"/>
      <c r="B164" s="118"/>
      <c r="C164" s="118"/>
      <c r="D164" s="118"/>
      <c r="E164" s="118"/>
    </row>
    <row r="165" spans="1:5" x14ac:dyDescent="0.2">
      <c r="A165" s="118"/>
      <c r="B165" s="118"/>
      <c r="C165" s="118"/>
      <c r="D165" s="118"/>
      <c r="E165" s="118"/>
    </row>
    <row r="166" spans="1:5" x14ac:dyDescent="0.2">
      <c r="A166" s="118"/>
      <c r="B166" s="118"/>
      <c r="C166" s="118"/>
      <c r="D166" s="118"/>
      <c r="E166" s="118"/>
    </row>
  </sheetData>
  <mergeCells count="79">
    <mergeCell ref="A154:D154"/>
    <mergeCell ref="A155:D155"/>
    <mergeCell ref="A152:C152"/>
    <mergeCell ref="A127:C127"/>
    <mergeCell ref="A128:C128"/>
    <mergeCell ref="A141:B141"/>
    <mergeCell ref="A143:D143"/>
    <mergeCell ref="B144:C144"/>
    <mergeCell ref="B145:C145"/>
    <mergeCell ref="B146:C146"/>
    <mergeCell ref="B147:C147"/>
    <mergeCell ref="B148:C148"/>
    <mergeCell ref="B149:C149"/>
    <mergeCell ref="B150:C150"/>
    <mergeCell ref="A122:D122"/>
    <mergeCell ref="B104:C104"/>
    <mergeCell ref="B105:C105"/>
    <mergeCell ref="B106:C106"/>
    <mergeCell ref="A107:C107"/>
    <mergeCell ref="A109:D109"/>
    <mergeCell ref="B111:C111"/>
    <mergeCell ref="B112:C112"/>
    <mergeCell ref="B114:C114"/>
    <mergeCell ref="B116:C116"/>
    <mergeCell ref="B118:C118"/>
    <mergeCell ref="A120:C120"/>
    <mergeCell ref="B103:C103"/>
    <mergeCell ref="B88:C88"/>
    <mergeCell ref="A89:C89"/>
    <mergeCell ref="B91:C91"/>
    <mergeCell ref="B92:C92"/>
    <mergeCell ref="B93:C93"/>
    <mergeCell ref="B94:C94"/>
    <mergeCell ref="B95:C95"/>
    <mergeCell ref="A96:C96"/>
    <mergeCell ref="B98:C98"/>
    <mergeCell ref="B99:C99"/>
    <mergeCell ref="A100:C100"/>
    <mergeCell ref="B87:C87"/>
    <mergeCell ref="A66:D66"/>
    <mergeCell ref="A75:C75"/>
    <mergeCell ref="A77:D77"/>
    <mergeCell ref="A79:D79"/>
    <mergeCell ref="B80:C80"/>
    <mergeCell ref="B81:C81"/>
    <mergeCell ref="B82:C82"/>
    <mergeCell ref="B83:C83"/>
    <mergeCell ref="B84:C84"/>
    <mergeCell ref="B85:C85"/>
    <mergeCell ref="B86:C86"/>
    <mergeCell ref="A64:C64"/>
    <mergeCell ref="A27:D27"/>
    <mergeCell ref="A33:C33"/>
    <mergeCell ref="A35:D35"/>
    <mergeCell ref="A47:D47"/>
    <mergeCell ref="A57:B57"/>
    <mergeCell ref="A59:D59"/>
    <mergeCell ref="B60:C60"/>
    <mergeCell ref="B61:C61"/>
    <mergeCell ref="B62:C62"/>
    <mergeCell ref="B63:C63"/>
    <mergeCell ref="A25:D25"/>
    <mergeCell ref="C8:D8"/>
    <mergeCell ref="A10:D10"/>
    <mergeCell ref="B12:C12"/>
    <mergeCell ref="B15:C15"/>
    <mergeCell ref="B16:C16"/>
    <mergeCell ref="B17:C17"/>
    <mergeCell ref="B18:C18"/>
    <mergeCell ref="B19:C19"/>
    <mergeCell ref="B21:C21"/>
    <mergeCell ref="B22:C22"/>
    <mergeCell ref="A23:C23"/>
    <mergeCell ref="C7:D7"/>
    <mergeCell ref="A1:D1"/>
    <mergeCell ref="A3:D3"/>
    <mergeCell ref="C4:D4"/>
    <mergeCell ref="C5:D5"/>
    <mergeCell ref="C6:D6"/>
  </mergeCells>
  <pageMargins left="1.4960629921259843" right="0.15748031496062992" top="0.35433070866141736" bottom="0.31496062992125984" header="0.31496062992125984" footer="0.11811023622047245"/>
  <pageSetup paperSize="9" scale="70" orientation="portrait" r:id="rId1"/>
  <headerFooter>
    <oddFooter>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C126"/>
  <sheetViews>
    <sheetView workbookViewId="0">
      <selection activeCell="B8" sqref="B8"/>
    </sheetView>
  </sheetViews>
  <sheetFormatPr defaultRowHeight="12.75" x14ac:dyDescent="0.2"/>
  <cols>
    <col min="1" max="1" width="73.7109375" style="71" customWidth="1"/>
    <col min="2" max="2" width="16.42578125" style="71" bestFit="1" customWidth="1"/>
    <col min="3" max="3" width="13.85546875" style="71" bestFit="1" customWidth="1"/>
    <col min="4" max="4" width="10.7109375" style="71" bestFit="1" customWidth="1"/>
    <col min="5" max="5" width="79" style="71" customWidth="1"/>
    <col min="6" max="16384" width="9.140625" style="71"/>
  </cols>
  <sheetData>
    <row r="1" spans="1:3" ht="33" customHeight="1" x14ac:dyDescent="0.2">
      <c r="A1" s="395" t="s">
        <v>262</v>
      </c>
      <c r="B1" s="395"/>
      <c r="C1" s="395"/>
    </row>
    <row r="3" spans="1:3" x14ac:dyDescent="0.2">
      <c r="A3" s="86" t="s">
        <v>147</v>
      </c>
      <c r="B3" s="86">
        <v>220</v>
      </c>
    </row>
    <row r="4" spans="1:3" x14ac:dyDescent="0.2">
      <c r="A4" s="86" t="s">
        <v>148</v>
      </c>
      <c r="B4" s="86">
        <v>365.25</v>
      </c>
    </row>
    <row r="5" spans="1:3" x14ac:dyDescent="0.2">
      <c r="A5" s="86" t="s">
        <v>149</v>
      </c>
      <c r="B5" s="49">
        <f>(365.25/12)/(7/5)</f>
        <v>21.741071428571431</v>
      </c>
    </row>
    <row r="6" spans="1:3" x14ac:dyDescent="0.2">
      <c r="A6" s="95" t="s">
        <v>30</v>
      </c>
      <c r="B6" s="90">
        <f>+'Copeiragem 44h'!D12</f>
        <v>0</v>
      </c>
    </row>
    <row r="7" spans="1:3" x14ac:dyDescent="0.2">
      <c r="A7" s="95" t="s">
        <v>150</v>
      </c>
      <c r="B7" s="90">
        <f>+'Copeiragem 44h'!D23</f>
        <v>0</v>
      </c>
    </row>
    <row r="9" spans="1:3" x14ac:dyDescent="0.2">
      <c r="A9" s="353" t="s">
        <v>151</v>
      </c>
      <c r="B9" s="354"/>
      <c r="C9" s="355"/>
    </row>
    <row r="10" spans="1:3" x14ac:dyDescent="0.2">
      <c r="A10" s="86" t="s">
        <v>152</v>
      </c>
      <c r="B10" s="86">
        <f>+$B$4</f>
        <v>365.25</v>
      </c>
      <c r="C10" s="107"/>
    </row>
    <row r="11" spans="1:3" x14ac:dyDescent="0.2">
      <c r="A11" s="86" t="s">
        <v>153</v>
      </c>
      <c r="B11" s="95">
        <v>12</v>
      </c>
      <c r="C11" s="107"/>
    </row>
    <row r="12" spans="1:3" x14ac:dyDescent="0.2">
      <c r="A12" s="86" t="s">
        <v>154</v>
      </c>
      <c r="B12" s="89">
        <v>1</v>
      </c>
      <c r="C12" s="107"/>
    </row>
    <row r="13" spans="1:3" x14ac:dyDescent="0.2">
      <c r="A13" s="95" t="s">
        <v>155</v>
      </c>
      <c r="B13" s="119">
        <f>+B5</f>
        <v>21.741071428571431</v>
      </c>
      <c r="C13" s="107"/>
    </row>
    <row r="14" spans="1:3" x14ac:dyDescent="0.2">
      <c r="A14" s="101" t="s">
        <v>156</v>
      </c>
      <c r="B14" s="120"/>
      <c r="C14" s="107"/>
    </row>
    <row r="15" spans="1:3" x14ac:dyDescent="0.2">
      <c r="A15" s="86" t="s">
        <v>157</v>
      </c>
      <c r="B15" s="89">
        <v>0.06</v>
      </c>
      <c r="C15" s="107"/>
    </row>
    <row r="16" spans="1:3" x14ac:dyDescent="0.2">
      <c r="A16" s="334" t="s">
        <v>158</v>
      </c>
      <c r="B16" s="335"/>
      <c r="C16" s="48">
        <f>ROUND((B13*(B14*2)-($B$6*B15)),2)</f>
        <v>0</v>
      </c>
    </row>
    <row r="18" spans="1:3" x14ac:dyDescent="0.2">
      <c r="A18" s="353" t="s">
        <v>159</v>
      </c>
      <c r="B18" s="354"/>
      <c r="C18" s="355"/>
    </row>
    <row r="19" spans="1:3" x14ac:dyDescent="0.2">
      <c r="A19" s="86" t="s">
        <v>152</v>
      </c>
      <c r="B19" s="86">
        <f>+$B$4</f>
        <v>365.25</v>
      </c>
      <c r="C19" s="107"/>
    </row>
    <row r="20" spans="1:3" x14ac:dyDescent="0.2">
      <c r="A20" s="86" t="s">
        <v>153</v>
      </c>
      <c r="B20" s="95">
        <v>12</v>
      </c>
      <c r="C20" s="107"/>
    </row>
    <row r="21" spans="1:3" x14ac:dyDescent="0.2">
      <c r="A21" s="86" t="s">
        <v>154</v>
      </c>
      <c r="B21" s="89">
        <v>1</v>
      </c>
      <c r="C21" s="107"/>
    </row>
    <row r="22" spans="1:3" x14ac:dyDescent="0.2">
      <c r="A22" s="95" t="s">
        <v>155</v>
      </c>
      <c r="B22" s="119">
        <f>+B5</f>
        <v>21.741071428571431</v>
      </c>
      <c r="C22" s="107"/>
    </row>
    <row r="23" spans="1:3" x14ac:dyDescent="0.2">
      <c r="A23" s="101" t="s">
        <v>160</v>
      </c>
      <c r="B23" s="120"/>
      <c r="C23" s="107"/>
    </row>
    <row r="24" spans="1:3" x14ac:dyDescent="0.2">
      <c r="A24" s="86" t="s">
        <v>161</v>
      </c>
      <c r="B24" s="89">
        <v>0.1</v>
      </c>
      <c r="C24" s="107"/>
    </row>
    <row r="25" spans="1:3" x14ac:dyDescent="0.2">
      <c r="A25" s="334" t="s">
        <v>160</v>
      </c>
      <c r="B25" s="335"/>
      <c r="C25" s="48">
        <f>ROUND((B22*(B23)-((B22*B23)*B24)),2)</f>
        <v>0</v>
      </c>
    </row>
    <row r="27" spans="1:3" x14ac:dyDescent="0.2">
      <c r="A27" s="353" t="s">
        <v>162</v>
      </c>
      <c r="B27" s="354"/>
      <c r="C27" s="355"/>
    </row>
    <row r="28" spans="1:3" x14ac:dyDescent="0.2">
      <c r="A28" s="86" t="s">
        <v>163</v>
      </c>
      <c r="B28" s="90">
        <f>+B7</f>
        <v>0</v>
      </c>
      <c r="C28" s="107"/>
    </row>
    <row r="29" spans="1:3" x14ac:dyDescent="0.2">
      <c r="A29" s="86" t="s">
        <v>164</v>
      </c>
      <c r="B29" s="86">
        <v>12</v>
      </c>
      <c r="C29" s="107"/>
    </row>
    <row r="30" spans="1:3" x14ac:dyDescent="0.2">
      <c r="A30" s="101" t="s">
        <v>165</v>
      </c>
      <c r="B30" s="116"/>
      <c r="C30" s="107"/>
    </row>
    <row r="31" spans="1:3" x14ac:dyDescent="0.2">
      <c r="A31" s="334" t="s">
        <v>166</v>
      </c>
      <c r="B31" s="335"/>
      <c r="C31" s="48">
        <f>ROUND(+(B28/B29)*B30,2)</f>
        <v>0</v>
      </c>
    </row>
    <row r="33" spans="1:3" x14ac:dyDescent="0.2">
      <c r="A33" s="336" t="s">
        <v>167</v>
      </c>
      <c r="B33" s="337"/>
      <c r="C33" s="338"/>
    </row>
    <row r="34" spans="1:3" s="97" customFormat="1" x14ac:dyDescent="0.2">
      <c r="A34" s="121" t="s">
        <v>168</v>
      </c>
      <c r="B34" s="116">
        <f>+B30</f>
        <v>0</v>
      </c>
      <c r="C34" s="107"/>
    </row>
    <row r="35" spans="1:3" x14ac:dyDescent="0.2">
      <c r="A35" s="86" t="s">
        <v>169</v>
      </c>
      <c r="B35" s="90">
        <f>+'Copeiragem 44h'!$D$23</f>
        <v>0</v>
      </c>
      <c r="C35" s="107"/>
    </row>
    <row r="36" spans="1:3" x14ac:dyDescent="0.2">
      <c r="A36" s="86" t="s">
        <v>53</v>
      </c>
      <c r="B36" s="90">
        <f>+'Copeiragem 44h'!$D$29</f>
        <v>0</v>
      </c>
      <c r="C36" s="107"/>
    </row>
    <row r="37" spans="1:3" x14ac:dyDescent="0.2">
      <c r="A37" s="86" t="s">
        <v>56</v>
      </c>
      <c r="B37" s="90">
        <f>+'Copeiragem 44h'!$D$31</f>
        <v>0</v>
      </c>
      <c r="C37" s="107"/>
    </row>
    <row r="38" spans="1:3" x14ac:dyDescent="0.2">
      <c r="A38" s="86" t="s">
        <v>58</v>
      </c>
      <c r="B38" s="90">
        <f>+'Copeiragem 44h'!$D$32</f>
        <v>0</v>
      </c>
      <c r="C38" s="107"/>
    </row>
    <row r="39" spans="1:3" x14ac:dyDescent="0.2">
      <c r="A39" s="50" t="s">
        <v>170</v>
      </c>
      <c r="B39" s="51">
        <f>SUM(B35:B38)</f>
        <v>0</v>
      </c>
      <c r="C39" s="107"/>
    </row>
    <row r="40" spans="1:3" x14ac:dyDescent="0.2">
      <c r="A40" s="95" t="s">
        <v>171</v>
      </c>
      <c r="B40" s="89">
        <v>0.4</v>
      </c>
      <c r="C40" s="107"/>
    </row>
    <row r="41" spans="1:3" x14ac:dyDescent="0.2">
      <c r="A41" s="95" t="s">
        <v>172</v>
      </c>
      <c r="B41" s="89">
        <f>+'Copeiragem 44h'!$C$44</f>
        <v>0.08</v>
      </c>
      <c r="C41" s="107"/>
    </row>
    <row r="42" spans="1:3" x14ac:dyDescent="0.2">
      <c r="A42" s="305" t="s">
        <v>173</v>
      </c>
      <c r="B42" s="306"/>
      <c r="C42" s="41">
        <f>ROUND(+B39*B40*B41*B34,2)</f>
        <v>0</v>
      </c>
    </row>
    <row r="43" spans="1:3" x14ac:dyDescent="0.2">
      <c r="A43" s="334" t="s">
        <v>174</v>
      </c>
      <c r="B43" s="335"/>
      <c r="C43" s="42">
        <f>+C42</f>
        <v>0</v>
      </c>
    </row>
    <row r="45" spans="1:3" x14ac:dyDescent="0.2">
      <c r="A45" s="353" t="s">
        <v>175</v>
      </c>
      <c r="B45" s="354"/>
      <c r="C45" s="355"/>
    </row>
    <row r="46" spans="1:3" x14ac:dyDescent="0.2">
      <c r="A46" s="86" t="s">
        <v>163</v>
      </c>
      <c r="B46" s="90">
        <f>+B7</f>
        <v>0</v>
      </c>
      <c r="C46" s="107"/>
    </row>
    <row r="47" spans="1:3" x14ac:dyDescent="0.2">
      <c r="A47" s="86" t="s">
        <v>176</v>
      </c>
      <c r="B47" s="122">
        <v>30</v>
      </c>
      <c r="C47" s="107"/>
    </row>
    <row r="48" spans="1:3" x14ac:dyDescent="0.2">
      <c r="A48" s="86" t="s">
        <v>164</v>
      </c>
      <c r="B48" s="86">
        <v>12</v>
      </c>
      <c r="C48" s="107"/>
    </row>
    <row r="49" spans="1:3" x14ac:dyDescent="0.2">
      <c r="A49" s="86" t="s">
        <v>177</v>
      </c>
      <c r="B49" s="86">
        <v>7</v>
      </c>
      <c r="C49" s="107"/>
    </row>
    <row r="50" spans="1:3" x14ac:dyDescent="0.2">
      <c r="A50" s="101" t="s">
        <v>178</v>
      </c>
      <c r="B50" s="116"/>
      <c r="C50" s="107"/>
    </row>
    <row r="51" spans="1:3" x14ac:dyDescent="0.2">
      <c r="A51" s="334" t="s">
        <v>179</v>
      </c>
      <c r="B51" s="335"/>
      <c r="C51" s="48">
        <f>+ROUND(((B46/B47/B48)*B49)*B50,2)</f>
        <v>0</v>
      </c>
    </row>
    <row r="53" spans="1:3" x14ac:dyDescent="0.2">
      <c r="A53" s="336" t="s">
        <v>180</v>
      </c>
      <c r="B53" s="337"/>
      <c r="C53" s="338"/>
    </row>
    <row r="54" spans="1:3" x14ac:dyDescent="0.2">
      <c r="A54" s="121" t="s">
        <v>181</v>
      </c>
      <c r="B54" s="116">
        <f>+B50</f>
        <v>0</v>
      </c>
      <c r="C54" s="107"/>
    </row>
    <row r="55" spans="1:3" x14ac:dyDescent="0.2">
      <c r="A55" s="86" t="s">
        <v>169</v>
      </c>
      <c r="B55" s="90">
        <f>+'Copeiragem 44h'!$D$23</f>
        <v>0</v>
      </c>
      <c r="C55" s="107"/>
    </row>
    <row r="56" spans="1:3" x14ac:dyDescent="0.2">
      <c r="A56" s="86" t="s">
        <v>53</v>
      </c>
      <c r="B56" s="90">
        <f>+'Copeiragem 44h'!$D$29</f>
        <v>0</v>
      </c>
      <c r="C56" s="107"/>
    </row>
    <row r="57" spans="1:3" x14ac:dyDescent="0.2">
      <c r="A57" s="86" t="s">
        <v>56</v>
      </c>
      <c r="B57" s="90">
        <f>+'Copeiragem 44h'!$D$31</f>
        <v>0</v>
      </c>
      <c r="C57" s="107"/>
    </row>
    <row r="58" spans="1:3" x14ac:dyDescent="0.2">
      <c r="A58" s="86" t="s">
        <v>58</v>
      </c>
      <c r="B58" s="90">
        <f>+'Copeiragem 44h'!$D$32</f>
        <v>0</v>
      </c>
      <c r="C58" s="107"/>
    </row>
    <row r="59" spans="1:3" x14ac:dyDescent="0.2">
      <c r="A59" s="50" t="s">
        <v>170</v>
      </c>
      <c r="B59" s="51">
        <f>SUM(B55:B58)</f>
        <v>0</v>
      </c>
      <c r="C59" s="107"/>
    </row>
    <row r="60" spans="1:3" x14ac:dyDescent="0.2">
      <c r="A60" s="95" t="s">
        <v>171</v>
      </c>
      <c r="B60" s="89">
        <v>0.4</v>
      </c>
      <c r="C60" s="107"/>
    </row>
    <row r="61" spans="1:3" x14ac:dyDescent="0.2">
      <c r="A61" s="95" t="s">
        <v>172</v>
      </c>
      <c r="B61" s="89">
        <f>+'Copeiragem 44h'!$C$44</f>
        <v>0.08</v>
      </c>
      <c r="C61" s="107"/>
    </row>
    <row r="62" spans="1:3" x14ac:dyDescent="0.2">
      <c r="A62" s="305" t="s">
        <v>173</v>
      </c>
      <c r="B62" s="306"/>
      <c r="C62" s="41">
        <f>ROUND(+B59*B60*B61*B54,2)</f>
        <v>0</v>
      </c>
    </row>
    <row r="63" spans="1:3" x14ac:dyDescent="0.2">
      <c r="A63" s="334" t="s">
        <v>182</v>
      </c>
      <c r="B63" s="335"/>
      <c r="C63" s="42">
        <f>+C62</f>
        <v>0</v>
      </c>
    </row>
    <row r="65" spans="1:3" x14ac:dyDescent="0.2">
      <c r="A65" s="336" t="s">
        <v>183</v>
      </c>
      <c r="B65" s="337"/>
      <c r="C65" s="338"/>
    </row>
    <row r="66" spans="1:3" x14ac:dyDescent="0.2">
      <c r="A66" s="343" t="s">
        <v>184</v>
      </c>
      <c r="B66" s="344"/>
      <c r="C66" s="345"/>
    </row>
    <row r="67" spans="1:3" x14ac:dyDescent="0.2">
      <c r="A67" s="346"/>
      <c r="B67" s="347"/>
      <c r="C67" s="348"/>
    </row>
    <row r="68" spans="1:3" x14ac:dyDescent="0.2">
      <c r="A68" s="346"/>
      <c r="B68" s="347"/>
      <c r="C68" s="348"/>
    </row>
    <row r="69" spans="1:3" x14ac:dyDescent="0.2">
      <c r="A69" s="349"/>
      <c r="B69" s="350"/>
      <c r="C69" s="351"/>
    </row>
    <row r="70" spans="1:3" x14ac:dyDescent="0.2">
      <c r="A70" s="123"/>
      <c r="B70" s="123"/>
      <c r="C70" s="123"/>
    </row>
    <row r="71" spans="1:3" x14ac:dyDescent="0.2">
      <c r="A71" s="336" t="s">
        <v>185</v>
      </c>
      <c r="B71" s="337"/>
      <c r="C71" s="338"/>
    </row>
    <row r="72" spans="1:3" x14ac:dyDescent="0.2">
      <c r="A72" s="86" t="s">
        <v>186</v>
      </c>
      <c r="B72" s="90">
        <f>+$B$7</f>
        <v>0</v>
      </c>
      <c r="C72" s="107"/>
    </row>
    <row r="73" spans="1:3" x14ac:dyDescent="0.2">
      <c r="A73" s="86" t="s">
        <v>153</v>
      </c>
      <c r="B73" s="86">
        <v>30</v>
      </c>
      <c r="C73" s="107"/>
    </row>
    <row r="74" spans="1:3" x14ac:dyDescent="0.2">
      <c r="A74" s="86" t="s">
        <v>187</v>
      </c>
      <c r="B74" s="86">
        <v>12</v>
      </c>
      <c r="C74" s="107"/>
    </row>
    <row r="75" spans="1:3" x14ac:dyDescent="0.2">
      <c r="A75" s="101" t="s">
        <v>188</v>
      </c>
      <c r="B75" s="101"/>
      <c r="C75" s="107"/>
    </row>
    <row r="76" spans="1:3" x14ac:dyDescent="0.2">
      <c r="A76" s="334" t="s">
        <v>189</v>
      </c>
      <c r="B76" s="335"/>
      <c r="C76" s="36">
        <f>+ROUND((B72/B73/B74)*B75,2)</f>
        <v>0</v>
      </c>
    </row>
    <row r="78" spans="1:3" x14ac:dyDescent="0.2">
      <c r="A78" s="336" t="s">
        <v>190</v>
      </c>
      <c r="B78" s="337"/>
      <c r="C78" s="338"/>
    </row>
    <row r="79" spans="1:3" x14ac:dyDescent="0.2">
      <c r="A79" s="86" t="s">
        <v>186</v>
      </c>
      <c r="B79" s="90">
        <f>+$B$7</f>
        <v>0</v>
      </c>
      <c r="C79" s="107"/>
    </row>
    <row r="80" spans="1:3" x14ac:dyDescent="0.2">
      <c r="A80" s="86" t="s">
        <v>153</v>
      </c>
      <c r="B80" s="86">
        <v>30</v>
      </c>
      <c r="C80" s="107"/>
    </row>
    <row r="81" spans="1:3" x14ac:dyDescent="0.2">
      <c r="A81" s="86" t="s">
        <v>187</v>
      </c>
      <c r="B81" s="86">
        <v>12</v>
      </c>
      <c r="C81" s="107"/>
    </row>
    <row r="82" spans="1:3" x14ac:dyDescent="0.2">
      <c r="A82" s="95" t="s">
        <v>191</v>
      </c>
      <c r="B82" s="86">
        <v>5</v>
      </c>
      <c r="C82" s="107"/>
    </row>
    <row r="83" spans="1:3" x14ac:dyDescent="0.2">
      <c r="A83" s="101" t="s">
        <v>192</v>
      </c>
      <c r="B83" s="116"/>
      <c r="C83" s="107"/>
    </row>
    <row r="84" spans="1:3" x14ac:dyDescent="0.2">
      <c r="A84" s="101" t="s">
        <v>193</v>
      </c>
      <c r="B84" s="116"/>
      <c r="C84" s="107"/>
    </row>
    <row r="85" spans="1:3" x14ac:dyDescent="0.2">
      <c r="A85" s="334" t="s">
        <v>194</v>
      </c>
      <c r="B85" s="335"/>
      <c r="C85" s="48">
        <f>ROUND(+B79/B80/B81*B82*B83*B84,2)</f>
        <v>0</v>
      </c>
    </row>
    <row r="87" spans="1:3" x14ac:dyDescent="0.2">
      <c r="A87" s="336" t="s">
        <v>195</v>
      </c>
      <c r="B87" s="337"/>
      <c r="C87" s="338"/>
    </row>
    <row r="88" spans="1:3" x14ac:dyDescent="0.2">
      <c r="A88" s="86" t="s">
        <v>186</v>
      </c>
      <c r="B88" s="90">
        <f>+$B$7</f>
        <v>0</v>
      </c>
      <c r="C88" s="107"/>
    </row>
    <row r="89" spans="1:3" x14ac:dyDescent="0.2">
      <c r="A89" s="86" t="s">
        <v>153</v>
      </c>
      <c r="B89" s="86">
        <v>30</v>
      </c>
      <c r="C89" s="107"/>
    </row>
    <row r="90" spans="1:3" x14ac:dyDescent="0.2">
      <c r="A90" s="86" t="s">
        <v>187</v>
      </c>
      <c r="B90" s="86">
        <v>12</v>
      </c>
      <c r="C90" s="107"/>
    </row>
    <row r="91" spans="1:3" x14ac:dyDescent="0.2">
      <c r="A91" s="95" t="s">
        <v>196</v>
      </c>
      <c r="B91" s="86">
        <v>15</v>
      </c>
      <c r="C91" s="107"/>
    </row>
    <row r="92" spans="1:3" x14ac:dyDescent="0.2">
      <c r="A92" s="101" t="s">
        <v>197</v>
      </c>
      <c r="B92" s="116"/>
      <c r="C92" s="107"/>
    </row>
    <row r="93" spans="1:3" x14ac:dyDescent="0.2">
      <c r="A93" s="334" t="s">
        <v>198</v>
      </c>
      <c r="B93" s="335"/>
      <c r="C93" s="48">
        <f>ROUND(+B88/B89/B90*B91*B92,2)</f>
        <v>0</v>
      </c>
    </row>
    <row r="95" spans="1:3" x14ac:dyDescent="0.2">
      <c r="A95" s="336" t="s">
        <v>199</v>
      </c>
      <c r="B95" s="337"/>
      <c r="C95" s="338"/>
    </row>
    <row r="96" spans="1:3" x14ac:dyDescent="0.2">
      <c r="A96" s="86" t="s">
        <v>186</v>
      </c>
      <c r="B96" s="90">
        <f>+$B$7</f>
        <v>0</v>
      </c>
      <c r="C96" s="107"/>
    </row>
    <row r="97" spans="1:3" x14ac:dyDescent="0.2">
      <c r="A97" s="86" t="s">
        <v>153</v>
      </c>
      <c r="B97" s="86">
        <v>30</v>
      </c>
      <c r="C97" s="107"/>
    </row>
    <row r="98" spans="1:3" x14ac:dyDescent="0.2">
      <c r="A98" s="86" t="s">
        <v>187</v>
      </c>
      <c r="B98" s="86">
        <v>12</v>
      </c>
      <c r="C98" s="107"/>
    </row>
    <row r="99" spans="1:3" x14ac:dyDescent="0.2">
      <c r="A99" s="95" t="s">
        <v>196</v>
      </c>
      <c r="B99" s="86">
        <v>5</v>
      </c>
      <c r="C99" s="107"/>
    </row>
    <row r="100" spans="1:3" x14ac:dyDescent="0.2">
      <c r="A100" s="101" t="s">
        <v>200</v>
      </c>
      <c r="B100" s="116"/>
      <c r="C100" s="107"/>
    </row>
    <row r="101" spans="1:3" x14ac:dyDescent="0.2">
      <c r="A101" s="334" t="s">
        <v>201</v>
      </c>
      <c r="B101" s="335"/>
      <c r="C101" s="48">
        <f>ROUND(+B96/B97/B98*B99*B100,2)</f>
        <v>0</v>
      </c>
    </row>
    <row r="103" spans="1:3" x14ac:dyDescent="0.2">
      <c r="A103" s="336" t="s">
        <v>202</v>
      </c>
      <c r="B103" s="337"/>
      <c r="C103" s="338"/>
    </row>
    <row r="104" spans="1:3" x14ac:dyDescent="0.2">
      <c r="A104" s="339" t="s">
        <v>203</v>
      </c>
      <c r="B104" s="340"/>
      <c r="C104" s="341"/>
    </row>
    <row r="105" spans="1:3" x14ac:dyDescent="0.2">
      <c r="A105" s="86" t="s">
        <v>186</v>
      </c>
      <c r="B105" s="90">
        <f>+$B$7</f>
        <v>0</v>
      </c>
      <c r="C105" s="107"/>
    </row>
    <row r="106" spans="1:3" x14ac:dyDescent="0.2">
      <c r="A106" s="86" t="s">
        <v>204</v>
      </c>
      <c r="B106" s="90">
        <f>+B105*(1/3)</f>
        <v>0</v>
      </c>
      <c r="C106" s="107"/>
    </row>
    <row r="107" spans="1:3" x14ac:dyDescent="0.2">
      <c r="A107" s="50" t="s">
        <v>170</v>
      </c>
      <c r="B107" s="51">
        <f>SUM(B105:B106)</f>
        <v>0</v>
      </c>
      <c r="C107" s="107"/>
    </row>
    <row r="108" spans="1:3" x14ac:dyDescent="0.2">
      <c r="A108" s="86" t="s">
        <v>205</v>
      </c>
      <c r="B108" s="86">
        <v>4</v>
      </c>
      <c r="C108" s="107"/>
    </row>
    <row r="109" spans="1:3" x14ac:dyDescent="0.2">
      <c r="A109" s="86" t="s">
        <v>187</v>
      </c>
      <c r="B109" s="86">
        <v>12</v>
      </c>
      <c r="C109" s="107"/>
    </row>
    <row r="110" spans="1:3" x14ac:dyDescent="0.2">
      <c r="A110" s="101" t="s">
        <v>206</v>
      </c>
      <c r="B110" s="116"/>
      <c r="C110" s="107"/>
    </row>
    <row r="111" spans="1:3" x14ac:dyDescent="0.2">
      <c r="A111" s="101" t="s">
        <v>207</v>
      </c>
      <c r="B111" s="116"/>
      <c r="C111" s="107"/>
    </row>
    <row r="112" spans="1:3" x14ac:dyDescent="0.2">
      <c r="A112" s="334" t="s">
        <v>208</v>
      </c>
      <c r="B112" s="335"/>
      <c r="C112" s="48">
        <f>ROUND((((+B107*(B108/B109)/B109)*B110)*B111),2)</f>
        <v>0</v>
      </c>
    </row>
    <row r="113" spans="1:3" x14ac:dyDescent="0.2">
      <c r="A113" s="334" t="s">
        <v>209</v>
      </c>
      <c r="B113" s="342"/>
      <c r="C113" s="335"/>
    </row>
    <row r="114" spans="1:3" x14ac:dyDescent="0.2">
      <c r="A114" s="86" t="s">
        <v>186</v>
      </c>
      <c r="B114" s="90">
        <f>+'Copeiragem 44h'!D23</f>
        <v>0</v>
      </c>
      <c r="C114" s="107"/>
    </row>
    <row r="115" spans="1:3" x14ac:dyDescent="0.2">
      <c r="A115" s="86" t="s">
        <v>53</v>
      </c>
      <c r="B115" s="90">
        <f>+'Copeiragem 44h'!D29</f>
        <v>0</v>
      </c>
      <c r="C115" s="107"/>
    </row>
    <row r="116" spans="1:3" x14ac:dyDescent="0.2">
      <c r="A116" s="50" t="s">
        <v>170</v>
      </c>
      <c r="B116" s="51">
        <f>SUM(B114:B115)</f>
        <v>0</v>
      </c>
      <c r="C116" s="107"/>
    </row>
    <row r="117" spans="1:3" x14ac:dyDescent="0.2">
      <c r="A117" s="86" t="s">
        <v>205</v>
      </c>
      <c r="B117" s="86">
        <v>4</v>
      </c>
      <c r="C117" s="107"/>
    </row>
    <row r="118" spans="1:3" x14ac:dyDescent="0.2">
      <c r="A118" s="86" t="s">
        <v>187</v>
      </c>
      <c r="B118" s="86">
        <v>12</v>
      </c>
      <c r="C118" s="107"/>
    </row>
    <row r="119" spans="1:3" x14ac:dyDescent="0.2">
      <c r="A119" s="101" t="s">
        <v>206</v>
      </c>
      <c r="B119" s="116">
        <f>+B110</f>
        <v>0</v>
      </c>
      <c r="C119" s="107"/>
    </row>
    <row r="120" spans="1:3" x14ac:dyDescent="0.2">
      <c r="A120" s="101" t="s">
        <v>207</v>
      </c>
      <c r="B120" s="116">
        <f>+B111</f>
        <v>0</v>
      </c>
      <c r="C120" s="107"/>
    </row>
    <row r="121" spans="1:3" x14ac:dyDescent="0.2">
      <c r="A121" s="95" t="s">
        <v>210</v>
      </c>
      <c r="B121" s="89">
        <f>+'Copeiragem 44h'!C45</f>
        <v>0.36800000000000005</v>
      </c>
      <c r="C121" s="107"/>
    </row>
    <row r="122" spans="1:3" x14ac:dyDescent="0.2">
      <c r="A122" s="334" t="s">
        <v>211</v>
      </c>
      <c r="B122" s="335"/>
      <c r="C122" s="42">
        <f>ROUND((((B116*(B117/B118)*B119)*B120)*B121),2)</f>
        <v>0</v>
      </c>
    </row>
    <row r="124" spans="1:3" ht="30.75" customHeight="1" x14ac:dyDescent="0.2">
      <c r="A124" s="333" t="s">
        <v>264</v>
      </c>
      <c r="B124" s="333"/>
      <c r="C124" s="333"/>
    </row>
    <row r="125" spans="1:3" x14ac:dyDescent="0.2">
      <c r="C125" s="124"/>
    </row>
    <row r="126" spans="1:3" x14ac:dyDescent="0.2">
      <c r="C126" s="112"/>
    </row>
  </sheetData>
  <mergeCells count="31">
    <mergeCell ref="A113:C113"/>
    <mergeCell ref="A122:B122"/>
    <mergeCell ref="A124:C124"/>
    <mergeCell ref="A93:B93"/>
    <mergeCell ref="A95:C95"/>
    <mergeCell ref="A101:B101"/>
    <mergeCell ref="A103:C103"/>
    <mergeCell ref="A104:C104"/>
    <mergeCell ref="A112:B112"/>
    <mergeCell ref="A87:C87"/>
    <mergeCell ref="A51:B51"/>
    <mergeCell ref="A53:C53"/>
    <mergeCell ref="A62:B62"/>
    <mergeCell ref="A63:B63"/>
    <mergeCell ref="A65:C65"/>
    <mergeCell ref="A66:C69"/>
    <mergeCell ref="A71:C71"/>
    <mergeCell ref="A76:B76"/>
    <mergeCell ref="A78:C78"/>
    <mergeCell ref="A85:B85"/>
    <mergeCell ref="A45:C45"/>
    <mergeCell ref="A1:C1"/>
    <mergeCell ref="A9:C9"/>
    <mergeCell ref="A16:B16"/>
    <mergeCell ref="A18:C18"/>
    <mergeCell ref="A25:B25"/>
    <mergeCell ref="A27:C27"/>
    <mergeCell ref="A31:B31"/>
    <mergeCell ref="A33:C33"/>
    <mergeCell ref="A42:B42"/>
    <mergeCell ref="A43:B43"/>
  </mergeCells>
  <pageMargins left="1.1299999999999999" right="0.11" top="0.37" bottom="0.53" header="0.31496062992125984" footer="0.31496062992125984"/>
  <pageSetup paperSize="9" scale="80" orientation="portrait" r:id="rId1"/>
  <headerFooter>
    <oddFooter>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G166"/>
  <sheetViews>
    <sheetView workbookViewId="0">
      <selection activeCell="D9" sqref="D9"/>
    </sheetView>
  </sheetViews>
  <sheetFormatPr defaultRowHeight="15" x14ac:dyDescent="0.2"/>
  <cols>
    <col min="1" max="1" width="6.42578125" style="71" customWidth="1"/>
    <col min="2" max="2" width="57.7109375" style="71" customWidth="1"/>
    <col min="3" max="3" width="10.7109375" style="71" bestFit="1" customWidth="1"/>
    <col min="4" max="4" width="17.85546875" style="71" customWidth="1"/>
    <col min="5" max="5" width="13.42578125" style="71" bestFit="1" customWidth="1"/>
    <col min="6" max="16384" width="9.140625" style="71"/>
  </cols>
  <sheetData>
    <row r="1" spans="1:6" ht="12.75" x14ac:dyDescent="0.2">
      <c r="A1" s="322" t="s">
        <v>18</v>
      </c>
      <c r="B1" s="323"/>
      <c r="C1" s="323"/>
      <c r="D1" s="324"/>
      <c r="E1" s="17"/>
      <c r="F1" s="17"/>
    </row>
    <row r="3" spans="1:6" ht="12.75" x14ac:dyDescent="0.2">
      <c r="A3" s="299" t="s">
        <v>19</v>
      </c>
      <c r="B3" s="300"/>
      <c r="C3" s="300"/>
      <c r="D3" s="308"/>
    </row>
    <row r="4" spans="1:6" s="74" customFormat="1" ht="54.75" customHeight="1" x14ac:dyDescent="0.25">
      <c r="A4" s="72">
        <v>1</v>
      </c>
      <c r="B4" s="73" t="s">
        <v>20</v>
      </c>
      <c r="C4" s="389" t="s">
        <v>263</v>
      </c>
      <c r="D4" s="390"/>
    </row>
    <row r="5" spans="1:6" s="74" customFormat="1" ht="12.75" x14ac:dyDescent="0.25">
      <c r="A5" s="72">
        <v>2</v>
      </c>
      <c r="B5" s="73" t="s">
        <v>21</v>
      </c>
      <c r="C5" s="391" t="str">
        <f>+Apresentacao!E22</f>
        <v>5134-25</v>
      </c>
      <c r="D5" s="392"/>
    </row>
    <row r="6" spans="1:6" s="74" customFormat="1" ht="12.75" x14ac:dyDescent="0.25">
      <c r="A6" s="72">
        <v>3</v>
      </c>
      <c r="B6" s="73" t="s">
        <v>22</v>
      </c>
      <c r="C6" s="393">
        <f>+Apresentacao!F22</f>
        <v>0</v>
      </c>
      <c r="D6" s="393"/>
    </row>
    <row r="7" spans="1:6" s="74" customFormat="1" ht="42.75" customHeight="1" x14ac:dyDescent="0.25">
      <c r="A7" s="72">
        <v>4</v>
      </c>
      <c r="B7" s="73" t="s">
        <v>23</v>
      </c>
      <c r="C7" s="387" t="s">
        <v>24</v>
      </c>
      <c r="D7" s="388"/>
    </row>
    <row r="8" spans="1:6" s="74" customFormat="1" ht="12.75" x14ac:dyDescent="0.25">
      <c r="A8" s="72">
        <v>5</v>
      </c>
      <c r="B8" s="73" t="s">
        <v>25</v>
      </c>
      <c r="C8" s="394">
        <v>43524</v>
      </c>
      <c r="D8" s="392"/>
    </row>
    <row r="9" spans="1:6" ht="12.75" x14ac:dyDescent="0.2">
      <c r="D9" s="18"/>
    </row>
    <row r="10" spans="1:6" ht="12.75" x14ac:dyDescent="0.2">
      <c r="A10" s="291" t="s">
        <v>26</v>
      </c>
      <c r="B10" s="292"/>
      <c r="C10" s="292"/>
      <c r="D10" s="292"/>
    </row>
    <row r="11" spans="1:6" ht="12.75" x14ac:dyDescent="0.2">
      <c r="A11" s="75">
        <v>1</v>
      </c>
      <c r="B11" s="76" t="s">
        <v>27</v>
      </c>
      <c r="C11" s="19" t="s">
        <v>28</v>
      </c>
      <c r="D11" s="77" t="s">
        <v>29</v>
      </c>
    </row>
    <row r="12" spans="1:6" ht="12.75" x14ac:dyDescent="0.2">
      <c r="A12" s="249" t="s">
        <v>6</v>
      </c>
      <c r="B12" s="289" t="s">
        <v>30</v>
      </c>
      <c r="C12" s="289"/>
      <c r="D12" s="79">
        <f>+C6</f>
        <v>0</v>
      </c>
    </row>
    <row r="13" spans="1:6" ht="12.75" x14ac:dyDescent="0.2">
      <c r="A13" s="249" t="s">
        <v>8</v>
      </c>
      <c r="B13" s="80" t="s">
        <v>31</v>
      </c>
      <c r="C13" s="81"/>
      <c r="D13" s="79"/>
      <c r="E13" s="82"/>
    </row>
    <row r="14" spans="1:6" ht="12.75" x14ac:dyDescent="0.2">
      <c r="A14" s="249" t="s">
        <v>11</v>
      </c>
      <c r="B14" s="80" t="s">
        <v>32</v>
      </c>
      <c r="C14" s="81"/>
      <c r="D14" s="79">
        <f>+C14*D12</f>
        <v>0</v>
      </c>
    </row>
    <row r="15" spans="1:6" ht="12.75" x14ac:dyDescent="0.2">
      <c r="A15" s="249" t="s">
        <v>13</v>
      </c>
      <c r="B15" s="289" t="s">
        <v>33</v>
      </c>
      <c r="C15" s="289"/>
      <c r="D15" s="79"/>
    </row>
    <row r="16" spans="1:6" ht="12.75" x14ac:dyDescent="0.2">
      <c r="A16" s="249" t="s">
        <v>34</v>
      </c>
      <c r="B16" s="289" t="s">
        <v>35</v>
      </c>
      <c r="C16" s="289"/>
      <c r="D16" s="79"/>
    </row>
    <row r="17" spans="1:6" ht="12.75" x14ac:dyDescent="0.2">
      <c r="A17" s="249" t="s">
        <v>36</v>
      </c>
      <c r="B17" s="318" t="s">
        <v>37</v>
      </c>
      <c r="C17" s="319"/>
      <c r="D17" s="79"/>
    </row>
    <row r="18" spans="1:6" ht="12.75" x14ac:dyDescent="0.2">
      <c r="A18" s="249" t="s">
        <v>38</v>
      </c>
      <c r="B18" s="289" t="s">
        <v>39</v>
      </c>
      <c r="C18" s="289"/>
      <c r="D18" s="79"/>
    </row>
    <row r="19" spans="1:6" ht="12.75" x14ac:dyDescent="0.2">
      <c r="A19" s="249" t="s">
        <v>40</v>
      </c>
      <c r="B19" s="318" t="s">
        <v>41</v>
      </c>
      <c r="C19" s="319"/>
      <c r="D19" s="83"/>
    </row>
    <row r="20" spans="1:6" ht="12.75" x14ac:dyDescent="0.2">
      <c r="A20" s="249" t="s">
        <v>42</v>
      </c>
      <c r="B20" s="80" t="s">
        <v>43</v>
      </c>
      <c r="C20" s="81"/>
      <c r="D20" s="79"/>
    </row>
    <row r="21" spans="1:6" ht="12.75" x14ac:dyDescent="0.2">
      <c r="A21" s="249" t="s">
        <v>44</v>
      </c>
      <c r="B21" s="289" t="s">
        <v>45</v>
      </c>
      <c r="C21" s="289"/>
      <c r="D21" s="84"/>
      <c r="F21" s="85"/>
    </row>
    <row r="22" spans="1:6" ht="12.75" x14ac:dyDescent="0.2">
      <c r="A22" s="249" t="s">
        <v>46</v>
      </c>
      <c r="B22" s="289" t="s">
        <v>47</v>
      </c>
      <c r="C22" s="289"/>
      <c r="D22" s="84"/>
    </row>
    <row r="23" spans="1:6" ht="12.75" x14ac:dyDescent="0.2">
      <c r="A23" s="290" t="s">
        <v>48</v>
      </c>
      <c r="B23" s="290"/>
      <c r="C23" s="290"/>
      <c r="D23" s="20">
        <f>SUM(D12:D22)</f>
        <v>0</v>
      </c>
    </row>
    <row r="25" spans="1:6" ht="12.75" x14ac:dyDescent="0.2">
      <c r="A25" s="291" t="s">
        <v>49</v>
      </c>
      <c r="B25" s="292"/>
      <c r="C25" s="292"/>
      <c r="D25" s="292"/>
    </row>
    <row r="27" spans="1:6" ht="12.75" x14ac:dyDescent="0.2">
      <c r="A27" s="291" t="s">
        <v>50</v>
      </c>
      <c r="B27" s="292"/>
      <c r="C27" s="292"/>
      <c r="D27" s="292"/>
    </row>
    <row r="28" spans="1:6" ht="12.75" x14ac:dyDescent="0.2">
      <c r="A28" s="21" t="s">
        <v>51</v>
      </c>
      <c r="B28" s="22" t="s">
        <v>52</v>
      </c>
      <c r="C28" s="23" t="s">
        <v>28</v>
      </c>
      <c r="D28" s="24" t="s">
        <v>29</v>
      </c>
    </row>
    <row r="29" spans="1:6" ht="12.75" x14ac:dyDescent="0.2">
      <c r="A29" s="249" t="s">
        <v>6</v>
      </c>
      <c r="B29" s="86" t="s">
        <v>53</v>
      </c>
      <c r="C29" s="87" t="e">
        <f>ROUND(+D29/$D$23,4)</f>
        <v>#DIV/0!</v>
      </c>
      <c r="D29" s="84">
        <f>ROUND(+D23/12,2)</f>
        <v>0</v>
      </c>
    </row>
    <row r="30" spans="1:6" ht="12.75" x14ac:dyDescent="0.2">
      <c r="A30" s="25" t="s">
        <v>8</v>
      </c>
      <c r="B30" s="88" t="s">
        <v>54</v>
      </c>
      <c r="C30" s="26" t="e">
        <f>ROUND(+D30/$D$23,4)</f>
        <v>#DIV/0!</v>
      </c>
      <c r="D30" s="27">
        <f>+D31+D32</f>
        <v>0</v>
      </c>
    </row>
    <row r="31" spans="1:6" ht="12.75" x14ac:dyDescent="0.2">
      <c r="A31" s="249" t="s">
        <v>55</v>
      </c>
      <c r="B31" s="28" t="s">
        <v>56</v>
      </c>
      <c r="C31" s="29" t="e">
        <f>ROUND(+D31/$D$23,4)</f>
        <v>#DIV/0!</v>
      </c>
      <c r="D31" s="30">
        <f>ROUND(+D23/12,2)</f>
        <v>0</v>
      </c>
    </row>
    <row r="32" spans="1:6" ht="12.75" x14ac:dyDescent="0.2">
      <c r="A32" s="249" t="s">
        <v>57</v>
      </c>
      <c r="B32" s="28" t="s">
        <v>58</v>
      </c>
      <c r="C32" s="29" t="e">
        <f>ROUND(+D32/$D$23,4)</f>
        <v>#DIV/0!</v>
      </c>
      <c r="D32" s="30">
        <f>ROUND(+(D23*1/3)/12,2)</f>
        <v>0</v>
      </c>
    </row>
    <row r="33" spans="1:4" ht="12.75" x14ac:dyDescent="0.2">
      <c r="A33" s="290" t="s">
        <v>48</v>
      </c>
      <c r="B33" s="290"/>
      <c r="C33" s="290"/>
      <c r="D33" s="20">
        <f>+D30+D29</f>
        <v>0</v>
      </c>
    </row>
    <row r="35" spans="1:4" ht="26.25" customHeight="1" x14ac:dyDescent="0.2">
      <c r="A35" s="320" t="s">
        <v>59</v>
      </c>
      <c r="B35" s="321"/>
      <c r="C35" s="321"/>
      <c r="D35" s="321"/>
    </row>
    <row r="36" spans="1:4" ht="12.75" x14ac:dyDescent="0.2">
      <c r="A36" s="21" t="s">
        <v>60</v>
      </c>
      <c r="B36" s="31" t="s">
        <v>61</v>
      </c>
      <c r="C36" s="23" t="s">
        <v>28</v>
      </c>
      <c r="D36" s="24" t="s">
        <v>29</v>
      </c>
    </row>
    <row r="37" spans="1:4" ht="12.75" x14ac:dyDescent="0.2">
      <c r="A37" s="249" t="s">
        <v>6</v>
      </c>
      <c r="B37" s="86" t="s">
        <v>62</v>
      </c>
      <c r="C37" s="89">
        <v>0.2</v>
      </c>
      <c r="D37" s="90">
        <f>ROUND(C37*($D$23+$D$33),2)</f>
        <v>0</v>
      </c>
    </row>
    <row r="38" spans="1:4" ht="12.75" x14ac:dyDescent="0.2">
      <c r="A38" s="249" t="s">
        <v>8</v>
      </c>
      <c r="B38" s="86" t="s">
        <v>63</v>
      </c>
      <c r="C38" s="89">
        <v>2.5000000000000001E-2</v>
      </c>
      <c r="D38" s="90">
        <f>ROUND(C38*($D$23+$D$33),2)</f>
        <v>0</v>
      </c>
    </row>
    <row r="39" spans="1:4" ht="12.75" x14ac:dyDescent="0.2">
      <c r="A39" s="249" t="s">
        <v>11</v>
      </c>
      <c r="B39" s="86" t="s">
        <v>64</v>
      </c>
      <c r="C39" s="89">
        <f>3%</f>
        <v>0.03</v>
      </c>
      <c r="D39" s="90">
        <f t="shared" ref="D39:D43" si="0">ROUND(C39*($D$23+$D$33),2)</f>
        <v>0</v>
      </c>
    </row>
    <row r="40" spans="1:4" ht="12.75" x14ac:dyDescent="0.2">
      <c r="A40" s="249" t="s">
        <v>13</v>
      </c>
      <c r="B40" s="86" t="s">
        <v>65</v>
      </c>
      <c r="C40" s="89">
        <v>1.4999999999999999E-2</v>
      </c>
      <c r="D40" s="90">
        <f t="shared" si="0"/>
        <v>0</v>
      </c>
    </row>
    <row r="41" spans="1:4" ht="12.75" x14ac:dyDescent="0.2">
      <c r="A41" s="249" t="s">
        <v>34</v>
      </c>
      <c r="B41" s="86" t="s">
        <v>66</v>
      </c>
      <c r="C41" s="89">
        <v>0.01</v>
      </c>
      <c r="D41" s="90">
        <f t="shared" si="0"/>
        <v>0</v>
      </c>
    </row>
    <row r="42" spans="1:4" ht="12.75" x14ac:dyDescent="0.2">
      <c r="A42" s="249" t="s">
        <v>36</v>
      </c>
      <c r="B42" s="86" t="s">
        <v>67</v>
      </c>
      <c r="C42" s="89">
        <v>6.0000000000000001E-3</v>
      </c>
      <c r="D42" s="90">
        <f t="shared" si="0"/>
        <v>0</v>
      </c>
    </row>
    <row r="43" spans="1:4" ht="12.75" x14ac:dyDescent="0.2">
      <c r="A43" s="249" t="s">
        <v>38</v>
      </c>
      <c r="B43" s="86" t="s">
        <v>68</v>
      </c>
      <c r="C43" s="89">
        <v>2E-3</v>
      </c>
      <c r="D43" s="90">
        <f t="shared" si="0"/>
        <v>0</v>
      </c>
    </row>
    <row r="44" spans="1:4" ht="12.75" x14ac:dyDescent="0.2">
      <c r="A44" s="249" t="s">
        <v>40</v>
      </c>
      <c r="B44" s="86" t="s">
        <v>69</v>
      </c>
      <c r="C44" s="89">
        <v>0.08</v>
      </c>
      <c r="D44" s="90">
        <f>ROUND(C44*($D$23+$D$33),2)</f>
        <v>0</v>
      </c>
    </row>
    <row r="45" spans="1:4" ht="12.75" x14ac:dyDescent="0.2">
      <c r="A45" s="247" t="s">
        <v>48</v>
      </c>
      <c r="B45" s="248"/>
      <c r="C45" s="32">
        <f>SUM(C37:C44)</f>
        <v>0.36800000000000005</v>
      </c>
      <c r="D45" s="33">
        <f>SUM(D37:D44)</f>
        <v>0</v>
      </c>
    </row>
    <row r="46" spans="1:4" ht="12.75" x14ac:dyDescent="0.2">
      <c r="A46" s="91"/>
      <c r="B46" s="91"/>
      <c r="C46" s="91"/>
      <c r="D46" s="91"/>
    </row>
    <row r="47" spans="1:4" ht="12.75" x14ac:dyDescent="0.2">
      <c r="A47" s="320" t="s">
        <v>70</v>
      </c>
      <c r="B47" s="321"/>
      <c r="C47" s="321"/>
      <c r="D47" s="321"/>
    </row>
    <row r="48" spans="1:4" ht="12.75" x14ac:dyDescent="0.2">
      <c r="A48" s="21" t="s">
        <v>71</v>
      </c>
      <c r="B48" s="31" t="s">
        <v>72</v>
      </c>
      <c r="C48" s="23"/>
      <c r="D48" s="24" t="s">
        <v>29</v>
      </c>
    </row>
    <row r="49" spans="1:6" ht="12.75" x14ac:dyDescent="0.2">
      <c r="A49" s="92" t="s">
        <v>6</v>
      </c>
      <c r="B49" s="86" t="s">
        <v>73</v>
      </c>
      <c r="C49" s="93"/>
      <c r="D49" s="90">
        <f>+'Men Cal Copeiro 44 Sab'!C16</f>
        <v>0</v>
      </c>
    </row>
    <row r="50" spans="1:6" s="97" customFormat="1" ht="12.75" x14ac:dyDescent="0.2">
      <c r="A50" s="94" t="s">
        <v>74</v>
      </c>
      <c r="B50" s="95" t="s">
        <v>75</v>
      </c>
      <c r="C50" s="87">
        <f>+$C$131+$C$132</f>
        <v>9.2499999999999999E-2</v>
      </c>
      <c r="D50" s="96">
        <f>+(C50*D49)*-1</f>
        <v>0</v>
      </c>
      <c r="F50" s="98"/>
    </row>
    <row r="51" spans="1:6" ht="12.75" x14ac:dyDescent="0.2">
      <c r="A51" s="92" t="s">
        <v>8</v>
      </c>
      <c r="B51" s="86" t="s">
        <v>76</v>
      </c>
      <c r="C51" s="93"/>
      <c r="D51" s="90">
        <f>+'Men Cal Copeiro 44 Sab'!C25</f>
        <v>0</v>
      </c>
      <c r="F51" s="99"/>
    </row>
    <row r="52" spans="1:6" s="97" customFormat="1" ht="12.75" x14ac:dyDescent="0.2">
      <c r="A52" s="94" t="s">
        <v>55</v>
      </c>
      <c r="B52" s="95" t="s">
        <v>75</v>
      </c>
      <c r="C52" s="87">
        <f>+$C$131+$C$132</f>
        <v>9.2499999999999999E-2</v>
      </c>
      <c r="D52" s="96">
        <f>+(C52*D51)*-1</f>
        <v>0</v>
      </c>
      <c r="F52" s="100"/>
    </row>
    <row r="53" spans="1:6" ht="12.75" x14ac:dyDescent="0.2">
      <c r="A53" s="101" t="s">
        <v>11</v>
      </c>
      <c r="B53" s="101" t="s">
        <v>77</v>
      </c>
      <c r="C53" s="93"/>
      <c r="D53" s="134"/>
      <c r="F53" s="99"/>
    </row>
    <row r="54" spans="1:6" ht="12.75" x14ac:dyDescent="0.2">
      <c r="A54" s="101" t="s">
        <v>13</v>
      </c>
      <c r="B54" s="101" t="s">
        <v>234</v>
      </c>
      <c r="C54" s="93"/>
      <c r="D54" s="134"/>
      <c r="F54" s="99"/>
    </row>
    <row r="55" spans="1:6" ht="25.5" x14ac:dyDescent="0.2">
      <c r="A55" s="101" t="s">
        <v>34</v>
      </c>
      <c r="B55" s="103" t="s">
        <v>235</v>
      </c>
      <c r="C55" s="93"/>
      <c r="D55" s="135"/>
      <c r="F55" s="104"/>
    </row>
    <row r="56" spans="1:6" ht="12.75" x14ac:dyDescent="0.2">
      <c r="A56" s="101" t="s">
        <v>36</v>
      </c>
      <c r="B56" s="133" t="s">
        <v>80</v>
      </c>
      <c r="C56" s="93"/>
      <c r="D56" s="102"/>
    </row>
    <row r="57" spans="1:6" ht="12.75" x14ac:dyDescent="0.2">
      <c r="A57" s="299" t="s">
        <v>48</v>
      </c>
      <c r="B57" s="308"/>
      <c r="C57" s="34"/>
      <c r="D57" s="35">
        <f>SUM(D49:D56)</f>
        <v>0</v>
      </c>
    </row>
    <row r="59" spans="1:6" ht="12.75" x14ac:dyDescent="0.2">
      <c r="A59" s="291" t="s">
        <v>81</v>
      </c>
      <c r="B59" s="292"/>
      <c r="C59" s="292"/>
      <c r="D59" s="292"/>
    </row>
    <row r="60" spans="1:6" ht="12.75" x14ac:dyDescent="0.2">
      <c r="A60" s="36">
        <v>2</v>
      </c>
      <c r="B60" s="315" t="s">
        <v>82</v>
      </c>
      <c r="C60" s="315"/>
      <c r="D60" s="37" t="s">
        <v>29</v>
      </c>
    </row>
    <row r="61" spans="1:6" ht="12.75" x14ac:dyDescent="0.2">
      <c r="A61" s="95" t="s">
        <v>51</v>
      </c>
      <c r="B61" s="316" t="s">
        <v>52</v>
      </c>
      <c r="C61" s="316"/>
      <c r="D61" s="90">
        <f>+D33</f>
        <v>0</v>
      </c>
    </row>
    <row r="62" spans="1:6" ht="12.75" x14ac:dyDescent="0.2">
      <c r="A62" s="95" t="s">
        <v>60</v>
      </c>
      <c r="B62" s="316" t="s">
        <v>61</v>
      </c>
      <c r="C62" s="316"/>
      <c r="D62" s="90">
        <f>+D45</f>
        <v>0</v>
      </c>
    </row>
    <row r="63" spans="1:6" ht="12.75" x14ac:dyDescent="0.2">
      <c r="A63" s="95" t="s">
        <v>71</v>
      </c>
      <c r="B63" s="316" t="s">
        <v>72</v>
      </c>
      <c r="C63" s="316"/>
      <c r="D63" s="105">
        <f>+D57</f>
        <v>0</v>
      </c>
    </row>
    <row r="64" spans="1:6" ht="12.75" x14ac:dyDescent="0.2">
      <c r="A64" s="315" t="s">
        <v>48</v>
      </c>
      <c r="B64" s="315"/>
      <c r="C64" s="315"/>
      <c r="D64" s="38">
        <f>SUM(D61:D63)</f>
        <v>0</v>
      </c>
    </row>
    <row r="66" spans="1:4" ht="12.75" x14ac:dyDescent="0.2">
      <c r="A66" s="291" t="s">
        <v>83</v>
      </c>
      <c r="B66" s="292"/>
      <c r="C66" s="292"/>
      <c r="D66" s="292"/>
    </row>
    <row r="68" spans="1:4" ht="12.75" x14ac:dyDescent="0.2">
      <c r="A68" s="39">
        <v>3</v>
      </c>
      <c r="B68" s="22" t="s">
        <v>84</v>
      </c>
      <c r="C68" s="19" t="s">
        <v>28</v>
      </c>
      <c r="D68" s="19" t="s">
        <v>29</v>
      </c>
    </row>
    <row r="69" spans="1:4" ht="12.75" x14ac:dyDescent="0.2">
      <c r="A69" s="249" t="s">
        <v>6</v>
      </c>
      <c r="B69" s="95" t="s">
        <v>85</v>
      </c>
      <c r="C69" s="87" t="e">
        <f>+D69/$D$23</f>
        <v>#DIV/0!</v>
      </c>
      <c r="D69" s="106">
        <f>+'Men Cal Copeiro 44 Sab'!C31</f>
        <v>0</v>
      </c>
    </row>
    <row r="70" spans="1:4" ht="12.75" x14ac:dyDescent="0.2">
      <c r="A70" s="249" t="s">
        <v>8</v>
      </c>
      <c r="B70" s="86" t="s">
        <v>86</v>
      </c>
      <c r="C70" s="107"/>
      <c r="D70" s="84">
        <f>ROUND(+D69*$C$44,2)</f>
        <v>0</v>
      </c>
    </row>
    <row r="71" spans="1:4" ht="25.5" x14ac:dyDescent="0.2">
      <c r="A71" s="249" t="s">
        <v>11</v>
      </c>
      <c r="B71" s="108" t="s">
        <v>87</v>
      </c>
      <c r="C71" s="89" t="e">
        <f>+D71/$D$23</f>
        <v>#DIV/0!</v>
      </c>
      <c r="D71" s="84">
        <f>+'Men Cal Copeiro 44 Sab'!C43</f>
        <v>0</v>
      </c>
    </row>
    <row r="72" spans="1:4" ht="12.75" x14ac:dyDescent="0.2">
      <c r="A72" s="250" t="s">
        <v>13</v>
      </c>
      <c r="B72" s="86" t="s">
        <v>88</v>
      </c>
      <c r="C72" s="89" t="e">
        <f>+D72/$D$23</f>
        <v>#DIV/0!</v>
      </c>
      <c r="D72" s="84">
        <f>+'Men Cal Copeiro 44 Sab'!C51</f>
        <v>0</v>
      </c>
    </row>
    <row r="73" spans="1:4" ht="25.5" x14ac:dyDescent="0.2">
      <c r="A73" s="250" t="s">
        <v>34</v>
      </c>
      <c r="B73" s="108" t="s">
        <v>89</v>
      </c>
      <c r="C73" s="107"/>
      <c r="D73" s="110"/>
    </row>
    <row r="74" spans="1:4" ht="25.5" x14ac:dyDescent="0.2">
      <c r="A74" s="250" t="s">
        <v>36</v>
      </c>
      <c r="B74" s="108" t="s">
        <v>90</v>
      </c>
      <c r="C74" s="89" t="e">
        <f>+D74/$D$23</f>
        <v>#DIV/0!</v>
      </c>
      <c r="D74" s="90">
        <f>+'Men Cal Copeiro 44 Sab'!C63</f>
        <v>0</v>
      </c>
    </row>
    <row r="75" spans="1:4" ht="12.75" x14ac:dyDescent="0.2">
      <c r="A75" s="299" t="s">
        <v>48</v>
      </c>
      <c r="B75" s="300"/>
      <c r="C75" s="308"/>
      <c r="D75" s="40">
        <f>SUM(D69:D74)</f>
        <v>0</v>
      </c>
    </row>
    <row r="77" spans="1:4" ht="12.75" x14ac:dyDescent="0.2">
      <c r="A77" s="291" t="s">
        <v>91</v>
      </c>
      <c r="B77" s="292"/>
      <c r="C77" s="292"/>
      <c r="D77" s="292"/>
    </row>
    <row r="79" spans="1:4" ht="12.75" x14ac:dyDescent="0.2">
      <c r="A79" s="317" t="s">
        <v>92</v>
      </c>
      <c r="B79" s="317"/>
      <c r="C79" s="317"/>
      <c r="D79" s="317"/>
    </row>
    <row r="80" spans="1:4" ht="12.75" x14ac:dyDescent="0.2">
      <c r="A80" s="39" t="s">
        <v>93</v>
      </c>
      <c r="B80" s="299" t="s">
        <v>94</v>
      </c>
      <c r="C80" s="308"/>
      <c r="D80" s="19" t="s">
        <v>29</v>
      </c>
    </row>
    <row r="81" spans="1:4" ht="12.75" x14ac:dyDescent="0.2">
      <c r="A81" s="86" t="s">
        <v>6</v>
      </c>
      <c r="B81" s="303" t="s">
        <v>95</v>
      </c>
      <c r="C81" s="304"/>
      <c r="D81" s="84"/>
    </row>
    <row r="82" spans="1:4" ht="12.75" x14ac:dyDescent="0.2">
      <c r="A82" s="95" t="s">
        <v>8</v>
      </c>
      <c r="B82" s="309" t="s">
        <v>94</v>
      </c>
      <c r="C82" s="310"/>
      <c r="D82" s="111">
        <f>+'Men Cal Copeiro 44 Sab'!C76</f>
        <v>0</v>
      </c>
    </row>
    <row r="83" spans="1:4" s="97" customFormat="1" ht="12.75" x14ac:dyDescent="0.2">
      <c r="A83" s="95" t="s">
        <v>11</v>
      </c>
      <c r="B83" s="309" t="s">
        <v>96</v>
      </c>
      <c r="C83" s="310"/>
      <c r="D83" s="111">
        <f>+'Men Cal Copeiro 44 Sab'!C85</f>
        <v>0</v>
      </c>
    </row>
    <row r="84" spans="1:4" s="97" customFormat="1" ht="12.75" x14ac:dyDescent="0.2">
      <c r="A84" s="95" t="s">
        <v>13</v>
      </c>
      <c r="B84" s="309" t="s">
        <v>97</v>
      </c>
      <c r="C84" s="310"/>
      <c r="D84" s="111">
        <f>+'Men Cal Copeiro 44 Sab'!C93</f>
        <v>0</v>
      </c>
    </row>
    <row r="85" spans="1:4" s="97" customFormat="1" ht="14.25" x14ac:dyDescent="0.2">
      <c r="A85" s="95" t="s">
        <v>34</v>
      </c>
      <c r="B85" s="309" t="s">
        <v>233</v>
      </c>
      <c r="C85" s="310"/>
      <c r="D85" s="111"/>
    </row>
    <row r="86" spans="1:4" s="97" customFormat="1" ht="12.75" x14ac:dyDescent="0.2">
      <c r="A86" s="95" t="s">
        <v>36</v>
      </c>
      <c r="B86" s="309" t="s">
        <v>98</v>
      </c>
      <c r="C86" s="310"/>
      <c r="D86" s="111">
        <f>+'Men Cal Copeiro 44 Sab'!C101</f>
        <v>0</v>
      </c>
    </row>
    <row r="87" spans="1:4" ht="12.75" x14ac:dyDescent="0.2">
      <c r="A87" s="86" t="s">
        <v>38</v>
      </c>
      <c r="B87" s="303" t="s">
        <v>47</v>
      </c>
      <c r="C87" s="304"/>
      <c r="D87" s="84"/>
    </row>
    <row r="88" spans="1:4" ht="12.75" x14ac:dyDescent="0.2">
      <c r="A88" s="86" t="s">
        <v>40</v>
      </c>
      <c r="B88" s="303" t="s">
        <v>99</v>
      </c>
      <c r="C88" s="304"/>
      <c r="D88" s="110"/>
    </row>
    <row r="89" spans="1:4" ht="12.75" x14ac:dyDescent="0.2">
      <c r="A89" s="290" t="s">
        <v>48</v>
      </c>
      <c r="B89" s="290"/>
      <c r="C89" s="290"/>
      <c r="D89" s="20">
        <f>SUM(D81:D88)</f>
        <v>0</v>
      </c>
    </row>
    <row r="90" spans="1:4" ht="12.75" x14ac:dyDescent="0.2">
      <c r="D90" s="112"/>
    </row>
    <row r="91" spans="1:4" ht="12.75" x14ac:dyDescent="0.2">
      <c r="A91" s="39" t="s">
        <v>100</v>
      </c>
      <c r="B91" s="299" t="s">
        <v>101</v>
      </c>
      <c r="C91" s="308"/>
      <c r="D91" s="19" t="s">
        <v>29</v>
      </c>
    </row>
    <row r="92" spans="1:4" s="97" customFormat="1" ht="12.75" x14ac:dyDescent="0.2">
      <c r="A92" s="95" t="s">
        <v>6</v>
      </c>
      <c r="B92" s="311" t="s">
        <v>102</v>
      </c>
      <c r="C92" s="312"/>
      <c r="D92" s="111">
        <f>+'Men Cal Copeiro 44 Sab'!C112</f>
        <v>0</v>
      </c>
    </row>
    <row r="93" spans="1:4" s="97" customFormat="1" ht="28.5" customHeight="1" x14ac:dyDescent="0.2">
      <c r="A93" s="95" t="s">
        <v>8</v>
      </c>
      <c r="B93" s="313" t="s">
        <v>103</v>
      </c>
      <c r="C93" s="314"/>
      <c r="D93" s="110"/>
    </row>
    <row r="94" spans="1:4" s="97" customFormat="1" ht="31.5" customHeight="1" x14ac:dyDescent="0.2">
      <c r="A94" s="95" t="s">
        <v>11</v>
      </c>
      <c r="B94" s="313" t="s">
        <v>104</v>
      </c>
      <c r="C94" s="314"/>
      <c r="D94" s="110"/>
    </row>
    <row r="95" spans="1:4" ht="12.75" x14ac:dyDescent="0.2">
      <c r="A95" s="86" t="s">
        <v>13</v>
      </c>
      <c r="B95" s="303" t="s">
        <v>47</v>
      </c>
      <c r="C95" s="304"/>
      <c r="D95" s="84"/>
    </row>
    <row r="96" spans="1:4" ht="12.75" x14ac:dyDescent="0.2">
      <c r="A96" s="290" t="s">
        <v>48</v>
      </c>
      <c r="B96" s="290"/>
      <c r="C96" s="290"/>
      <c r="D96" s="20">
        <f>SUM(D92:D95)</f>
        <v>0</v>
      </c>
    </row>
    <row r="97" spans="1:4" ht="12.75" x14ac:dyDescent="0.2">
      <c r="D97" s="112"/>
    </row>
    <row r="98" spans="1:4" ht="12.75" x14ac:dyDescent="0.2">
      <c r="A98" s="39" t="s">
        <v>105</v>
      </c>
      <c r="B98" s="290" t="s">
        <v>106</v>
      </c>
      <c r="C98" s="290"/>
      <c r="D98" s="19" t="s">
        <v>29</v>
      </c>
    </row>
    <row r="99" spans="1:4" s="114" customFormat="1" ht="12.75" x14ac:dyDescent="0.25">
      <c r="A99" s="250" t="s">
        <v>6</v>
      </c>
      <c r="B99" s="302" t="s">
        <v>107</v>
      </c>
      <c r="C99" s="302"/>
      <c r="D99" s="113"/>
    </row>
    <row r="100" spans="1:4" ht="12.75" x14ac:dyDescent="0.2">
      <c r="A100" s="290" t="s">
        <v>48</v>
      </c>
      <c r="B100" s="290"/>
      <c r="C100" s="290"/>
      <c r="D100" s="20">
        <f>SUM(D99:D99)</f>
        <v>0</v>
      </c>
    </row>
    <row r="102" spans="1:4" ht="12.75" x14ac:dyDescent="0.2">
      <c r="A102" s="251" t="s">
        <v>108</v>
      </c>
      <c r="B102" s="251"/>
      <c r="C102" s="251"/>
      <c r="D102" s="251"/>
    </row>
    <row r="103" spans="1:4" ht="12.75" x14ac:dyDescent="0.2">
      <c r="A103" s="86" t="s">
        <v>93</v>
      </c>
      <c r="B103" s="303" t="s">
        <v>94</v>
      </c>
      <c r="C103" s="304"/>
      <c r="D103" s="90">
        <f>+D89</f>
        <v>0</v>
      </c>
    </row>
    <row r="104" spans="1:4" ht="12.75" x14ac:dyDescent="0.2">
      <c r="A104" s="86" t="s">
        <v>100</v>
      </c>
      <c r="B104" s="303" t="s">
        <v>101</v>
      </c>
      <c r="C104" s="304"/>
      <c r="D104" s="90">
        <f>+D96</f>
        <v>0</v>
      </c>
    </row>
    <row r="105" spans="1:4" ht="12.75" x14ac:dyDescent="0.2">
      <c r="A105" s="115"/>
      <c r="B105" s="305" t="s">
        <v>109</v>
      </c>
      <c r="C105" s="306"/>
      <c r="D105" s="41">
        <f>+D104+D103</f>
        <v>0</v>
      </c>
    </row>
    <row r="106" spans="1:4" ht="12.75" x14ac:dyDescent="0.2">
      <c r="A106" s="86" t="s">
        <v>105</v>
      </c>
      <c r="B106" s="303" t="s">
        <v>106</v>
      </c>
      <c r="C106" s="304"/>
      <c r="D106" s="90">
        <f>+D100</f>
        <v>0</v>
      </c>
    </row>
    <row r="107" spans="1:4" ht="12.75" x14ac:dyDescent="0.2">
      <c r="A107" s="307" t="s">
        <v>48</v>
      </c>
      <c r="B107" s="307"/>
      <c r="C107" s="307"/>
      <c r="D107" s="42">
        <f>+D106+D105</f>
        <v>0</v>
      </c>
    </row>
    <row r="109" spans="1:4" ht="12.75" x14ac:dyDescent="0.2">
      <c r="A109" s="291" t="s">
        <v>110</v>
      </c>
      <c r="B109" s="292"/>
      <c r="C109" s="292"/>
      <c r="D109" s="292"/>
    </row>
    <row r="111" spans="1:4" ht="12.75" x14ac:dyDescent="0.2">
      <c r="A111" s="39">
        <v>5</v>
      </c>
      <c r="B111" s="299" t="s">
        <v>111</v>
      </c>
      <c r="C111" s="308"/>
      <c r="D111" s="19" t="s">
        <v>29</v>
      </c>
    </row>
    <row r="112" spans="1:4" ht="12.75" x14ac:dyDescent="0.2">
      <c r="A112" s="86" t="s">
        <v>6</v>
      </c>
      <c r="B112" s="289" t="s">
        <v>112</v>
      </c>
      <c r="C112" s="289"/>
      <c r="D112" s="84">
        <f>+Uniforme!E12</f>
        <v>0</v>
      </c>
    </row>
    <row r="113" spans="1:4" ht="12.75" x14ac:dyDescent="0.2">
      <c r="A113" s="86" t="s">
        <v>74</v>
      </c>
      <c r="B113" s="95" t="s">
        <v>75</v>
      </c>
      <c r="C113" s="87">
        <f>+$C$131+$C$132</f>
        <v>9.2499999999999999E-2</v>
      </c>
      <c r="D113" s="96">
        <f>+(C113*D112)*-1</f>
        <v>0</v>
      </c>
    </row>
    <row r="114" spans="1:4" ht="12.75" x14ac:dyDescent="0.2">
      <c r="A114" s="86" t="s">
        <v>8</v>
      </c>
      <c r="B114" s="289" t="s">
        <v>113</v>
      </c>
      <c r="C114" s="289"/>
      <c r="D114" s="84"/>
    </row>
    <row r="115" spans="1:4" ht="12.75" x14ac:dyDescent="0.2">
      <c r="A115" s="86" t="s">
        <v>55</v>
      </c>
      <c r="B115" s="95" t="s">
        <v>75</v>
      </c>
      <c r="C115" s="87">
        <f>+$C$131+$C$132</f>
        <v>9.2499999999999999E-2</v>
      </c>
      <c r="D115" s="96">
        <f>+(C115*D114)*-1</f>
        <v>0</v>
      </c>
    </row>
    <row r="116" spans="1:4" ht="12.75" x14ac:dyDescent="0.2">
      <c r="A116" s="86" t="s">
        <v>11</v>
      </c>
      <c r="B116" s="289" t="s">
        <v>114</v>
      </c>
      <c r="C116" s="289"/>
      <c r="D116" s="84"/>
    </row>
    <row r="117" spans="1:4" ht="12.75" x14ac:dyDescent="0.2">
      <c r="A117" s="86" t="s">
        <v>78</v>
      </c>
      <c r="B117" s="95" t="s">
        <v>75</v>
      </c>
      <c r="C117" s="87">
        <f>+$C$131+$C$132</f>
        <v>9.2499999999999999E-2</v>
      </c>
      <c r="D117" s="96">
        <f>+(C117*D116)*-1</f>
        <v>0</v>
      </c>
    </row>
    <row r="118" spans="1:4" ht="12.75" x14ac:dyDescent="0.2">
      <c r="A118" s="86" t="s">
        <v>13</v>
      </c>
      <c r="B118" s="289" t="s">
        <v>47</v>
      </c>
      <c r="C118" s="289"/>
      <c r="D118" s="84"/>
    </row>
    <row r="119" spans="1:4" ht="12.75" x14ac:dyDescent="0.2">
      <c r="A119" s="86" t="s">
        <v>79</v>
      </c>
      <c r="B119" s="95" t="s">
        <v>75</v>
      </c>
      <c r="C119" s="87">
        <f>+$C$131+$C$132</f>
        <v>9.2499999999999999E-2</v>
      </c>
      <c r="D119" s="96">
        <f>+(C119*D118)*-1</f>
        <v>0</v>
      </c>
    </row>
    <row r="120" spans="1:4" ht="12.75" x14ac:dyDescent="0.2">
      <c r="A120" s="290" t="s">
        <v>48</v>
      </c>
      <c r="B120" s="290"/>
      <c r="C120" s="290"/>
      <c r="D120" s="20">
        <f>SUM(D112:D118)</f>
        <v>0</v>
      </c>
    </row>
    <row r="122" spans="1:4" ht="12.75" x14ac:dyDescent="0.2">
      <c r="A122" s="291" t="s">
        <v>115</v>
      </c>
      <c r="B122" s="292"/>
      <c r="C122" s="292"/>
      <c r="D122" s="292"/>
    </row>
    <row r="124" spans="1:4" ht="12.75" x14ac:dyDescent="0.2">
      <c r="A124" s="39">
        <v>6</v>
      </c>
      <c r="B124" s="22" t="s">
        <v>116</v>
      </c>
      <c r="C124" s="246" t="s">
        <v>28</v>
      </c>
      <c r="D124" s="19" t="s">
        <v>29</v>
      </c>
    </row>
    <row r="125" spans="1:4" ht="12.75" x14ac:dyDescent="0.2">
      <c r="A125" s="101" t="s">
        <v>6</v>
      </c>
      <c r="B125" s="101" t="s">
        <v>117</v>
      </c>
      <c r="C125" s="116">
        <v>0.03</v>
      </c>
      <c r="D125" s="102">
        <f>($D$120+$D$107+$D$75+$D$64+$D$23)*C125</f>
        <v>0</v>
      </c>
    </row>
    <row r="126" spans="1:4" ht="12.75" x14ac:dyDescent="0.2">
      <c r="A126" s="101" t="s">
        <v>8</v>
      </c>
      <c r="B126" s="101" t="s">
        <v>118</v>
      </c>
      <c r="C126" s="116">
        <v>0.03</v>
      </c>
      <c r="D126" s="102">
        <f>($D$120+$D$107+$D$75+$D$64+$D$23+D125)*C126</f>
        <v>0</v>
      </c>
    </row>
    <row r="127" spans="1:4" s="44" customFormat="1" ht="12.75" x14ac:dyDescent="0.25">
      <c r="A127" s="293" t="s">
        <v>119</v>
      </c>
      <c r="B127" s="294"/>
      <c r="C127" s="295"/>
      <c r="D127" s="43">
        <f>++D126+D125+D120+D107+D75+D64+D23</f>
        <v>0</v>
      </c>
    </row>
    <row r="128" spans="1:4" s="44" customFormat="1" ht="33" customHeight="1" x14ac:dyDescent="0.25">
      <c r="A128" s="296" t="s">
        <v>120</v>
      </c>
      <c r="B128" s="297"/>
      <c r="C128" s="298"/>
      <c r="D128" s="43">
        <f>ROUND(D127/(1-(C131+C132+C134+C136+C137)),2)</f>
        <v>0</v>
      </c>
    </row>
    <row r="129" spans="1:7" ht="12.75" x14ac:dyDescent="0.2">
      <c r="A129" s="86" t="s">
        <v>11</v>
      </c>
      <c r="B129" s="86" t="s">
        <v>121</v>
      </c>
      <c r="C129" s="89"/>
      <c r="D129" s="86"/>
    </row>
    <row r="130" spans="1:7" ht="12.75" x14ac:dyDescent="0.2">
      <c r="A130" s="86" t="s">
        <v>78</v>
      </c>
      <c r="B130" s="86" t="s">
        <v>122</v>
      </c>
      <c r="C130" s="89"/>
      <c r="D130" s="86"/>
    </row>
    <row r="131" spans="1:7" ht="12.75" x14ac:dyDescent="0.2">
      <c r="A131" s="101" t="s">
        <v>123</v>
      </c>
      <c r="B131" s="101" t="s">
        <v>124</v>
      </c>
      <c r="C131" s="116">
        <v>1.6500000000000001E-2</v>
      </c>
      <c r="D131" s="102">
        <f>ROUND(C131*$D$128,2)</f>
        <v>0</v>
      </c>
      <c r="G131" s="117"/>
    </row>
    <row r="132" spans="1:7" ht="12.75" x14ac:dyDescent="0.2">
      <c r="A132" s="101" t="s">
        <v>125</v>
      </c>
      <c r="B132" s="101" t="s">
        <v>126</v>
      </c>
      <c r="C132" s="116">
        <v>7.5999999999999998E-2</v>
      </c>
      <c r="D132" s="102">
        <f>ROUND(C132*$D$128,2)</f>
        <v>0</v>
      </c>
      <c r="G132" s="117"/>
    </row>
    <row r="133" spans="1:7" ht="12.75" x14ac:dyDescent="0.2">
      <c r="A133" s="86" t="s">
        <v>127</v>
      </c>
      <c r="B133" s="86" t="s">
        <v>128</v>
      </c>
      <c r="C133" s="89"/>
      <c r="D133" s="90"/>
      <c r="G133" s="117"/>
    </row>
    <row r="134" spans="1:7" ht="12.75" x14ac:dyDescent="0.2">
      <c r="A134" s="86" t="s">
        <v>129</v>
      </c>
      <c r="B134" s="86" t="s">
        <v>130</v>
      </c>
      <c r="C134" s="89"/>
      <c r="D134" s="86"/>
      <c r="G134" s="117"/>
    </row>
    <row r="135" spans="1:7" ht="12.75" x14ac:dyDescent="0.2">
      <c r="A135" s="86" t="s">
        <v>131</v>
      </c>
      <c r="B135" s="86" t="s">
        <v>132</v>
      </c>
      <c r="C135" s="89"/>
      <c r="D135" s="86"/>
    </row>
    <row r="136" spans="1:7" ht="12.75" x14ac:dyDescent="0.2">
      <c r="A136" s="101" t="s">
        <v>133</v>
      </c>
      <c r="B136" s="101" t="s">
        <v>134</v>
      </c>
      <c r="C136" s="116">
        <v>0.05</v>
      </c>
      <c r="D136" s="102">
        <f>ROUND(C136*$D$128,2)</f>
        <v>0</v>
      </c>
    </row>
    <row r="137" spans="1:7" ht="12.75" x14ac:dyDescent="0.2">
      <c r="A137" s="86" t="s">
        <v>135</v>
      </c>
      <c r="B137" s="86" t="s">
        <v>136</v>
      </c>
      <c r="C137" s="89"/>
      <c r="D137" s="86"/>
    </row>
    <row r="138" spans="1:7" ht="12.75" x14ac:dyDescent="0.2">
      <c r="A138" s="86" t="s">
        <v>13</v>
      </c>
      <c r="B138" s="86" t="s">
        <v>248</v>
      </c>
      <c r="C138" s="143"/>
      <c r="D138" s="86"/>
    </row>
    <row r="139" spans="1:7" ht="14.25" x14ac:dyDescent="0.2">
      <c r="A139" s="86" t="s">
        <v>249</v>
      </c>
      <c r="B139" s="86" t="s">
        <v>250</v>
      </c>
      <c r="C139" s="143"/>
      <c r="D139" s="144">
        <f>+D157</f>
        <v>0.59</v>
      </c>
    </row>
    <row r="140" spans="1:7" ht="12.75" x14ac:dyDescent="0.2">
      <c r="A140" s="86" t="s">
        <v>251</v>
      </c>
      <c r="B140" s="86" t="s">
        <v>252</v>
      </c>
      <c r="C140" s="143"/>
      <c r="D140" s="144">
        <f>+D158</f>
        <v>1.58</v>
      </c>
    </row>
    <row r="141" spans="1:7" ht="12.75" x14ac:dyDescent="0.2">
      <c r="A141" s="299" t="s">
        <v>48</v>
      </c>
      <c r="B141" s="300"/>
      <c r="C141" s="45">
        <f>+C137+C136+C134+C132+C131+C126+C125</f>
        <v>0.20250000000000001</v>
      </c>
      <c r="D141" s="20">
        <f>+D136+D134+D132+D131+D126+D125+D139+D140</f>
        <v>2.17</v>
      </c>
    </row>
    <row r="143" spans="1:7" ht="12.75" x14ac:dyDescent="0.2">
      <c r="A143" s="301" t="s">
        <v>137</v>
      </c>
      <c r="B143" s="301"/>
      <c r="C143" s="301"/>
      <c r="D143" s="301"/>
    </row>
    <row r="144" spans="1:7" ht="12.75" x14ac:dyDescent="0.2">
      <c r="A144" s="86" t="s">
        <v>6</v>
      </c>
      <c r="B144" s="286" t="s">
        <v>138</v>
      </c>
      <c r="C144" s="286"/>
      <c r="D144" s="84">
        <f>+D23</f>
        <v>0</v>
      </c>
    </row>
    <row r="145" spans="1:5" ht="12.75" x14ac:dyDescent="0.2">
      <c r="A145" s="86" t="s">
        <v>139</v>
      </c>
      <c r="B145" s="286" t="s">
        <v>140</v>
      </c>
      <c r="C145" s="286"/>
      <c r="D145" s="84">
        <f>+D64</f>
        <v>0</v>
      </c>
    </row>
    <row r="146" spans="1:5" ht="12.75" x14ac:dyDescent="0.2">
      <c r="A146" s="86" t="s">
        <v>11</v>
      </c>
      <c r="B146" s="286" t="s">
        <v>141</v>
      </c>
      <c r="C146" s="286"/>
      <c r="D146" s="84">
        <f>+D75</f>
        <v>0</v>
      </c>
    </row>
    <row r="147" spans="1:5" ht="12.75" x14ac:dyDescent="0.2">
      <c r="A147" s="86" t="s">
        <v>13</v>
      </c>
      <c r="B147" s="286" t="s">
        <v>142</v>
      </c>
      <c r="C147" s="286"/>
      <c r="D147" s="84">
        <f>+D107</f>
        <v>0</v>
      </c>
    </row>
    <row r="148" spans="1:5" ht="12.75" x14ac:dyDescent="0.2">
      <c r="A148" s="86" t="s">
        <v>34</v>
      </c>
      <c r="B148" s="286" t="s">
        <v>143</v>
      </c>
      <c r="C148" s="286"/>
      <c r="D148" s="84">
        <f>+D120</f>
        <v>0</v>
      </c>
    </row>
    <row r="149" spans="1:5" ht="12.75" x14ac:dyDescent="0.2">
      <c r="B149" s="287" t="s">
        <v>144</v>
      </c>
      <c r="C149" s="287"/>
      <c r="D149" s="46">
        <f>SUM(D144:D148)</f>
        <v>0</v>
      </c>
    </row>
    <row r="150" spans="1:5" ht="12.75" x14ac:dyDescent="0.2">
      <c r="A150" s="86" t="s">
        <v>36</v>
      </c>
      <c r="B150" s="286" t="s">
        <v>145</v>
      </c>
      <c r="C150" s="286"/>
      <c r="D150" s="84">
        <f>+D141</f>
        <v>2.17</v>
      </c>
    </row>
    <row r="152" spans="1:5" ht="12.75" x14ac:dyDescent="0.2">
      <c r="A152" s="288" t="s">
        <v>146</v>
      </c>
      <c r="B152" s="288"/>
      <c r="C152" s="288"/>
      <c r="D152" s="47">
        <f>ROUND(+D150+D149,2)</f>
        <v>2.17</v>
      </c>
    </row>
    <row r="154" spans="1:5" ht="35.25" customHeight="1" x14ac:dyDescent="0.2">
      <c r="A154" s="252" t="s">
        <v>242</v>
      </c>
      <c r="B154" s="252"/>
      <c r="C154" s="252"/>
      <c r="D154" s="252"/>
    </row>
    <row r="155" spans="1:5" ht="12.75" x14ac:dyDescent="0.2">
      <c r="A155" s="285" t="s">
        <v>243</v>
      </c>
      <c r="B155" s="285"/>
      <c r="C155" s="285"/>
      <c r="D155" s="285"/>
      <c r="E155" s="118"/>
    </row>
    <row r="156" spans="1:5" ht="22.5" x14ac:dyDescent="0.25">
      <c r="A156" s="2"/>
      <c r="B156" s="138"/>
      <c r="C156" s="139" t="s">
        <v>244</v>
      </c>
      <c r="D156" s="140" t="s">
        <v>245</v>
      </c>
      <c r="E156" s="118"/>
    </row>
    <row r="157" spans="1:5" ht="12.75" x14ac:dyDescent="0.2">
      <c r="A157" s="141" t="s">
        <v>246</v>
      </c>
      <c r="B157" s="141"/>
      <c r="C157" s="142">
        <f>ROUND((565/12),2)</f>
        <v>47.08</v>
      </c>
      <c r="D157" s="142">
        <f>ROUND(+C157/+(+Apresentacao!$E$35+Apresentacao!$E$36+Apresentacao!$E$38),2)</f>
        <v>0.59</v>
      </c>
      <c r="E157" s="118"/>
    </row>
    <row r="158" spans="1:5" ht="12.75" x14ac:dyDescent="0.2">
      <c r="A158" s="141" t="s">
        <v>247</v>
      </c>
      <c r="B158" s="141"/>
      <c r="C158" s="142">
        <v>126</v>
      </c>
      <c r="D158" s="142">
        <f>ROUND(+C158/+(+Apresentacao!$E$35+Apresentacao!$E$36+Apresentacao!$E$38),2)</f>
        <v>1.58</v>
      </c>
      <c r="E158" s="118"/>
    </row>
    <row r="159" spans="1:5" ht="12.75" x14ac:dyDescent="0.2">
      <c r="A159" s="118"/>
      <c r="B159" s="118"/>
      <c r="C159" s="118"/>
      <c r="D159" s="118"/>
      <c r="E159" s="118"/>
    </row>
    <row r="160" spans="1:5" ht="12.75" x14ac:dyDescent="0.2">
      <c r="A160" s="118"/>
      <c r="B160" s="118"/>
      <c r="C160" s="118"/>
      <c r="D160" s="118"/>
      <c r="E160" s="118"/>
    </row>
    <row r="161" spans="1:5" ht="12.75" x14ac:dyDescent="0.2">
      <c r="A161" s="118"/>
      <c r="B161" s="118"/>
      <c r="C161" s="118"/>
      <c r="D161" s="118"/>
      <c r="E161" s="118"/>
    </row>
    <row r="162" spans="1:5" ht="12.75" x14ac:dyDescent="0.2">
      <c r="A162" s="118"/>
      <c r="B162" s="118"/>
      <c r="C162" s="118"/>
      <c r="D162" s="118"/>
      <c r="E162" s="118"/>
    </row>
    <row r="163" spans="1:5" ht="12.75" x14ac:dyDescent="0.2">
      <c r="A163" s="118"/>
      <c r="B163" s="118"/>
      <c r="C163" s="118"/>
      <c r="D163" s="118"/>
      <c r="E163" s="118"/>
    </row>
    <row r="164" spans="1:5" ht="12.75" x14ac:dyDescent="0.2">
      <c r="A164" s="118"/>
      <c r="B164" s="118"/>
      <c r="C164" s="118"/>
      <c r="D164" s="118"/>
      <c r="E164" s="118"/>
    </row>
    <row r="165" spans="1:5" ht="12.75" x14ac:dyDescent="0.2">
      <c r="A165" s="118"/>
      <c r="B165" s="118"/>
      <c r="C165" s="118"/>
      <c r="D165" s="118"/>
      <c r="E165" s="118"/>
    </row>
    <row r="166" spans="1:5" ht="12.75" x14ac:dyDescent="0.2">
      <c r="A166" s="118"/>
      <c r="B166" s="118"/>
      <c r="C166" s="118"/>
      <c r="D166" s="118"/>
      <c r="E166" s="118"/>
    </row>
  </sheetData>
  <mergeCells count="79">
    <mergeCell ref="A155:D155"/>
    <mergeCell ref="B147:C147"/>
    <mergeCell ref="B148:C148"/>
    <mergeCell ref="B149:C149"/>
    <mergeCell ref="B150:C150"/>
    <mergeCell ref="A152:C152"/>
    <mergeCell ref="A154:D154"/>
    <mergeCell ref="A128:C128"/>
    <mergeCell ref="A141:B141"/>
    <mergeCell ref="A143:D143"/>
    <mergeCell ref="B144:C144"/>
    <mergeCell ref="B145:C145"/>
    <mergeCell ref="B146:C146"/>
    <mergeCell ref="B114:C114"/>
    <mergeCell ref="B116:C116"/>
    <mergeCell ref="B118:C118"/>
    <mergeCell ref="A120:C120"/>
    <mergeCell ref="A122:D122"/>
    <mergeCell ref="A127:C127"/>
    <mergeCell ref="B105:C105"/>
    <mergeCell ref="B106:C106"/>
    <mergeCell ref="A107:C107"/>
    <mergeCell ref="A109:D109"/>
    <mergeCell ref="B111:C111"/>
    <mergeCell ref="B112:C112"/>
    <mergeCell ref="A96:C96"/>
    <mergeCell ref="B98:C98"/>
    <mergeCell ref="B99:C99"/>
    <mergeCell ref="A100:C100"/>
    <mergeCell ref="B103:C103"/>
    <mergeCell ref="B104:C104"/>
    <mergeCell ref="A89:C89"/>
    <mergeCell ref="B91:C91"/>
    <mergeCell ref="B92:C92"/>
    <mergeCell ref="B93:C93"/>
    <mergeCell ref="B94:C94"/>
    <mergeCell ref="B95:C95"/>
    <mergeCell ref="B83:C83"/>
    <mergeCell ref="B84:C84"/>
    <mergeCell ref="B85:C85"/>
    <mergeCell ref="B86:C86"/>
    <mergeCell ref="B87:C87"/>
    <mergeCell ref="B88:C88"/>
    <mergeCell ref="A75:C75"/>
    <mergeCell ref="A77:D77"/>
    <mergeCell ref="A79:D79"/>
    <mergeCell ref="B80:C80"/>
    <mergeCell ref="B81:C81"/>
    <mergeCell ref="B82:C82"/>
    <mergeCell ref="B60:C60"/>
    <mergeCell ref="B61:C61"/>
    <mergeCell ref="B62:C62"/>
    <mergeCell ref="B63:C63"/>
    <mergeCell ref="A64:C64"/>
    <mergeCell ref="A66:D66"/>
    <mergeCell ref="A27:D27"/>
    <mergeCell ref="A33:C33"/>
    <mergeCell ref="A35:D35"/>
    <mergeCell ref="A47:D47"/>
    <mergeCell ref="A57:B57"/>
    <mergeCell ref="A59:D59"/>
    <mergeCell ref="B18:C18"/>
    <mergeCell ref="B19:C19"/>
    <mergeCell ref="B21:C21"/>
    <mergeCell ref="B22:C22"/>
    <mergeCell ref="A23:C23"/>
    <mergeCell ref="A25:D25"/>
    <mergeCell ref="C8:D8"/>
    <mergeCell ref="A10:D10"/>
    <mergeCell ref="B12:C12"/>
    <mergeCell ref="B15:C15"/>
    <mergeCell ref="B16:C16"/>
    <mergeCell ref="B17:C17"/>
    <mergeCell ref="A1:D1"/>
    <mergeCell ref="A3:D3"/>
    <mergeCell ref="C4:D4"/>
    <mergeCell ref="C5:D5"/>
    <mergeCell ref="C6:D6"/>
    <mergeCell ref="C7:D7"/>
  </mergeCells>
  <pageMargins left="0.51181102362204722" right="0.51181102362204722" top="0.25" bottom="0.53" header="0.31496062992125984" footer="0.31496062992125984"/>
  <pageSetup paperSize="9" scale="70" orientation="portrait" r:id="rId1"/>
  <headerFooter>
    <oddFooter>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C126"/>
  <sheetViews>
    <sheetView workbookViewId="0">
      <selection activeCell="A9" sqref="A9:C9"/>
    </sheetView>
  </sheetViews>
  <sheetFormatPr defaultRowHeight="15" x14ac:dyDescent="0.2"/>
  <cols>
    <col min="1" max="1" width="73.7109375" style="71" customWidth="1"/>
    <col min="2" max="2" width="16.42578125" style="71" bestFit="1" customWidth="1"/>
    <col min="3" max="3" width="13.85546875" style="71" bestFit="1" customWidth="1"/>
    <col min="4" max="4" width="10.7109375" style="71" bestFit="1" customWidth="1"/>
    <col min="5" max="5" width="79" style="71" customWidth="1"/>
    <col min="6" max="16384" width="9.140625" style="71"/>
  </cols>
  <sheetData>
    <row r="1" spans="1:3" ht="33" customHeight="1" x14ac:dyDescent="0.2">
      <c r="A1" s="395" t="s">
        <v>380</v>
      </c>
      <c r="B1" s="395"/>
      <c r="C1" s="395"/>
    </row>
    <row r="3" spans="1:3" ht="12.75" x14ac:dyDescent="0.2">
      <c r="A3" s="86" t="s">
        <v>147</v>
      </c>
      <c r="B3" s="86">
        <v>220</v>
      </c>
    </row>
    <row r="4" spans="1:3" ht="12.75" x14ac:dyDescent="0.2">
      <c r="A4" s="86" t="s">
        <v>148</v>
      </c>
      <c r="B4" s="86">
        <v>365.25</v>
      </c>
    </row>
    <row r="5" spans="1:3" ht="12.75" x14ac:dyDescent="0.2">
      <c r="A5" s="86" t="s">
        <v>149</v>
      </c>
      <c r="B5" s="49">
        <f>(365.25/12)/(7/6)</f>
        <v>26.089285714285712</v>
      </c>
    </row>
    <row r="6" spans="1:3" ht="12.75" x14ac:dyDescent="0.2">
      <c r="A6" s="95" t="s">
        <v>30</v>
      </c>
      <c r="B6" s="90">
        <f>+'Copeiro 44 Sab'!D12</f>
        <v>0</v>
      </c>
    </row>
    <row r="7" spans="1:3" ht="12.75" x14ac:dyDescent="0.2">
      <c r="A7" s="95" t="s">
        <v>150</v>
      </c>
      <c r="B7" s="90">
        <f>+'Copeiro 44 Sab'!D23</f>
        <v>0</v>
      </c>
    </row>
    <row r="9" spans="1:3" ht="12.75" x14ac:dyDescent="0.2">
      <c r="A9" s="353" t="s">
        <v>151</v>
      </c>
      <c r="B9" s="354"/>
      <c r="C9" s="355"/>
    </row>
    <row r="10" spans="1:3" ht="12.75" x14ac:dyDescent="0.2">
      <c r="A10" s="86" t="s">
        <v>152</v>
      </c>
      <c r="B10" s="86">
        <f>+$B$4</f>
        <v>365.25</v>
      </c>
      <c r="C10" s="107"/>
    </row>
    <row r="11" spans="1:3" ht="12.75" x14ac:dyDescent="0.2">
      <c r="A11" s="86" t="s">
        <v>153</v>
      </c>
      <c r="B11" s="95">
        <v>12</v>
      </c>
      <c r="C11" s="107"/>
    </row>
    <row r="12" spans="1:3" ht="12.75" x14ac:dyDescent="0.2">
      <c r="A12" s="86" t="s">
        <v>154</v>
      </c>
      <c r="B12" s="89">
        <v>1</v>
      </c>
      <c r="C12" s="107"/>
    </row>
    <row r="13" spans="1:3" ht="12.75" x14ac:dyDescent="0.2">
      <c r="A13" s="95" t="s">
        <v>155</v>
      </c>
      <c r="B13" s="119">
        <f>+B5</f>
        <v>26.089285714285712</v>
      </c>
      <c r="C13" s="107"/>
    </row>
    <row r="14" spans="1:3" ht="12.75" x14ac:dyDescent="0.2">
      <c r="A14" s="101" t="s">
        <v>156</v>
      </c>
      <c r="B14" s="120"/>
      <c r="C14" s="107"/>
    </row>
    <row r="15" spans="1:3" ht="12.75" x14ac:dyDescent="0.2">
      <c r="A15" s="86" t="s">
        <v>157</v>
      </c>
      <c r="B15" s="89">
        <v>0.06</v>
      </c>
      <c r="C15" s="107"/>
    </row>
    <row r="16" spans="1:3" ht="12.75" x14ac:dyDescent="0.2">
      <c r="A16" s="334" t="s">
        <v>158</v>
      </c>
      <c r="B16" s="335"/>
      <c r="C16" s="48">
        <f>ROUND((B13*(B14*2)-($B$6*B15)),2)</f>
        <v>0</v>
      </c>
    </row>
    <row r="18" spans="1:3" ht="12.75" x14ac:dyDescent="0.2">
      <c r="A18" s="353" t="s">
        <v>159</v>
      </c>
      <c r="B18" s="354"/>
      <c r="C18" s="355"/>
    </row>
    <row r="19" spans="1:3" ht="12.75" x14ac:dyDescent="0.2">
      <c r="A19" s="86" t="s">
        <v>152</v>
      </c>
      <c r="B19" s="86">
        <f>+$B$4</f>
        <v>365.25</v>
      </c>
      <c r="C19" s="107"/>
    </row>
    <row r="20" spans="1:3" ht="12.75" x14ac:dyDescent="0.2">
      <c r="A20" s="86" t="s">
        <v>153</v>
      </c>
      <c r="B20" s="95">
        <v>12</v>
      </c>
      <c r="C20" s="107"/>
    </row>
    <row r="21" spans="1:3" ht="12.75" x14ac:dyDescent="0.2">
      <c r="A21" s="86" t="s">
        <v>154</v>
      </c>
      <c r="B21" s="89">
        <v>1</v>
      </c>
      <c r="C21" s="107"/>
    </row>
    <row r="22" spans="1:3" ht="12.75" x14ac:dyDescent="0.2">
      <c r="A22" s="95" t="s">
        <v>155</v>
      </c>
      <c r="B22" s="49">
        <f>(365.25/12)/(7/5)</f>
        <v>21.741071428571431</v>
      </c>
      <c r="C22" s="107"/>
    </row>
    <row r="23" spans="1:3" ht="12.75" x14ac:dyDescent="0.2">
      <c r="A23" s="101" t="s">
        <v>160</v>
      </c>
      <c r="B23" s="120"/>
      <c r="C23" s="107"/>
    </row>
    <row r="24" spans="1:3" ht="12.75" x14ac:dyDescent="0.2">
      <c r="A24" s="86" t="s">
        <v>161</v>
      </c>
      <c r="B24" s="89">
        <v>0.1</v>
      </c>
      <c r="C24" s="107"/>
    </row>
    <row r="25" spans="1:3" ht="12.75" x14ac:dyDescent="0.2">
      <c r="A25" s="334" t="s">
        <v>160</v>
      </c>
      <c r="B25" s="335"/>
      <c r="C25" s="48">
        <f>ROUND((B22*(B23)-((B22*B23)*B24)),2)</f>
        <v>0</v>
      </c>
    </row>
    <row r="27" spans="1:3" ht="12.75" x14ac:dyDescent="0.2">
      <c r="A27" s="353" t="s">
        <v>162</v>
      </c>
      <c r="B27" s="354"/>
      <c r="C27" s="355"/>
    </row>
    <row r="28" spans="1:3" ht="12.75" x14ac:dyDescent="0.2">
      <c r="A28" s="86" t="s">
        <v>163</v>
      </c>
      <c r="B28" s="90">
        <f>+B7</f>
        <v>0</v>
      </c>
      <c r="C28" s="107"/>
    </row>
    <row r="29" spans="1:3" ht="12.75" x14ac:dyDescent="0.2">
      <c r="A29" s="86" t="s">
        <v>164</v>
      </c>
      <c r="B29" s="86">
        <v>12</v>
      </c>
      <c r="C29" s="107"/>
    </row>
    <row r="30" spans="1:3" ht="12.75" x14ac:dyDescent="0.2">
      <c r="A30" s="101" t="s">
        <v>165</v>
      </c>
      <c r="B30" s="116"/>
      <c r="C30" s="107"/>
    </row>
    <row r="31" spans="1:3" ht="12.75" x14ac:dyDescent="0.2">
      <c r="A31" s="334" t="s">
        <v>166</v>
      </c>
      <c r="B31" s="335"/>
      <c r="C31" s="48">
        <f>ROUND(+(B28/B29)*B30,2)</f>
        <v>0</v>
      </c>
    </row>
    <row r="33" spans="1:3" ht="12.75" x14ac:dyDescent="0.2">
      <c r="A33" s="336" t="s">
        <v>167</v>
      </c>
      <c r="B33" s="337"/>
      <c r="C33" s="338"/>
    </row>
    <row r="34" spans="1:3" s="97" customFormat="1" ht="12.75" x14ac:dyDescent="0.2">
      <c r="A34" s="121" t="s">
        <v>168</v>
      </c>
      <c r="B34" s="116">
        <f>+B30</f>
        <v>0</v>
      </c>
      <c r="C34" s="107"/>
    </row>
    <row r="35" spans="1:3" ht="12.75" x14ac:dyDescent="0.2">
      <c r="A35" s="86" t="s">
        <v>169</v>
      </c>
      <c r="B35" s="90">
        <f>+'Copeiro 44 Sab'!$D$23</f>
        <v>0</v>
      </c>
      <c r="C35" s="107"/>
    </row>
    <row r="36" spans="1:3" ht="12.75" x14ac:dyDescent="0.2">
      <c r="A36" s="86" t="s">
        <v>53</v>
      </c>
      <c r="B36" s="90">
        <f>+'Copeiro 44 Sab'!$D$29</f>
        <v>0</v>
      </c>
      <c r="C36" s="107"/>
    </row>
    <row r="37" spans="1:3" ht="12.75" x14ac:dyDescent="0.2">
      <c r="A37" s="86" t="s">
        <v>56</v>
      </c>
      <c r="B37" s="90">
        <f>+'Copeiro 44 Sab'!$D$31</f>
        <v>0</v>
      </c>
      <c r="C37" s="107"/>
    </row>
    <row r="38" spans="1:3" ht="12.75" x14ac:dyDescent="0.2">
      <c r="A38" s="86" t="s">
        <v>58</v>
      </c>
      <c r="B38" s="90">
        <f>+'Copeiro 44 Sab'!$D$32</f>
        <v>0</v>
      </c>
      <c r="C38" s="107"/>
    </row>
    <row r="39" spans="1:3" ht="12.75" x14ac:dyDescent="0.2">
      <c r="A39" s="50" t="s">
        <v>170</v>
      </c>
      <c r="B39" s="51">
        <f>SUM(B35:B38)</f>
        <v>0</v>
      </c>
      <c r="C39" s="107"/>
    </row>
    <row r="40" spans="1:3" ht="12.75" x14ac:dyDescent="0.2">
      <c r="A40" s="95" t="s">
        <v>171</v>
      </c>
      <c r="B40" s="89">
        <v>0.4</v>
      </c>
      <c r="C40" s="107"/>
    </row>
    <row r="41" spans="1:3" ht="12.75" x14ac:dyDescent="0.2">
      <c r="A41" s="95" t="s">
        <v>172</v>
      </c>
      <c r="B41" s="89">
        <f>+'Copeiro 44 Sab'!$C$44</f>
        <v>0.08</v>
      </c>
      <c r="C41" s="107"/>
    </row>
    <row r="42" spans="1:3" ht="12.75" x14ac:dyDescent="0.2">
      <c r="A42" s="305" t="s">
        <v>173</v>
      </c>
      <c r="B42" s="306"/>
      <c r="C42" s="41">
        <f>ROUND(+B39*B40*B41*B34,2)</f>
        <v>0</v>
      </c>
    </row>
    <row r="43" spans="1:3" ht="12.75" x14ac:dyDescent="0.2">
      <c r="A43" s="334" t="s">
        <v>174</v>
      </c>
      <c r="B43" s="335"/>
      <c r="C43" s="42">
        <f>+C42</f>
        <v>0</v>
      </c>
    </row>
    <row r="45" spans="1:3" ht="12.75" x14ac:dyDescent="0.2">
      <c r="A45" s="353" t="s">
        <v>175</v>
      </c>
      <c r="B45" s="354"/>
      <c r="C45" s="355"/>
    </row>
    <row r="46" spans="1:3" ht="12.75" x14ac:dyDescent="0.2">
      <c r="A46" s="86" t="s">
        <v>163</v>
      </c>
      <c r="B46" s="90">
        <f>+B7</f>
        <v>0</v>
      </c>
      <c r="C46" s="107"/>
    </row>
    <row r="47" spans="1:3" ht="12.75" x14ac:dyDescent="0.2">
      <c r="A47" s="86" t="s">
        <v>176</v>
      </c>
      <c r="B47" s="122">
        <v>30</v>
      </c>
      <c r="C47" s="107"/>
    </row>
    <row r="48" spans="1:3" ht="12.75" x14ac:dyDescent="0.2">
      <c r="A48" s="86" t="s">
        <v>164</v>
      </c>
      <c r="B48" s="86">
        <v>12</v>
      </c>
      <c r="C48" s="107"/>
    </row>
    <row r="49" spans="1:3" ht="12.75" x14ac:dyDescent="0.2">
      <c r="A49" s="86" t="s">
        <v>177</v>
      </c>
      <c r="B49" s="86">
        <v>7</v>
      </c>
      <c r="C49" s="107"/>
    </row>
    <row r="50" spans="1:3" ht="12.75" x14ac:dyDescent="0.2">
      <c r="A50" s="101" t="s">
        <v>178</v>
      </c>
      <c r="B50" s="116"/>
      <c r="C50" s="107"/>
    </row>
    <row r="51" spans="1:3" ht="12.75" x14ac:dyDescent="0.2">
      <c r="A51" s="334" t="s">
        <v>179</v>
      </c>
      <c r="B51" s="335"/>
      <c r="C51" s="48">
        <f>+ROUND(((B46/B47/B48)*B49)*B50,2)</f>
        <v>0</v>
      </c>
    </row>
    <row r="53" spans="1:3" ht="12.75" x14ac:dyDescent="0.2">
      <c r="A53" s="336" t="s">
        <v>180</v>
      </c>
      <c r="B53" s="337"/>
      <c r="C53" s="338"/>
    </row>
    <row r="54" spans="1:3" ht="12.75" x14ac:dyDescent="0.2">
      <c r="A54" s="121" t="s">
        <v>181</v>
      </c>
      <c r="B54" s="116">
        <f>+B50</f>
        <v>0</v>
      </c>
      <c r="C54" s="107"/>
    </row>
    <row r="55" spans="1:3" ht="12.75" x14ac:dyDescent="0.2">
      <c r="A55" s="86" t="s">
        <v>169</v>
      </c>
      <c r="B55" s="90">
        <f>+'Copeiro 44 Sab'!$D$23</f>
        <v>0</v>
      </c>
      <c r="C55" s="107"/>
    </row>
    <row r="56" spans="1:3" ht="12.75" x14ac:dyDescent="0.2">
      <c r="A56" s="86" t="s">
        <v>53</v>
      </c>
      <c r="B56" s="90">
        <f>+'Copeiro 44 Sab'!$D$29</f>
        <v>0</v>
      </c>
      <c r="C56" s="107"/>
    </row>
    <row r="57" spans="1:3" ht="12.75" x14ac:dyDescent="0.2">
      <c r="A57" s="86" t="s">
        <v>56</v>
      </c>
      <c r="B57" s="90">
        <f>+'Copeiro 44 Sab'!$D$31</f>
        <v>0</v>
      </c>
      <c r="C57" s="107"/>
    </row>
    <row r="58" spans="1:3" ht="12.75" x14ac:dyDescent="0.2">
      <c r="A58" s="86" t="s">
        <v>58</v>
      </c>
      <c r="B58" s="90">
        <f>+'Copeiro 44 Sab'!$D$32</f>
        <v>0</v>
      </c>
      <c r="C58" s="107"/>
    </row>
    <row r="59" spans="1:3" ht="12.75" x14ac:dyDescent="0.2">
      <c r="A59" s="50" t="s">
        <v>170</v>
      </c>
      <c r="B59" s="51">
        <f>SUM(B55:B58)</f>
        <v>0</v>
      </c>
      <c r="C59" s="107"/>
    </row>
    <row r="60" spans="1:3" ht="12.75" x14ac:dyDescent="0.2">
      <c r="A60" s="95" t="s">
        <v>171</v>
      </c>
      <c r="B60" s="89">
        <v>0.4</v>
      </c>
      <c r="C60" s="107"/>
    </row>
    <row r="61" spans="1:3" ht="12.75" x14ac:dyDescent="0.2">
      <c r="A61" s="95" t="s">
        <v>172</v>
      </c>
      <c r="B61" s="89">
        <f>+'Copeiro 44 Sab'!$C$44</f>
        <v>0.08</v>
      </c>
      <c r="C61" s="107"/>
    </row>
    <row r="62" spans="1:3" ht="12.75" x14ac:dyDescent="0.2">
      <c r="A62" s="305" t="s">
        <v>173</v>
      </c>
      <c r="B62" s="306"/>
      <c r="C62" s="41">
        <f>ROUND(+B59*B60*B61*B54,2)</f>
        <v>0</v>
      </c>
    </row>
    <row r="63" spans="1:3" ht="12.75" x14ac:dyDescent="0.2">
      <c r="A63" s="334" t="s">
        <v>182</v>
      </c>
      <c r="B63" s="335"/>
      <c r="C63" s="42">
        <f>+C62</f>
        <v>0</v>
      </c>
    </row>
    <row r="65" spans="1:3" ht="12.75" x14ac:dyDescent="0.2">
      <c r="A65" s="336" t="s">
        <v>183</v>
      </c>
      <c r="B65" s="337"/>
      <c r="C65" s="338"/>
    </row>
    <row r="66" spans="1:3" ht="12.75" x14ac:dyDescent="0.2">
      <c r="A66" s="343" t="s">
        <v>184</v>
      </c>
      <c r="B66" s="344"/>
      <c r="C66" s="345"/>
    </row>
    <row r="67" spans="1:3" ht="12.75" x14ac:dyDescent="0.2">
      <c r="A67" s="346"/>
      <c r="B67" s="347"/>
      <c r="C67" s="348"/>
    </row>
    <row r="68" spans="1:3" ht="12.75" x14ac:dyDescent="0.2">
      <c r="A68" s="346"/>
      <c r="B68" s="347"/>
      <c r="C68" s="348"/>
    </row>
    <row r="69" spans="1:3" ht="12.75" x14ac:dyDescent="0.2">
      <c r="A69" s="349"/>
      <c r="B69" s="350"/>
      <c r="C69" s="351"/>
    </row>
    <row r="70" spans="1:3" ht="12.75" x14ac:dyDescent="0.2">
      <c r="A70" s="123"/>
      <c r="B70" s="123"/>
      <c r="C70" s="123"/>
    </row>
    <row r="71" spans="1:3" ht="12.75" x14ac:dyDescent="0.2">
      <c r="A71" s="336" t="s">
        <v>185</v>
      </c>
      <c r="B71" s="337"/>
      <c r="C71" s="338"/>
    </row>
    <row r="72" spans="1:3" ht="12.75" x14ac:dyDescent="0.2">
      <c r="A72" s="86" t="s">
        <v>186</v>
      </c>
      <c r="B72" s="90">
        <f>+$B$7</f>
        <v>0</v>
      </c>
      <c r="C72" s="107"/>
    </row>
    <row r="73" spans="1:3" ht="12.75" x14ac:dyDescent="0.2">
      <c r="A73" s="86" t="s">
        <v>153</v>
      </c>
      <c r="B73" s="86">
        <v>30</v>
      </c>
      <c r="C73" s="107"/>
    </row>
    <row r="74" spans="1:3" ht="12.75" x14ac:dyDescent="0.2">
      <c r="A74" s="86" t="s">
        <v>187</v>
      </c>
      <c r="B74" s="86">
        <v>12</v>
      </c>
      <c r="C74" s="107"/>
    </row>
    <row r="75" spans="1:3" ht="12.75" x14ac:dyDescent="0.2">
      <c r="A75" s="101" t="s">
        <v>188</v>
      </c>
      <c r="B75" s="101"/>
      <c r="C75" s="107"/>
    </row>
    <row r="76" spans="1:3" ht="12.75" x14ac:dyDescent="0.2">
      <c r="A76" s="334" t="s">
        <v>189</v>
      </c>
      <c r="B76" s="335"/>
      <c r="C76" s="36">
        <f>+ROUND((B72/B73/B74)*B75,2)</f>
        <v>0</v>
      </c>
    </row>
    <row r="78" spans="1:3" ht="12.75" x14ac:dyDescent="0.2">
      <c r="A78" s="336" t="s">
        <v>190</v>
      </c>
      <c r="B78" s="337"/>
      <c r="C78" s="338"/>
    </row>
    <row r="79" spans="1:3" ht="12.75" x14ac:dyDescent="0.2">
      <c r="A79" s="86" t="s">
        <v>186</v>
      </c>
      <c r="B79" s="90">
        <f>+$B$7</f>
        <v>0</v>
      </c>
      <c r="C79" s="107"/>
    </row>
    <row r="80" spans="1:3" ht="12.75" x14ac:dyDescent="0.2">
      <c r="A80" s="86" t="s">
        <v>153</v>
      </c>
      <c r="B80" s="86">
        <v>30</v>
      </c>
      <c r="C80" s="107"/>
    </row>
    <row r="81" spans="1:3" ht="12.75" x14ac:dyDescent="0.2">
      <c r="A81" s="86" t="s">
        <v>187</v>
      </c>
      <c r="B81" s="86">
        <v>12</v>
      </c>
      <c r="C81" s="107"/>
    </row>
    <row r="82" spans="1:3" ht="12.75" x14ac:dyDescent="0.2">
      <c r="A82" s="95" t="s">
        <v>191</v>
      </c>
      <c r="B82" s="86">
        <v>5</v>
      </c>
      <c r="C82" s="107"/>
    </row>
    <row r="83" spans="1:3" ht="12.75" x14ac:dyDescent="0.2">
      <c r="A83" s="101" t="s">
        <v>192</v>
      </c>
      <c r="B83" s="116"/>
      <c r="C83" s="107"/>
    </row>
    <row r="84" spans="1:3" ht="12.75" x14ac:dyDescent="0.2">
      <c r="A84" s="101" t="s">
        <v>193</v>
      </c>
      <c r="B84" s="116"/>
      <c r="C84" s="107"/>
    </row>
    <row r="85" spans="1:3" ht="12.75" x14ac:dyDescent="0.2">
      <c r="A85" s="334" t="s">
        <v>194</v>
      </c>
      <c r="B85" s="335"/>
      <c r="C85" s="48">
        <f>ROUND(+B79/B80/B81*B82*B83*B84,2)</f>
        <v>0</v>
      </c>
    </row>
    <row r="87" spans="1:3" ht="12.75" x14ac:dyDescent="0.2">
      <c r="A87" s="336" t="s">
        <v>195</v>
      </c>
      <c r="B87" s="337"/>
      <c r="C87" s="338"/>
    </row>
    <row r="88" spans="1:3" ht="12.75" x14ac:dyDescent="0.2">
      <c r="A88" s="86" t="s">
        <v>186</v>
      </c>
      <c r="B88" s="90">
        <f>+$B$7</f>
        <v>0</v>
      </c>
      <c r="C88" s="107"/>
    </row>
    <row r="89" spans="1:3" ht="12.75" x14ac:dyDescent="0.2">
      <c r="A89" s="86" t="s">
        <v>153</v>
      </c>
      <c r="B89" s="86">
        <v>30</v>
      </c>
      <c r="C89" s="107"/>
    </row>
    <row r="90" spans="1:3" ht="12.75" x14ac:dyDescent="0.2">
      <c r="A90" s="86" t="s">
        <v>187</v>
      </c>
      <c r="B90" s="86">
        <v>12</v>
      </c>
      <c r="C90" s="107"/>
    </row>
    <row r="91" spans="1:3" ht="12.75" x14ac:dyDescent="0.2">
      <c r="A91" s="95" t="s">
        <v>196</v>
      </c>
      <c r="B91" s="86">
        <v>15</v>
      </c>
      <c r="C91" s="107"/>
    </row>
    <row r="92" spans="1:3" ht="12.75" x14ac:dyDescent="0.2">
      <c r="A92" s="101" t="s">
        <v>197</v>
      </c>
      <c r="B92" s="116"/>
      <c r="C92" s="107"/>
    </row>
    <row r="93" spans="1:3" ht="12.75" x14ac:dyDescent="0.2">
      <c r="A93" s="334" t="s">
        <v>198</v>
      </c>
      <c r="B93" s="335"/>
      <c r="C93" s="48">
        <f>ROUND(+B88/B89/B90*B91*B92,2)</f>
        <v>0</v>
      </c>
    </row>
    <row r="95" spans="1:3" ht="12.75" x14ac:dyDescent="0.2">
      <c r="A95" s="336" t="s">
        <v>199</v>
      </c>
      <c r="B95" s="337"/>
      <c r="C95" s="338"/>
    </row>
    <row r="96" spans="1:3" ht="12.75" x14ac:dyDescent="0.2">
      <c r="A96" s="86" t="s">
        <v>186</v>
      </c>
      <c r="B96" s="90">
        <f>+$B$7</f>
        <v>0</v>
      </c>
      <c r="C96" s="107"/>
    </row>
    <row r="97" spans="1:3" ht="12.75" x14ac:dyDescent="0.2">
      <c r="A97" s="86" t="s">
        <v>153</v>
      </c>
      <c r="B97" s="86">
        <v>30</v>
      </c>
      <c r="C97" s="107"/>
    </row>
    <row r="98" spans="1:3" ht="12.75" x14ac:dyDescent="0.2">
      <c r="A98" s="86" t="s">
        <v>187</v>
      </c>
      <c r="B98" s="86">
        <v>12</v>
      </c>
      <c r="C98" s="107"/>
    </row>
    <row r="99" spans="1:3" ht="12.75" x14ac:dyDescent="0.2">
      <c r="A99" s="95" t="s">
        <v>196</v>
      </c>
      <c r="B99" s="86">
        <v>5</v>
      </c>
      <c r="C99" s="107"/>
    </row>
    <row r="100" spans="1:3" ht="12.75" x14ac:dyDescent="0.2">
      <c r="A100" s="101" t="s">
        <v>200</v>
      </c>
      <c r="B100" s="116"/>
      <c r="C100" s="107"/>
    </row>
    <row r="101" spans="1:3" ht="12.75" x14ac:dyDescent="0.2">
      <c r="A101" s="334" t="s">
        <v>201</v>
      </c>
      <c r="B101" s="335"/>
      <c r="C101" s="48">
        <f>ROUND(+B96/B97/B98*B99*B100,2)</f>
        <v>0</v>
      </c>
    </row>
    <row r="103" spans="1:3" ht="12.75" x14ac:dyDescent="0.2">
      <c r="A103" s="336" t="s">
        <v>202</v>
      </c>
      <c r="B103" s="337"/>
      <c r="C103" s="338"/>
    </row>
    <row r="104" spans="1:3" ht="12.75" x14ac:dyDescent="0.2">
      <c r="A104" s="339" t="s">
        <v>203</v>
      </c>
      <c r="B104" s="340"/>
      <c r="C104" s="341"/>
    </row>
    <row r="105" spans="1:3" ht="12.75" x14ac:dyDescent="0.2">
      <c r="A105" s="86" t="s">
        <v>186</v>
      </c>
      <c r="B105" s="90">
        <f>+$B$7</f>
        <v>0</v>
      </c>
      <c r="C105" s="107"/>
    </row>
    <row r="106" spans="1:3" ht="12.75" x14ac:dyDescent="0.2">
      <c r="A106" s="86" t="s">
        <v>204</v>
      </c>
      <c r="B106" s="90">
        <f>+B105*(1/3)</f>
        <v>0</v>
      </c>
      <c r="C106" s="107"/>
    </row>
    <row r="107" spans="1:3" ht="12.75" x14ac:dyDescent="0.2">
      <c r="A107" s="50" t="s">
        <v>170</v>
      </c>
      <c r="B107" s="51">
        <f>SUM(B105:B106)</f>
        <v>0</v>
      </c>
      <c r="C107" s="107"/>
    </row>
    <row r="108" spans="1:3" ht="12.75" x14ac:dyDescent="0.2">
      <c r="A108" s="86" t="s">
        <v>205</v>
      </c>
      <c r="B108" s="86">
        <v>4</v>
      </c>
      <c r="C108" s="107"/>
    </row>
    <row r="109" spans="1:3" ht="12.75" x14ac:dyDescent="0.2">
      <c r="A109" s="86" t="s">
        <v>187</v>
      </c>
      <c r="B109" s="86">
        <v>12</v>
      </c>
      <c r="C109" s="107"/>
    </row>
    <row r="110" spans="1:3" ht="12.75" x14ac:dyDescent="0.2">
      <c r="A110" s="101" t="s">
        <v>206</v>
      </c>
      <c r="B110" s="116"/>
      <c r="C110" s="107"/>
    </row>
    <row r="111" spans="1:3" ht="12.75" x14ac:dyDescent="0.2">
      <c r="A111" s="101" t="s">
        <v>207</v>
      </c>
      <c r="B111" s="116"/>
      <c r="C111" s="107"/>
    </row>
    <row r="112" spans="1:3" ht="12.75" x14ac:dyDescent="0.2">
      <c r="A112" s="334" t="s">
        <v>208</v>
      </c>
      <c r="B112" s="335"/>
      <c r="C112" s="48">
        <f>ROUND((((+B107*(B108/B109)/B109)*B110)*B111),2)</f>
        <v>0</v>
      </c>
    </row>
    <row r="113" spans="1:3" ht="12.75" x14ac:dyDescent="0.2">
      <c r="A113" s="334" t="s">
        <v>209</v>
      </c>
      <c r="B113" s="342"/>
      <c r="C113" s="335"/>
    </row>
    <row r="114" spans="1:3" ht="12.75" x14ac:dyDescent="0.2">
      <c r="A114" s="86" t="s">
        <v>186</v>
      </c>
      <c r="B114" s="90">
        <f>+'Copeiro 44 Sab'!D23</f>
        <v>0</v>
      </c>
      <c r="C114" s="107"/>
    </row>
    <row r="115" spans="1:3" ht="12.75" x14ac:dyDescent="0.2">
      <c r="A115" s="86" t="s">
        <v>53</v>
      </c>
      <c r="B115" s="90">
        <f>+'Copeiro 44 Sab'!D29</f>
        <v>0</v>
      </c>
      <c r="C115" s="107"/>
    </row>
    <row r="116" spans="1:3" ht="12.75" x14ac:dyDescent="0.2">
      <c r="A116" s="50" t="s">
        <v>170</v>
      </c>
      <c r="B116" s="51">
        <f>SUM(B114:B115)</f>
        <v>0</v>
      </c>
      <c r="C116" s="107"/>
    </row>
    <row r="117" spans="1:3" ht="12.75" x14ac:dyDescent="0.2">
      <c r="A117" s="86" t="s">
        <v>205</v>
      </c>
      <c r="B117" s="86">
        <v>4</v>
      </c>
      <c r="C117" s="107"/>
    </row>
    <row r="118" spans="1:3" ht="12.75" x14ac:dyDescent="0.2">
      <c r="A118" s="86" t="s">
        <v>187</v>
      </c>
      <c r="B118" s="86">
        <v>12</v>
      </c>
      <c r="C118" s="107"/>
    </row>
    <row r="119" spans="1:3" ht="12.75" x14ac:dyDescent="0.2">
      <c r="A119" s="101" t="s">
        <v>206</v>
      </c>
      <c r="B119" s="116">
        <f>+B110</f>
        <v>0</v>
      </c>
      <c r="C119" s="107"/>
    </row>
    <row r="120" spans="1:3" ht="12.75" x14ac:dyDescent="0.2">
      <c r="A120" s="101" t="s">
        <v>207</v>
      </c>
      <c r="B120" s="116">
        <f>+B111</f>
        <v>0</v>
      </c>
      <c r="C120" s="107"/>
    </row>
    <row r="121" spans="1:3" ht="12.75" x14ac:dyDescent="0.2">
      <c r="A121" s="95" t="s">
        <v>210</v>
      </c>
      <c r="B121" s="89">
        <f>+'Copeiro 44 Sab'!C45</f>
        <v>0.36800000000000005</v>
      </c>
      <c r="C121" s="107"/>
    </row>
    <row r="122" spans="1:3" ht="12.75" x14ac:dyDescent="0.2">
      <c r="A122" s="334" t="s">
        <v>211</v>
      </c>
      <c r="B122" s="335"/>
      <c r="C122" s="42">
        <f>ROUND((((B116*(B117/B118)*B119)*B120)*B121),2)</f>
        <v>0</v>
      </c>
    </row>
    <row r="124" spans="1:3" ht="30.75" customHeight="1" x14ac:dyDescent="0.2">
      <c r="A124" s="333" t="s">
        <v>264</v>
      </c>
      <c r="B124" s="333"/>
      <c r="C124" s="333"/>
    </row>
    <row r="125" spans="1:3" ht="12.75" x14ac:dyDescent="0.2">
      <c r="C125" s="124"/>
    </row>
    <row r="126" spans="1:3" ht="12.75" x14ac:dyDescent="0.2">
      <c r="C126" s="112"/>
    </row>
  </sheetData>
  <mergeCells count="31">
    <mergeCell ref="A124:C124"/>
    <mergeCell ref="A101:B101"/>
    <mergeCell ref="A103:C103"/>
    <mergeCell ref="A104:C104"/>
    <mergeCell ref="A112:B112"/>
    <mergeCell ref="A113:C113"/>
    <mergeCell ref="A122:B122"/>
    <mergeCell ref="A76:B76"/>
    <mergeCell ref="A78:C78"/>
    <mergeCell ref="A85:B85"/>
    <mergeCell ref="A87:C87"/>
    <mergeCell ref="A93:B93"/>
    <mergeCell ref="A95:C95"/>
    <mergeCell ref="A53:C53"/>
    <mergeCell ref="A62:B62"/>
    <mergeCell ref="A63:B63"/>
    <mergeCell ref="A65:C65"/>
    <mergeCell ref="A66:C69"/>
    <mergeCell ref="A71:C71"/>
    <mergeCell ref="A31:B31"/>
    <mergeCell ref="A33:C33"/>
    <mergeCell ref="A42:B42"/>
    <mergeCell ref="A43:B43"/>
    <mergeCell ref="A45:C45"/>
    <mergeCell ref="A51:B51"/>
    <mergeCell ref="A1:C1"/>
    <mergeCell ref="A9:C9"/>
    <mergeCell ref="A16:B16"/>
    <mergeCell ref="A18:C18"/>
    <mergeCell ref="A25:B25"/>
    <mergeCell ref="A27:C27"/>
  </mergeCells>
  <pageMargins left="0.51181102362204722" right="0.51181102362204722" top="0.78740157480314965" bottom="0.78740157480314965" header="0.31496062992125984" footer="0.31496062992125984"/>
  <pageSetup paperSize="9" scale="70" orientation="portrait" r:id="rId1"/>
  <headerFooter>
    <oddFooter>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G167"/>
  <sheetViews>
    <sheetView topLeftCell="A13" workbookViewId="0">
      <selection activeCell="D53" sqref="D53:D55"/>
    </sheetView>
  </sheetViews>
  <sheetFormatPr defaultRowHeight="12.75" x14ac:dyDescent="0.2"/>
  <cols>
    <col min="1" max="1" width="6.42578125" style="71" customWidth="1"/>
    <col min="2" max="2" width="57.5703125" style="71" customWidth="1"/>
    <col min="3" max="3" width="10.7109375" style="71" bestFit="1" customWidth="1"/>
    <col min="4" max="4" width="17.85546875" style="71" customWidth="1"/>
    <col min="5" max="5" width="13.42578125" style="71" bestFit="1" customWidth="1"/>
    <col min="6" max="16384" width="9.140625" style="71"/>
  </cols>
  <sheetData>
    <row r="1" spans="1:6" x14ac:dyDescent="0.2">
      <c r="A1" s="322" t="s">
        <v>18</v>
      </c>
      <c r="B1" s="323"/>
      <c r="C1" s="323"/>
      <c r="D1" s="324"/>
      <c r="E1" s="17"/>
      <c r="F1" s="17"/>
    </row>
    <row r="3" spans="1:6" x14ac:dyDescent="0.2">
      <c r="A3" s="299" t="s">
        <v>19</v>
      </c>
      <c r="B3" s="300"/>
      <c r="C3" s="300"/>
      <c r="D3" s="308"/>
    </row>
    <row r="4" spans="1:6" s="74" customFormat="1" ht="27" customHeight="1" x14ac:dyDescent="0.25">
      <c r="A4" s="168">
        <v>1</v>
      </c>
      <c r="B4" s="169" t="s">
        <v>20</v>
      </c>
      <c r="C4" s="396" t="s">
        <v>285</v>
      </c>
      <c r="D4" s="397"/>
    </row>
    <row r="5" spans="1:6" s="74" customFormat="1" x14ac:dyDescent="0.25">
      <c r="A5" s="168">
        <v>2</v>
      </c>
      <c r="B5" s="169" t="s">
        <v>21</v>
      </c>
      <c r="C5" s="398" t="str">
        <f>+Apresentacao!E22</f>
        <v>5134-25</v>
      </c>
      <c r="D5" s="399"/>
    </row>
    <row r="6" spans="1:6" s="74" customFormat="1" x14ac:dyDescent="0.25">
      <c r="A6" s="168">
        <v>3</v>
      </c>
      <c r="B6" s="169" t="s">
        <v>22</v>
      </c>
      <c r="C6" s="400">
        <f>+Apresentacao!F22</f>
        <v>0</v>
      </c>
      <c r="D6" s="400"/>
    </row>
    <row r="7" spans="1:6" s="74" customFormat="1" x14ac:dyDescent="0.25">
      <c r="A7" s="168">
        <v>4</v>
      </c>
      <c r="B7" s="169" t="s">
        <v>23</v>
      </c>
      <c r="C7" s="401" t="s">
        <v>24</v>
      </c>
      <c r="D7" s="402"/>
    </row>
    <row r="8" spans="1:6" s="74" customFormat="1" x14ac:dyDescent="0.25">
      <c r="A8" s="168">
        <v>5</v>
      </c>
      <c r="B8" s="169" t="s">
        <v>25</v>
      </c>
      <c r="C8" s="403">
        <v>43524</v>
      </c>
      <c r="D8" s="399"/>
    </row>
    <row r="9" spans="1:6" x14ac:dyDescent="0.2">
      <c r="D9" s="18"/>
    </row>
    <row r="10" spans="1:6" x14ac:dyDescent="0.2">
      <c r="A10" s="291" t="s">
        <v>26</v>
      </c>
      <c r="B10" s="292"/>
      <c r="C10" s="292"/>
      <c r="D10" s="292"/>
    </row>
    <row r="11" spans="1:6" x14ac:dyDescent="0.2">
      <c r="A11" s="75">
        <v>1</v>
      </c>
      <c r="B11" s="76" t="s">
        <v>27</v>
      </c>
      <c r="C11" s="19" t="s">
        <v>28</v>
      </c>
      <c r="D11" s="77" t="s">
        <v>29</v>
      </c>
    </row>
    <row r="12" spans="1:6" x14ac:dyDescent="0.2">
      <c r="A12" s="149" t="s">
        <v>6</v>
      </c>
      <c r="B12" s="289" t="s">
        <v>30</v>
      </c>
      <c r="C12" s="289"/>
      <c r="D12" s="79">
        <f>+C6</f>
        <v>0</v>
      </c>
    </row>
    <row r="13" spans="1:6" x14ac:dyDescent="0.2">
      <c r="A13" s="149" t="s">
        <v>8</v>
      </c>
      <c r="B13" s="80" t="s">
        <v>31</v>
      </c>
      <c r="C13" s="81"/>
      <c r="D13" s="79"/>
      <c r="E13" s="82"/>
    </row>
    <row r="14" spans="1:6" x14ac:dyDescent="0.2">
      <c r="A14" s="159" t="s">
        <v>11</v>
      </c>
      <c r="B14" s="160" t="s">
        <v>32</v>
      </c>
      <c r="C14" s="161"/>
      <c r="D14" s="162">
        <f>+C14*D12</f>
        <v>0</v>
      </c>
    </row>
    <row r="15" spans="1:6" x14ac:dyDescent="0.2">
      <c r="A15" s="149" t="s">
        <v>13</v>
      </c>
      <c r="B15" s="289" t="s">
        <v>33</v>
      </c>
      <c r="C15" s="289"/>
      <c r="D15" s="79"/>
    </row>
    <row r="16" spans="1:6" x14ac:dyDescent="0.2">
      <c r="A16" s="149" t="s">
        <v>34</v>
      </c>
      <c r="B16" s="289" t="s">
        <v>35</v>
      </c>
      <c r="C16" s="289"/>
      <c r="D16" s="79"/>
    </row>
    <row r="17" spans="1:6" x14ac:dyDescent="0.2">
      <c r="A17" s="149" t="s">
        <v>36</v>
      </c>
      <c r="B17" s="318" t="s">
        <v>37</v>
      </c>
      <c r="C17" s="319"/>
      <c r="D17" s="79"/>
    </row>
    <row r="18" spans="1:6" x14ac:dyDescent="0.2">
      <c r="A18" s="149" t="s">
        <v>38</v>
      </c>
      <c r="B18" s="289" t="s">
        <v>39</v>
      </c>
      <c r="C18" s="289"/>
      <c r="D18" s="79"/>
    </row>
    <row r="19" spans="1:6" x14ac:dyDescent="0.2">
      <c r="A19" s="149" t="s">
        <v>40</v>
      </c>
      <c r="B19" s="318" t="s">
        <v>41</v>
      </c>
      <c r="C19" s="319"/>
      <c r="D19" s="83"/>
    </row>
    <row r="20" spans="1:6" x14ac:dyDescent="0.2">
      <c r="A20" s="149" t="s">
        <v>42</v>
      </c>
      <c r="B20" s="80" t="s">
        <v>43</v>
      </c>
      <c r="C20" s="81"/>
      <c r="D20" s="79"/>
    </row>
    <row r="21" spans="1:6" x14ac:dyDescent="0.2">
      <c r="A21" s="149" t="s">
        <v>44</v>
      </c>
      <c r="B21" s="365" t="s">
        <v>45</v>
      </c>
      <c r="C21" s="366"/>
      <c r="D21" s="84"/>
      <c r="F21" s="85"/>
    </row>
    <row r="22" spans="1:6" x14ac:dyDescent="0.2">
      <c r="A22" s="149" t="s">
        <v>46</v>
      </c>
      <c r="B22" s="289" t="s">
        <v>47</v>
      </c>
      <c r="C22" s="289"/>
      <c r="D22" s="84"/>
    </row>
    <row r="23" spans="1:6" x14ac:dyDescent="0.2">
      <c r="A23" s="290" t="s">
        <v>48</v>
      </c>
      <c r="B23" s="290"/>
      <c r="C23" s="290"/>
      <c r="D23" s="20">
        <f>SUM(D12:D22)</f>
        <v>0</v>
      </c>
    </row>
    <row r="25" spans="1:6" x14ac:dyDescent="0.2">
      <c r="A25" s="291" t="s">
        <v>49</v>
      </c>
      <c r="B25" s="292"/>
      <c r="C25" s="292"/>
      <c r="D25" s="292"/>
    </row>
    <row r="27" spans="1:6" x14ac:dyDescent="0.2">
      <c r="A27" s="291" t="s">
        <v>50</v>
      </c>
      <c r="B27" s="292"/>
      <c r="C27" s="292"/>
      <c r="D27" s="292"/>
    </row>
    <row r="28" spans="1:6" x14ac:dyDescent="0.2">
      <c r="A28" s="21" t="s">
        <v>51</v>
      </c>
      <c r="B28" s="22" t="s">
        <v>52</v>
      </c>
      <c r="C28" s="23" t="s">
        <v>28</v>
      </c>
      <c r="D28" s="24" t="s">
        <v>29</v>
      </c>
    </row>
    <row r="29" spans="1:6" x14ac:dyDescent="0.2">
      <c r="A29" s="149" t="s">
        <v>6</v>
      </c>
      <c r="B29" s="86" t="s">
        <v>53</v>
      </c>
      <c r="C29" s="87" t="e">
        <f>ROUND(+D29/$D$23,4)</f>
        <v>#DIV/0!</v>
      </c>
      <c r="D29" s="84">
        <f>ROUND(+D23/12,2)</f>
        <v>0</v>
      </c>
    </row>
    <row r="30" spans="1:6" x14ac:dyDescent="0.2">
      <c r="A30" s="25" t="s">
        <v>8</v>
      </c>
      <c r="B30" s="88" t="s">
        <v>54</v>
      </c>
      <c r="C30" s="26" t="e">
        <f>ROUND(+D30/$D$23,4)</f>
        <v>#DIV/0!</v>
      </c>
      <c r="D30" s="27">
        <f>+D31+D32</f>
        <v>0</v>
      </c>
    </row>
    <row r="31" spans="1:6" x14ac:dyDescent="0.2">
      <c r="A31" s="149" t="s">
        <v>55</v>
      </c>
      <c r="B31" s="28" t="s">
        <v>56</v>
      </c>
      <c r="C31" s="29" t="e">
        <f>ROUND(+D31/$D$23,4)</f>
        <v>#DIV/0!</v>
      </c>
      <c r="D31" s="30">
        <f>ROUND(+D23/12,2)</f>
        <v>0</v>
      </c>
    </row>
    <row r="32" spans="1:6" x14ac:dyDescent="0.2">
      <c r="A32" s="149" t="s">
        <v>57</v>
      </c>
      <c r="B32" s="28" t="s">
        <v>58</v>
      </c>
      <c r="C32" s="29" t="e">
        <f>ROUND(+D32/$D$23,4)</f>
        <v>#DIV/0!</v>
      </c>
      <c r="D32" s="30">
        <f>ROUND(+(D23*1/3)/12,2)</f>
        <v>0</v>
      </c>
    </row>
    <row r="33" spans="1:4" x14ac:dyDescent="0.2">
      <c r="A33" s="290" t="s">
        <v>48</v>
      </c>
      <c r="B33" s="290"/>
      <c r="C33" s="290"/>
      <c r="D33" s="20">
        <f>+D30+D29</f>
        <v>0</v>
      </c>
    </row>
    <row r="35" spans="1:4" x14ac:dyDescent="0.2">
      <c r="A35" s="320" t="s">
        <v>59</v>
      </c>
      <c r="B35" s="321"/>
      <c r="C35" s="321"/>
      <c r="D35" s="321"/>
    </row>
    <row r="36" spans="1:4" x14ac:dyDescent="0.2">
      <c r="A36" s="21" t="s">
        <v>60</v>
      </c>
      <c r="B36" s="31" t="s">
        <v>61</v>
      </c>
      <c r="C36" s="23" t="s">
        <v>28</v>
      </c>
      <c r="D36" s="24" t="s">
        <v>29</v>
      </c>
    </row>
    <row r="37" spans="1:4" x14ac:dyDescent="0.2">
      <c r="A37" s="149" t="s">
        <v>6</v>
      </c>
      <c r="B37" s="86" t="s">
        <v>62</v>
      </c>
      <c r="C37" s="89">
        <v>0.2</v>
      </c>
      <c r="D37" s="90">
        <f>ROUND(C37*($D$23+$D$33),2)</f>
        <v>0</v>
      </c>
    </row>
    <row r="38" spans="1:4" x14ac:dyDescent="0.2">
      <c r="A38" s="149" t="s">
        <v>8</v>
      </c>
      <c r="B38" s="86" t="s">
        <v>63</v>
      </c>
      <c r="C38" s="89">
        <v>2.5000000000000001E-2</v>
      </c>
      <c r="D38" s="90">
        <f>ROUND(C38*($D$23+$D$33),2)</f>
        <v>0</v>
      </c>
    </row>
    <row r="39" spans="1:4" x14ac:dyDescent="0.2">
      <c r="A39" s="149" t="s">
        <v>11</v>
      </c>
      <c r="B39" s="86" t="s">
        <v>64</v>
      </c>
      <c r="C39" s="89">
        <f>3%</f>
        <v>0.03</v>
      </c>
      <c r="D39" s="90">
        <f t="shared" ref="D39:D43" si="0">ROUND(C39*($D$23+$D$33),2)</f>
        <v>0</v>
      </c>
    </row>
    <row r="40" spans="1:4" x14ac:dyDescent="0.2">
      <c r="A40" s="149" t="s">
        <v>13</v>
      </c>
      <c r="B40" s="86" t="s">
        <v>65</v>
      </c>
      <c r="C40" s="89">
        <v>1.4999999999999999E-2</v>
      </c>
      <c r="D40" s="90">
        <f t="shared" si="0"/>
        <v>0</v>
      </c>
    </row>
    <row r="41" spans="1:4" x14ac:dyDescent="0.2">
      <c r="A41" s="149" t="s">
        <v>34</v>
      </c>
      <c r="B41" s="86" t="s">
        <v>66</v>
      </c>
      <c r="C41" s="89">
        <v>0.01</v>
      </c>
      <c r="D41" s="90">
        <f t="shared" si="0"/>
        <v>0</v>
      </c>
    </row>
    <row r="42" spans="1:4" x14ac:dyDescent="0.2">
      <c r="A42" s="149" t="s">
        <v>36</v>
      </c>
      <c r="B42" s="86" t="s">
        <v>67</v>
      </c>
      <c r="C42" s="89">
        <v>6.0000000000000001E-3</v>
      </c>
      <c r="D42" s="90">
        <f t="shared" si="0"/>
        <v>0</v>
      </c>
    </row>
    <row r="43" spans="1:4" x14ac:dyDescent="0.2">
      <c r="A43" s="149" t="s">
        <v>38</v>
      </c>
      <c r="B43" s="86" t="s">
        <v>68</v>
      </c>
      <c r="C43" s="89">
        <v>2E-3</v>
      </c>
      <c r="D43" s="90">
        <f t="shared" si="0"/>
        <v>0</v>
      </c>
    </row>
    <row r="44" spans="1:4" x14ac:dyDescent="0.2">
      <c r="A44" s="149" t="s">
        <v>40</v>
      </c>
      <c r="B44" s="86" t="s">
        <v>69</v>
      </c>
      <c r="C44" s="89">
        <v>0.08</v>
      </c>
      <c r="D44" s="90">
        <f>ROUND(C44*($D$23+$D$33),2)</f>
        <v>0</v>
      </c>
    </row>
    <row r="45" spans="1:4" x14ac:dyDescent="0.2">
      <c r="A45" s="146" t="s">
        <v>48</v>
      </c>
      <c r="B45" s="148"/>
      <c r="C45" s="32">
        <f>SUM(C37:C44)</f>
        <v>0.36800000000000005</v>
      </c>
      <c r="D45" s="33">
        <f>SUM(D37:D44)</f>
        <v>0</v>
      </c>
    </row>
    <row r="46" spans="1:4" x14ac:dyDescent="0.2">
      <c r="A46" s="91"/>
      <c r="B46" s="91"/>
      <c r="C46" s="91"/>
      <c r="D46" s="91"/>
    </row>
    <row r="47" spans="1:4" x14ac:dyDescent="0.2">
      <c r="A47" s="320" t="s">
        <v>70</v>
      </c>
      <c r="B47" s="321"/>
      <c r="C47" s="321"/>
      <c r="D47" s="321"/>
    </row>
    <row r="48" spans="1:4" x14ac:dyDescent="0.2">
      <c r="A48" s="21" t="s">
        <v>71</v>
      </c>
      <c r="B48" s="31" t="s">
        <v>72</v>
      </c>
      <c r="C48" s="23"/>
      <c r="D48" s="24" t="s">
        <v>29</v>
      </c>
    </row>
    <row r="49" spans="1:6" x14ac:dyDescent="0.2">
      <c r="A49" s="92" t="s">
        <v>6</v>
      </c>
      <c r="B49" s="86" t="s">
        <v>73</v>
      </c>
      <c r="C49" s="93"/>
      <c r="D49" s="90">
        <f>+'Men Cal Diurno'!C16</f>
        <v>0</v>
      </c>
    </row>
    <row r="50" spans="1:6" s="97" customFormat="1" x14ac:dyDescent="0.2">
      <c r="A50" s="94" t="s">
        <v>74</v>
      </c>
      <c r="B50" s="95" t="s">
        <v>75</v>
      </c>
      <c r="C50" s="87">
        <f>+$C$131+$C$132</f>
        <v>9.2499999999999999E-2</v>
      </c>
      <c r="D50" s="96">
        <f>+(C50*D49)*-1</f>
        <v>0</v>
      </c>
      <c r="F50" s="98"/>
    </row>
    <row r="51" spans="1:6" x14ac:dyDescent="0.2">
      <c r="A51" s="92" t="s">
        <v>8</v>
      </c>
      <c r="B51" s="86" t="s">
        <v>76</v>
      </c>
      <c r="C51" s="93"/>
      <c r="D51" s="90">
        <f>+'Men Cal Diurno'!C25</f>
        <v>0</v>
      </c>
      <c r="F51" s="99"/>
    </row>
    <row r="52" spans="1:6" s="97" customFormat="1" x14ac:dyDescent="0.2">
      <c r="A52" s="94" t="s">
        <v>55</v>
      </c>
      <c r="B52" s="95" t="s">
        <v>75</v>
      </c>
      <c r="C52" s="87">
        <f>+$C$131+$C$132</f>
        <v>9.2499999999999999E-2</v>
      </c>
      <c r="D52" s="96">
        <f>+(C52*D51)*-1</f>
        <v>0</v>
      </c>
      <c r="F52" s="100"/>
    </row>
    <row r="53" spans="1:6" x14ac:dyDescent="0.2">
      <c r="A53" s="101" t="s">
        <v>11</v>
      </c>
      <c r="B53" s="101" t="s">
        <v>77</v>
      </c>
      <c r="C53" s="93"/>
      <c r="D53" s="134"/>
      <c r="F53" s="99"/>
    </row>
    <row r="54" spans="1:6" x14ac:dyDescent="0.2">
      <c r="A54" s="101" t="s">
        <v>13</v>
      </c>
      <c r="B54" s="101" t="s">
        <v>234</v>
      </c>
      <c r="C54" s="93"/>
      <c r="D54" s="134"/>
      <c r="F54" s="99"/>
    </row>
    <row r="55" spans="1:6" ht="25.5" x14ac:dyDescent="0.2">
      <c r="A55" s="101" t="s">
        <v>34</v>
      </c>
      <c r="B55" s="103" t="s">
        <v>235</v>
      </c>
      <c r="C55" s="93"/>
      <c r="D55" s="135"/>
      <c r="F55" s="104"/>
    </row>
    <row r="56" spans="1:6" x14ac:dyDescent="0.2">
      <c r="A56" s="101" t="s">
        <v>36</v>
      </c>
      <c r="B56" s="133" t="s">
        <v>80</v>
      </c>
      <c r="C56" s="93"/>
      <c r="D56" s="102"/>
    </row>
    <row r="57" spans="1:6" x14ac:dyDescent="0.2">
      <c r="A57" s="299" t="s">
        <v>48</v>
      </c>
      <c r="B57" s="308"/>
      <c r="C57" s="34"/>
      <c r="D57" s="35">
        <f>SUM(D49:D56)</f>
        <v>0</v>
      </c>
    </row>
    <row r="59" spans="1:6" x14ac:dyDescent="0.2">
      <c r="A59" s="291" t="s">
        <v>81</v>
      </c>
      <c r="B59" s="292"/>
      <c r="C59" s="292"/>
      <c r="D59" s="292"/>
    </row>
    <row r="60" spans="1:6" x14ac:dyDescent="0.2">
      <c r="A60" s="36">
        <v>2</v>
      </c>
      <c r="B60" s="315" t="s">
        <v>82</v>
      </c>
      <c r="C60" s="315"/>
      <c r="D60" s="37" t="s">
        <v>29</v>
      </c>
    </row>
    <row r="61" spans="1:6" x14ac:dyDescent="0.2">
      <c r="A61" s="95" t="s">
        <v>51</v>
      </c>
      <c r="B61" s="316" t="s">
        <v>52</v>
      </c>
      <c r="C61" s="316"/>
      <c r="D61" s="90">
        <f>+D33</f>
        <v>0</v>
      </c>
    </row>
    <row r="62" spans="1:6" x14ac:dyDescent="0.2">
      <c r="A62" s="95" t="s">
        <v>60</v>
      </c>
      <c r="B62" s="316" t="s">
        <v>61</v>
      </c>
      <c r="C62" s="316"/>
      <c r="D62" s="90">
        <f>+D45</f>
        <v>0</v>
      </c>
    </row>
    <row r="63" spans="1:6" x14ac:dyDescent="0.2">
      <c r="A63" s="95" t="s">
        <v>71</v>
      </c>
      <c r="B63" s="316" t="s">
        <v>72</v>
      </c>
      <c r="C63" s="316"/>
      <c r="D63" s="105">
        <f>+D57</f>
        <v>0</v>
      </c>
    </row>
    <row r="64" spans="1:6" x14ac:dyDescent="0.2">
      <c r="A64" s="315" t="s">
        <v>48</v>
      </c>
      <c r="B64" s="315"/>
      <c r="C64" s="315"/>
      <c r="D64" s="38">
        <f>SUM(D61:D63)</f>
        <v>0</v>
      </c>
    </row>
    <row r="66" spans="1:4" x14ac:dyDescent="0.2">
      <c r="A66" s="291" t="s">
        <v>83</v>
      </c>
      <c r="B66" s="292"/>
      <c r="C66" s="292"/>
      <c r="D66" s="292"/>
    </row>
    <row r="68" spans="1:4" x14ac:dyDescent="0.2">
      <c r="A68" s="39">
        <v>3</v>
      </c>
      <c r="B68" s="22" t="s">
        <v>84</v>
      </c>
      <c r="C68" s="19" t="s">
        <v>28</v>
      </c>
      <c r="D68" s="19" t="s">
        <v>29</v>
      </c>
    </row>
    <row r="69" spans="1:4" x14ac:dyDescent="0.2">
      <c r="A69" s="149" t="s">
        <v>6</v>
      </c>
      <c r="B69" s="95" t="s">
        <v>85</v>
      </c>
      <c r="C69" s="87" t="e">
        <f>+D69/$D$23</f>
        <v>#DIV/0!</v>
      </c>
      <c r="D69" s="106">
        <f>+'Men Cal Diurno'!C31</f>
        <v>0</v>
      </c>
    </row>
    <row r="70" spans="1:4" x14ac:dyDescent="0.2">
      <c r="A70" s="149" t="s">
        <v>8</v>
      </c>
      <c r="B70" s="86" t="s">
        <v>86</v>
      </c>
      <c r="C70" s="107"/>
      <c r="D70" s="84">
        <f>ROUND(+D69*$C$44,2)</f>
        <v>0</v>
      </c>
    </row>
    <row r="71" spans="1:4" ht="25.5" x14ac:dyDescent="0.2">
      <c r="A71" s="149" t="s">
        <v>11</v>
      </c>
      <c r="B71" s="108" t="s">
        <v>87</v>
      </c>
      <c r="C71" s="89" t="e">
        <f>+D71/$D$23</f>
        <v>#DIV/0!</v>
      </c>
      <c r="D71" s="84">
        <f>+'Men Cal Diurno'!C45</f>
        <v>0</v>
      </c>
    </row>
    <row r="72" spans="1:4" x14ac:dyDescent="0.2">
      <c r="A72" s="150" t="s">
        <v>13</v>
      </c>
      <c r="B72" s="86" t="s">
        <v>88</v>
      </c>
      <c r="C72" s="89" t="e">
        <f>+D72/$D$23</f>
        <v>#DIV/0!</v>
      </c>
      <c r="D72" s="84">
        <f>+'Men Cal Diurno'!C53</f>
        <v>0</v>
      </c>
    </row>
    <row r="73" spans="1:4" ht="25.5" x14ac:dyDescent="0.2">
      <c r="A73" s="150" t="s">
        <v>34</v>
      </c>
      <c r="B73" s="108" t="s">
        <v>89</v>
      </c>
      <c r="C73" s="107"/>
      <c r="D73" s="110"/>
    </row>
    <row r="74" spans="1:4" ht="25.5" x14ac:dyDescent="0.2">
      <c r="A74" s="150" t="s">
        <v>36</v>
      </c>
      <c r="B74" s="108" t="s">
        <v>90</v>
      </c>
      <c r="C74" s="89" t="e">
        <f>+D74/$D$23</f>
        <v>#DIV/0!</v>
      </c>
      <c r="D74" s="90">
        <f>+'Men Cal Diurno'!C67</f>
        <v>0</v>
      </c>
    </row>
    <row r="75" spans="1:4" x14ac:dyDescent="0.2">
      <c r="A75" s="299" t="s">
        <v>48</v>
      </c>
      <c r="B75" s="300"/>
      <c r="C75" s="308"/>
      <c r="D75" s="40">
        <f>SUM(D69:D74)</f>
        <v>0</v>
      </c>
    </row>
    <row r="77" spans="1:4" x14ac:dyDescent="0.2">
      <c r="A77" s="291" t="s">
        <v>91</v>
      </c>
      <c r="B77" s="292"/>
      <c r="C77" s="292"/>
      <c r="D77" s="292"/>
    </row>
    <row r="79" spans="1:4" x14ac:dyDescent="0.2">
      <c r="A79" s="317" t="s">
        <v>92</v>
      </c>
      <c r="B79" s="317"/>
      <c r="C79" s="317"/>
      <c r="D79" s="317"/>
    </row>
    <row r="80" spans="1:4" x14ac:dyDescent="0.2">
      <c r="A80" s="39" t="s">
        <v>93</v>
      </c>
      <c r="B80" s="299" t="s">
        <v>94</v>
      </c>
      <c r="C80" s="308"/>
      <c r="D80" s="19" t="s">
        <v>29</v>
      </c>
    </row>
    <row r="81" spans="1:4" x14ac:dyDescent="0.2">
      <c r="A81" s="86" t="s">
        <v>6</v>
      </c>
      <c r="B81" s="303" t="s">
        <v>95</v>
      </c>
      <c r="C81" s="304"/>
      <c r="D81" s="84"/>
    </row>
    <row r="82" spans="1:4" x14ac:dyDescent="0.2">
      <c r="A82" s="95" t="s">
        <v>8</v>
      </c>
      <c r="B82" s="309" t="s">
        <v>94</v>
      </c>
      <c r="C82" s="310"/>
      <c r="D82" s="111">
        <f>+'Men Cal Diurno'!C80</f>
        <v>0</v>
      </c>
    </row>
    <row r="83" spans="1:4" s="97" customFormat="1" x14ac:dyDescent="0.2">
      <c r="A83" s="95" t="s">
        <v>11</v>
      </c>
      <c r="B83" s="309" t="s">
        <v>96</v>
      </c>
      <c r="C83" s="310"/>
      <c r="D83" s="111">
        <f>+'Men Cal Diurno'!C89</f>
        <v>0</v>
      </c>
    </row>
    <row r="84" spans="1:4" s="97" customFormat="1" x14ac:dyDescent="0.2">
      <c r="A84" s="95" t="s">
        <v>13</v>
      </c>
      <c r="B84" s="309" t="s">
        <v>97</v>
      </c>
      <c r="C84" s="310"/>
      <c r="D84" s="111">
        <f>+'Men Cal Diurno'!C97</f>
        <v>0</v>
      </c>
    </row>
    <row r="85" spans="1:4" s="97" customFormat="1" ht="14.25" x14ac:dyDescent="0.2">
      <c r="A85" s="95" t="s">
        <v>34</v>
      </c>
      <c r="B85" s="309" t="s">
        <v>233</v>
      </c>
      <c r="C85" s="310"/>
      <c r="D85" s="111"/>
    </row>
    <row r="86" spans="1:4" s="97" customFormat="1" x14ac:dyDescent="0.2">
      <c r="A86" s="95" t="s">
        <v>36</v>
      </c>
      <c r="B86" s="309" t="s">
        <v>98</v>
      </c>
      <c r="C86" s="310"/>
      <c r="D86" s="111">
        <f>+'Men Cal Diurno'!C105</f>
        <v>0</v>
      </c>
    </row>
    <row r="87" spans="1:4" x14ac:dyDescent="0.2">
      <c r="A87" s="86" t="s">
        <v>38</v>
      </c>
      <c r="B87" s="303" t="s">
        <v>47</v>
      </c>
      <c r="C87" s="304"/>
      <c r="D87" s="84"/>
    </row>
    <row r="88" spans="1:4" x14ac:dyDescent="0.2">
      <c r="A88" s="86" t="s">
        <v>40</v>
      </c>
      <c r="B88" s="303" t="s">
        <v>99</v>
      </c>
      <c r="C88" s="304"/>
      <c r="D88" s="110"/>
    </row>
    <row r="89" spans="1:4" x14ac:dyDescent="0.2">
      <c r="A89" s="290" t="s">
        <v>48</v>
      </c>
      <c r="B89" s="290"/>
      <c r="C89" s="290"/>
      <c r="D89" s="20">
        <f>SUM(D81:D88)</f>
        <v>0</v>
      </c>
    </row>
    <row r="90" spans="1:4" x14ac:dyDescent="0.2">
      <c r="D90" s="112"/>
    </row>
    <row r="91" spans="1:4" x14ac:dyDescent="0.2">
      <c r="A91" s="39" t="s">
        <v>100</v>
      </c>
      <c r="B91" s="299" t="s">
        <v>101</v>
      </c>
      <c r="C91" s="308"/>
      <c r="D91" s="19" t="s">
        <v>29</v>
      </c>
    </row>
    <row r="92" spans="1:4" s="97" customFormat="1" x14ac:dyDescent="0.2">
      <c r="A92" s="95" t="s">
        <v>6</v>
      </c>
      <c r="B92" s="311" t="s">
        <v>102</v>
      </c>
      <c r="C92" s="312"/>
      <c r="D92" s="111">
        <f>+'Men Cal Diurno'!C116</f>
        <v>0</v>
      </c>
    </row>
    <row r="93" spans="1:4" s="97" customFormat="1" x14ac:dyDescent="0.2">
      <c r="A93" s="95" t="s">
        <v>8</v>
      </c>
      <c r="B93" s="313" t="s">
        <v>103</v>
      </c>
      <c r="C93" s="314"/>
      <c r="D93" s="110"/>
    </row>
    <row r="94" spans="1:4" s="97" customFormat="1" x14ac:dyDescent="0.2">
      <c r="A94" s="95" t="s">
        <v>11</v>
      </c>
      <c r="B94" s="313" t="s">
        <v>104</v>
      </c>
      <c r="C94" s="314"/>
      <c r="D94" s="110"/>
    </row>
    <row r="95" spans="1:4" x14ac:dyDescent="0.2">
      <c r="A95" s="86" t="s">
        <v>13</v>
      </c>
      <c r="B95" s="303" t="s">
        <v>47</v>
      </c>
      <c r="C95" s="304"/>
      <c r="D95" s="84"/>
    </row>
    <row r="96" spans="1:4" x14ac:dyDescent="0.2">
      <c r="A96" s="290" t="s">
        <v>48</v>
      </c>
      <c r="B96" s="290"/>
      <c r="C96" s="290"/>
      <c r="D96" s="20">
        <f>SUM(D92:D95)</f>
        <v>0</v>
      </c>
    </row>
    <row r="97" spans="1:4" x14ac:dyDescent="0.2">
      <c r="D97" s="112"/>
    </row>
    <row r="98" spans="1:4" x14ac:dyDescent="0.2">
      <c r="A98" s="39" t="s">
        <v>105</v>
      </c>
      <c r="B98" s="290" t="s">
        <v>106</v>
      </c>
      <c r="C98" s="290"/>
      <c r="D98" s="19" t="s">
        <v>29</v>
      </c>
    </row>
    <row r="99" spans="1:4" s="114" customFormat="1" x14ac:dyDescent="0.25">
      <c r="A99" s="150" t="s">
        <v>6</v>
      </c>
      <c r="B99" s="302" t="s">
        <v>107</v>
      </c>
      <c r="C99" s="302"/>
      <c r="D99" s="113"/>
    </row>
    <row r="100" spans="1:4" x14ac:dyDescent="0.2">
      <c r="A100" s="290" t="s">
        <v>48</v>
      </c>
      <c r="B100" s="290"/>
      <c r="C100" s="290"/>
      <c r="D100" s="20">
        <f>SUM(D99:D99)</f>
        <v>0</v>
      </c>
    </row>
    <row r="102" spans="1:4" x14ac:dyDescent="0.2">
      <c r="A102" s="147" t="s">
        <v>108</v>
      </c>
      <c r="B102" s="147"/>
      <c r="C102" s="147"/>
      <c r="D102" s="147"/>
    </row>
    <row r="103" spans="1:4" x14ac:dyDescent="0.2">
      <c r="A103" s="86" t="s">
        <v>93</v>
      </c>
      <c r="B103" s="303" t="s">
        <v>94</v>
      </c>
      <c r="C103" s="304"/>
      <c r="D103" s="90">
        <f>+D89</f>
        <v>0</v>
      </c>
    </row>
    <row r="104" spans="1:4" x14ac:dyDescent="0.2">
      <c r="A104" s="86" t="s">
        <v>100</v>
      </c>
      <c r="B104" s="303" t="s">
        <v>101</v>
      </c>
      <c r="C104" s="304"/>
      <c r="D104" s="90">
        <f>+D96</f>
        <v>0</v>
      </c>
    </row>
    <row r="105" spans="1:4" x14ac:dyDescent="0.2">
      <c r="A105" s="115"/>
      <c r="B105" s="305" t="s">
        <v>109</v>
      </c>
      <c r="C105" s="306"/>
      <c r="D105" s="41">
        <f>+D104+D103</f>
        <v>0</v>
      </c>
    </row>
    <row r="106" spans="1:4" x14ac:dyDescent="0.2">
      <c r="A106" s="86" t="s">
        <v>105</v>
      </c>
      <c r="B106" s="303" t="s">
        <v>106</v>
      </c>
      <c r="C106" s="304"/>
      <c r="D106" s="90">
        <f>+D100</f>
        <v>0</v>
      </c>
    </row>
    <row r="107" spans="1:4" x14ac:dyDescent="0.2">
      <c r="A107" s="307" t="s">
        <v>48</v>
      </c>
      <c r="B107" s="307"/>
      <c r="C107" s="307"/>
      <c r="D107" s="42">
        <f>+D106+D105</f>
        <v>0</v>
      </c>
    </row>
    <row r="109" spans="1:4" x14ac:dyDescent="0.2">
      <c r="A109" s="291" t="s">
        <v>110</v>
      </c>
      <c r="B109" s="292"/>
      <c r="C109" s="292"/>
      <c r="D109" s="292"/>
    </row>
    <row r="111" spans="1:4" x14ac:dyDescent="0.2">
      <c r="A111" s="39">
        <v>5</v>
      </c>
      <c r="B111" s="299" t="s">
        <v>111</v>
      </c>
      <c r="C111" s="308"/>
      <c r="D111" s="19" t="s">
        <v>29</v>
      </c>
    </row>
    <row r="112" spans="1:4" x14ac:dyDescent="0.2">
      <c r="A112" s="86" t="s">
        <v>6</v>
      </c>
      <c r="B112" s="289" t="s">
        <v>112</v>
      </c>
      <c r="C112" s="289"/>
      <c r="D112" s="84">
        <f>+Uniforme!E12</f>
        <v>0</v>
      </c>
    </row>
    <row r="113" spans="1:4" x14ac:dyDescent="0.2">
      <c r="A113" s="86" t="s">
        <v>74</v>
      </c>
      <c r="B113" s="95" t="s">
        <v>75</v>
      </c>
      <c r="C113" s="87">
        <f>+$C$131+$C$132</f>
        <v>9.2499999999999999E-2</v>
      </c>
      <c r="D113" s="96">
        <f>+(C113*D112)*-1</f>
        <v>0</v>
      </c>
    </row>
    <row r="114" spans="1:4" x14ac:dyDescent="0.2">
      <c r="A114" s="86" t="s">
        <v>8</v>
      </c>
      <c r="B114" s="289" t="s">
        <v>113</v>
      </c>
      <c r="C114" s="289"/>
      <c r="D114" s="84"/>
    </row>
    <row r="115" spans="1:4" x14ac:dyDescent="0.2">
      <c r="A115" s="86" t="s">
        <v>55</v>
      </c>
      <c r="B115" s="95" t="s">
        <v>75</v>
      </c>
      <c r="C115" s="87">
        <f>+$C$131+$C$132</f>
        <v>9.2499999999999999E-2</v>
      </c>
      <c r="D115" s="96">
        <f>+(C115*D114)*-1</f>
        <v>0</v>
      </c>
    </row>
    <row r="116" spans="1:4" x14ac:dyDescent="0.2">
      <c r="A116" s="86" t="s">
        <v>11</v>
      </c>
      <c r="B116" s="289" t="s">
        <v>114</v>
      </c>
      <c r="C116" s="289"/>
      <c r="D116" s="84"/>
    </row>
    <row r="117" spans="1:4" x14ac:dyDescent="0.2">
      <c r="A117" s="86" t="s">
        <v>78</v>
      </c>
      <c r="B117" s="95" t="s">
        <v>75</v>
      </c>
      <c r="C117" s="87">
        <f>+$C$131+$C$132</f>
        <v>9.2499999999999999E-2</v>
      </c>
      <c r="D117" s="96">
        <f>+(C117*D116)*-1</f>
        <v>0</v>
      </c>
    </row>
    <row r="118" spans="1:4" x14ac:dyDescent="0.2">
      <c r="A118" s="86" t="s">
        <v>13</v>
      </c>
      <c r="B118" s="289" t="s">
        <v>47</v>
      </c>
      <c r="C118" s="289"/>
      <c r="D118" s="84"/>
    </row>
    <row r="119" spans="1:4" x14ac:dyDescent="0.2">
      <c r="A119" s="86" t="s">
        <v>79</v>
      </c>
      <c r="B119" s="95" t="s">
        <v>75</v>
      </c>
      <c r="C119" s="87">
        <f>+$C$131+$C$132</f>
        <v>9.2499999999999999E-2</v>
      </c>
      <c r="D119" s="96">
        <f>+(C119*D118)*-1</f>
        <v>0</v>
      </c>
    </row>
    <row r="120" spans="1:4" x14ac:dyDescent="0.2">
      <c r="A120" s="290" t="s">
        <v>48</v>
      </c>
      <c r="B120" s="290"/>
      <c r="C120" s="290"/>
      <c r="D120" s="20">
        <f>SUM(D112:D118)</f>
        <v>0</v>
      </c>
    </row>
    <row r="122" spans="1:4" x14ac:dyDescent="0.2">
      <c r="A122" s="291" t="s">
        <v>115</v>
      </c>
      <c r="B122" s="292"/>
      <c r="C122" s="292"/>
      <c r="D122" s="292"/>
    </row>
    <row r="124" spans="1:4" x14ac:dyDescent="0.2">
      <c r="A124" s="39">
        <v>6</v>
      </c>
      <c r="B124" s="22" t="s">
        <v>116</v>
      </c>
      <c r="C124" s="151" t="s">
        <v>28</v>
      </c>
      <c r="D124" s="19" t="s">
        <v>29</v>
      </c>
    </row>
    <row r="125" spans="1:4" x14ac:dyDescent="0.2">
      <c r="A125" s="101" t="s">
        <v>6</v>
      </c>
      <c r="B125" s="101" t="s">
        <v>117</v>
      </c>
      <c r="C125" s="116">
        <v>0.03</v>
      </c>
      <c r="D125" s="102">
        <f>($D$120+$D$107+$D$75+$D$64+$D$23)*C125</f>
        <v>0</v>
      </c>
    </row>
    <row r="126" spans="1:4" x14ac:dyDescent="0.2">
      <c r="A126" s="101" t="s">
        <v>8</v>
      </c>
      <c r="B126" s="101" t="s">
        <v>118</v>
      </c>
      <c r="C126" s="116">
        <v>0.03</v>
      </c>
      <c r="D126" s="102">
        <f>($D$120+$D$107+$D$75+$D$64+$D$23+D125)*C126</f>
        <v>0</v>
      </c>
    </row>
    <row r="127" spans="1:4" s="44" customFormat="1" x14ac:dyDescent="0.25">
      <c r="A127" s="293" t="s">
        <v>119</v>
      </c>
      <c r="B127" s="294"/>
      <c r="C127" s="295"/>
      <c r="D127" s="43">
        <f>++D126+D125+D120+D107+D75+D64+D23</f>
        <v>0</v>
      </c>
    </row>
    <row r="128" spans="1:4" s="44" customFormat="1" ht="33" customHeight="1" x14ac:dyDescent="0.25">
      <c r="A128" s="296" t="s">
        <v>120</v>
      </c>
      <c r="B128" s="297"/>
      <c r="C128" s="298"/>
      <c r="D128" s="43">
        <f>ROUND(D127/(1-(C131+C132+C134+C136+C137)),2)</f>
        <v>0</v>
      </c>
    </row>
    <row r="129" spans="1:7" x14ac:dyDescent="0.2">
      <c r="A129" s="86" t="s">
        <v>11</v>
      </c>
      <c r="B129" s="86" t="s">
        <v>121</v>
      </c>
      <c r="C129" s="89"/>
      <c r="D129" s="86"/>
    </row>
    <row r="130" spans="1:7" x14ac:dyDescent="0.2">
      <c r="A130" s="86" t="s">
        <v>78</v>
      </c>
      <c r="B130" s="86" t="s">
        <v>122</v>
      </c>
      <c r="C130" s="89"/>
      <c r="D130" s="86"/>
    </row>
    <row r="131" spans="1:7" x14ac:dyDescent="0.2">
      <c r="A131" s="101" t="s">
        <v>123</v>
      </c>
      <c r="B131" s="101" t="s">
        <v>124</v>
      </c>
      <c r="C131" s="116">
        <v>1.6500000000000001E-2</v>
      </c>
      <c r="D131" s="102">
        <f>ROUND(C131*$D$128,2)</f>
        <v>0</v>
      </c>
      <c r="G131" s="117"/>
    </row>
    <row r="132" spans="1:7" x14ac:dyDescent="0.2">
      <c r="A132" s="101" t="s">
        <v>125</v>
      </c>
      <c r="B132" s="101" t="s">
        <v>126</v>
      </c>
      <c r="C132" s="116">
        <v>7.5999999999999998E-2</v>
      </c>
      <c r="D132" s="102">
        <f>ROUND(C132*$D$128,2)</f>
        <v>0</v>
      </c>
      <c r="G132" s="117"/>
    </row>
    <row r="133" spans="1:7" x14ac:dyDescent="0.2">
      <c r="A133" s="86" t="s">
        <v>127</v>
      </c>
      <c r="B133" s="86" t="s">
        <v>128</v>
      </c>
      <c r="C133" s="89"/>
      <c r="D133" s="90"/>
      <c r="G133" s="117"/>
    </row>
    <row r="134" spans="1:7" x14ac:dyDescent="0.2">
      <c r="A134" s="86" t="s">
        <v>129</v>
      </c>
      <c r="B134" s="86" t="s">
        <v>130</v>
      </c>
      <c r="C134" s="89"/>
      <c r="D134" s="86"/>
      <c r="G134" s="117"/>
    </row>
    <row r="135" spans="1:7" x14ac:dyDescent="0.2">
      <c r="A135" s="86" t="s">
        <v>131</v>
      </c>
      <c r="B135" s="86" t="s">
        <v>132</v>
      </c>
      <c r="C135" s="89"/>
      <c r="D135" s="86"/>
    </row>
    <row r="136" spans="1:7" x14ac:dyDescent="0.2">
      <c r="A136" s="101" t="s">
        <v>133</v>
      </c>
      <c r="B136" s="101" t="s">
        <v>134</v>
      </c>
      <c r="C136" s="116">
        <v>0.05</v>
      </c>
      <c r="D136" s="102">
        <f>ROUND(C136*$D$128,2)</f>
        <v>0</v>
      </c>
    </row>
    <row r="137" spans="1:7" x14ac:dyDescent="0.2">
      <c r="A137" s="86" t="s">
        <v>135</v>
      </c>
      <c r="B137" s="86" t="s">
        <v>136</v>
      </c>
      <c r="C137" s="89"/>
      <c r="D137" s="86"/>
    </row>
    <row r="138" spans="1:7" x14ac:dyDescent="0.2">
      <c r="A138" s="86" t="s">
        <v>13</v>
      </c>
      <c r="B138" s="86" t="s">
        <v>248</v>
      </c>
      <c r="C138" s="143"/>
      <c r="D138" s="86"/>
    </row>
    <row r="139" spans="1:7" ht="14.25" x14ac:dyDescent="0.2">
      <c r="A139" s="86" t="s">
        <v>249</v>
      </c>
      <c r="B139" s="86" t="s">
        <v>250</v>
      </c>
      <c r="C139" s="143"/>
      <c r="D139" s="144">
        <f>+D157</f>
        <v>0.59</v>
      </c>
    </row>
    <row r="140" spans="1:7" x14ac:dyDescent="0.2">
      <c r="A140" s="86" t="s">
        <v>251</v>
      </c>
      <c r="B140" s="86" t="s">
        <v>252</v>
      </c>
      <c r="C140" s="143"/>
      <c r="D140" s="144">
        <f>+D158</f>
        <v>1.58</v>
      </c>
    </row>
    <row r="141" spans="1:7" x14ac:dyDescent="0.2">
      <c r="A141" s="299" t="s">
        <v>48</v>
      </c>
      <c r="B141" s="300"/>
      <c r="C141" s="45">
        <f>+C137+C136+C134+C132+C131+C126+C125</f>
        <v>0.20250000000000001</v>
      </c>
      <c r="D141" s="20">
        <f>+D136+D134+D132+D131+D126+D125+D139+D140</f>
        <v>2.17</v>
      </c>
    </row>
    <row r="143" spans="1:7" x14ac:dyDescent="0.2">
      <c r="A143" s="301" t="s">
        <v>137</v>
      </c>
      <c r="B143" s="301"/>
      <c r="C143" s="301"/>
      <c r="D143" s="301"/>
    </row>
    <row r="144" spans="1:7" x14ac:dyDescent="0.2">
      <c r="A144" s="86" t="s">
        <v>6</v>
      </c>
      <c r="B144" s="286" t="s">
        <v>138</v>
      </c>
      <c r="C144" s="286"/>
      <c r="D144" s="84">
        <f>+D23</f>
        <v>0</v>
      </c>
    </row>
    <row r="145" spans="1:5" x14ac:dyDescent="0.2">
      <c r="A145" s="86" t="s">
        <v>139</v>
      </c>
      <c r="B145" s="286" t="s">
        <v>140</v>
      </c>
      <c r="C145" s="286"/>
      <c r="D145" s="84">
        <f>+D64</f>
        <v>0</v>
      </c>
    </row>
    <row r="146" spans="1:5" x14ac:dyDescent="0.2">
      <c r="A146" s="86" t="s">
        <v>11</v>
      </c>
      <c r="B146" s="286" t="s">
        <v>141</v>
      </c>
      <c r="C146" s="286"/>
      <c r="D146" s="84">
        <f>+D75</f>
        <v>0</v>
      </c>
    </row>
    <row r="147" spans="1:5" x14ac:dyDescent="0.2">
      <c r="A147" s="86" t="s">
        <v>13</v>
      </c>
      <c r="B147" s="286" t="s">
        <v>142</v>
      </c>
      <c r="C147" s="286"/>
      <c r="D147" s="84">
        <f>+D107</f>
        <v>0</v>
      </c>
    </row>
    <row r="148" spans="1:5" x14ac:dyDescent="0.2">
      <c r="A148" s="86" t="s">
        <v>34</v>
      </c>
      <c r="B148" s="286" t="s">
        <v>143</v>
      </c>
      <c r="C148" s="286"/>
      <c r="D148" s="84">
        <f>+D120</f>
        <v>0</v>
      </c>
    </row>
    <row r="149" spans="1:5" x14ac:dyDescent="0.2">
      <c r="B149" s="287" t="s">
        <v>144</v>
      </c>
      <c r="C149" s="287"/>
      <c r="D149" s="46">
        <f>SUM(D144:D148)</f>
        <v>0</v>
      </c>
    </row>
    <row r="150" spans="1:5" x14ac:dyDescent="0.2">
      <c r="A150" s="86" t="s">
        <v>36</v>
      </c>
      <c r="B150" s="286" t="s">
        <v>145</v>
      </c>
      <c r="C150" s="286"/>
      <c r="D150" s="84">
        <f>+D141</f>
        <v>2.17</v>
      </c>
    </row>
    <row r="152" spans="1:5" x14ac:dyDescent="0.2">
      <c r="A152" s="288" t="s">
        <v>146</v>
      </c>
      <c r="B152" s="288"/>
      <c r="C152" s="288"/>
      <c r="D152" s="47">
        <f>ROUND(+D150+D149,2)</f>
        <v>2.17</v>
      </c>
    </row>
    <row r="154" spans="1:5" ht="36" customHeight="1" x14ac:dyDescent="0.2">
      <c r="A154" s="252" t="s">
        <v>242</v>
      </c>
      <c r="B154" s="252"/>
      <c r="C154" s="252"/>
      <c r="D154" s="252"/>
    </row>
    <row r="155" spans="1:5" x14ac:dyDescent="0.2">
      <c r="A155" s="285" t="s">
        <v>243</v>
      </c>
      <c r="B155" s="285"/>
      <c r="C155" s="285"/>
      <c r="D155" s="285"/>
      <c r="E155" s="118"/>
    </row>
    <row r="156" spans="1:5" ht="22.5" x14ac:dyDescent="0.25">
      <c r="A156" s="2"/>
      <c r="B156" s="138"/>
      <c r="C156" s="139" t="s">
        <v>244</v>
      </c>
      <c r="D156" s="140" t="s">
        <v>245</v>
      </c>
      <c r="E156" s="118"/>
    </row>
    <row r="157" spans="1:5" x14ac:dyDescent="0.2">
      <c r="A157" s="141" t="s">
        <v>246</v>
      </c>
      <c r="B157" s="141"/>
      <c r="C157" s="142">
        <f>ROUND((565/12),2)</f>
        <v>47.08</v>
      </c>
      <c r="D157" s="142">
        <f>ROUND(+C157/+(+Apresentacao!$E$35+Apresentacao!$E$36+Apresentacao!$E$38),2)</f>
        <v>0.59</v>
      </c>
      <c r="E157" s="118"/>
    </row>
    <row r="158" spans="1:5" x14ac:dyDescent="0.2">
      <c r="A158" s="141" t="s">
        <v>247</v>
      </c>
      <c r="B158" s="141"/>
      <c r="C158" s="142">
        <v>126</v>
      </c>
      <c r="D158" s="142">
        <f>ROUND(+C158/+(+Apresentacao!$E$35+Apresentacao!$E$36+Apresentacao!$E$38),2)</f>
        <v>1.58</v>
      </c>
      <c r="E158" s="118"/>
    </row>
    <row r="159" spans="1:5" x14ac:dyDescent="0.2">
      <c r="A159" s="118"/>
      <c r="B159" s="118"/>
      <c r="C159" s="118"/>
      <c r="D159" s="118"/>
      <c r="E159" s="118"/>
    </row>
    <row r="160" spans="1:5" x14ac:dyDescent="0.2">
      <c r="A160" s="118"/>
      <c r="B160" s="118"/>
      <c r="C160" s="118"/>
      <c r="D160" s="118"/>
      <c r="E160" s="118"/>
    </row>
    <row r="161" spans="1:5" x14ac:dyDescent="0.2">
      <c r="A161" s="118"/>
      <c r="B161" s="118"/>
      <c r="C161" s="118"/>
      <c r="D161" s="118"/>
      <c r="E161" s="118"/>
    </row>
    <row r="162" spans="1:5" x14ac:dyDescent="0.2">
      <c r="A162" s="118"/>
      <c r="B162" s="118"/>
      <c r="C162" s="118"/>
      <c r="D162" s="118"/>
      <c r="E162" s="118"/>
    </row>
    <row r="163" spans="1:5" x14ac:dyDescent="0.2">
      <c r="A163" s="118"/>
      <c r="B163" s="118"/>
      <c r="C163" s="118"/>
      <c r="D163" s="118"/>
      <c r="E163" s="118"/>
    </row>
    <row r="164" spans="1:5" x14ac:dyDescent="0.2">
      <c r="A164" s="118"/>
      <c r="B164" s="118"/>
      <c r="C164" s="118"/>
      <c r="D164" s="118"/>
      <c r="E164" s="118"/>
    </row>
    <row r="165" spans="1:5" x14ac:dyDescent="0.2">
      <c r="A165" s="118"/>
      <c r="B165" s="118"/>
      <c r="C165" s="118"/>
      <c r="D165" s="118"/>
      <c r="E165" s="118"/>
    </row>
    <row r="166" spans="1:5" x14ac:dyDescent="0.2">
      <c r="A166" s="118"/>
      <c r="B166" s="118"/>
      <c r="C166" s="118"/>
      <c r="D166" s="118"/>
      <c r="E166" s="118"/>
    </row>
    <row r="167" spans="1:5" x14ac:dyDescent="0.2">
      <c r="A167" s="118"/>
      <c r="B167" s="118"/>
      <c r="C167" s="118"/>
      <c r="D167" s="118"/>
      <c r="E167" s="118"/>
    </row>
  </sheetData>
  <mergeCells count="79">
    <mergeCell ref="A155:D155"/>
    <mergeCell ref="B147:C147"/>
    <mergeCell ref="B148:C148"/>
    <mergeCell ref="B149:C149"/>
    <mergeCell ref="B150:C150"/>
    <mergeCell ref="A152:C152"/>
    <mergeCell ref="A154:D154"/>
    <mergeCell ref="B146:C146"/>
    <mergeCell ref="B114:C114"/>
    <mergeCell ref="B116:C116"/>
    <mergeCell ref="B118:C118"/>
    <mergeCell ref="A120:C120"/>
    <mergeCell ref="A122:D122"/>
    <mergeCell ref="A127:C127"/>
    <mergeCell ref="A128:C128"/>
    <mergeCell ref="A141:B141"/>
    <mergeCell ref="A143:D143"/>
    <mergeCell ref="B144:C144"/>
    <mergeCell ref="B145:C145"/>
    <mergeCell ref="B112:C112"/>
    <mergeCell ref="A96:C96"/>
    <mergeCell ref="B98:C98"/>
    <mergeCell ref="B99:C99"/>
    <mergeCell ref="A100:C100"/>
    <mergeCell ref="B103:C103"/>
    <mergeCell ref="B104:C104"/>
    <mergeCell ref="B105:C105"/>
    <mergeCell ref="B106:C106"/>
    <mergeCell ref="A107:C107"/>
    <mergeCell ref="A109:D109"/>
    <mergeCell ref="B111:C111"/>
    <mergeCell ref="B95:C95"/>
    <mergeCell ref="B83:C83"/>
    <mergeCell ref="B84:C84"/>
    <mergeCell ref="B85:C85"/>
    <mergeCell ref="B86:C86"/>
    <mergeCell ref="B87:C87"/>
    <mergeCell ref="B88:C88"/>
    <mergeCell ref="A89:C89"/>
    <mergeCell ref="B91:C91"/>
    <mergeCell ref="B92:C92"/>
    <mergeCell ref="B93:C93"/>
    <mergeCell ref="B94:C94"/>
    <mergeCell ref="B82:C82"/>
    <mergeCell ref="B60:C60"/>
    <mergeCell ref="B61:C61"/>
    <mergeCell ref="B62:C62"/>
    <mergeCell ref="B63:C63"/>
    <mergeCell ref="A64:C64"/>
    <mergeCell ref="A66:D66"/>
    <mergeCell ref="A75:C75"/>
    <mergeCell ref="A77:D77"/>
    <mergeCell ref="A79:D79"/>
    <mergeCell ref="B80:C80"/>
    <mergeCell ref="B81:C81"/>
    <mergeCell ref="A59:D59"/>
    <mergeCell ref="B18:C18"/>
    <mergeCell ref="B19:C19"/>
    <mergeCell ref="B21:C21"/>
    <mergeCell ref="B22:C22"/>
    <mergeCell ref="A23:C23"/>
    <mergeCell ref="A25:D25"/>
    <mergeCell ref="A27:D27"/>
    <mergeCell ref="A33:C33"/>
    <mergeCell ref="A35:D35"/>
    <mergeCell ref="A47:D47"/>
    <mergeCell ref="A57:B57"/>
    <mergeCell ref="B17:C17"/>
    <mergeCell ref="A1:D1"/>
    <mergeCell ref="A3:D3"/>
    <mergeCell ref="C4:D4"/>
    <mergeCell ref="C5:D5"/>
    <mergeCell ref="C6:D6"/>
    <mergeCell ref="C7:D7"/>
    <mergeCell ref="C8:D8"/>
    <mergeCell ref="A10:D10"/>
    <mergeCell ref="B12:C12"/>
    <mergeCell ref="B15:C15"/>
    <mergeCell ref="B16:C16"/>
  </mergeCells>
  <pageMargins left="0.51181102362204722" right="0.51181102362204722" top="0.78740157480314965" bottom="0.78740157480314965" header="0.31496062992125984" footer="0.31496062992125984"/>
  <pageSetup paperSize="9" scale="70" orientation="portrait" r:id="rId1"/>
  <headerFooter>
    <oddFooter>&amp;A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C164"/>
  <sheetViews>
    <sheetView workbookViewId="0">
      <selection activeCell="A30" sqref="A30"/>
    </sheetView>
  </sheetViews>
  <sheetFormatPr defaultRowHeight="12.75" x14ac:dyDescent="0.2"/>
  <cols>
    <col min="1" max="1" width="73.5703125" style="71" customWidth="1"/>
    <col min="2" max="2" width="16.42578125" style="71" bestFit="1" customWidth="1"/>
    <col min="3" max="3" width="16.85546875" style="71" customWidth="1"/>
    <col min="4" max="4" width="10.7109375" style="71" bestFit="1" customWidth="1"/>
    <col min="5" max="5" width="79" style="71" customWidth="1"/>
    <col min="6" max="16384" width="9.140625" style="71"/>
  </cols>
  <sheetData>
    <row r="1" spans="1:3" ht="36.75" customHeight="1" x14ac:dyDescent="0.2">
      <c r="A1" s="404" t="s">
        <v>284</v>
      </c>
      <c r="B1" s="404"/>
      <c r="C1" s="404"/>
    </row>
    <row r="3" spans="1:3" x14ac:dyDescent="0.2">
      <c r="A3" s="86" t="s">
        <v>147</v>
      </c>
      <c r="B3" s="86">
        <v>220</v>
      </c>
    </row>
    <row r="4" spans="1:3" x14ac:dyDescent="0.2">
      <c r="A4" s="86" t="s">
        <v>148</v>
      </c>
      <c r="B4" s="86">
        <v>365.25</v>
      </c>
    </row>
    <row r="5" spans="1:3" x14ac:dyDescent="0.2">
      <c r="A5" s="86" t="s">
        <v>149</v>
      </c>
      <c r="B5" s="49">
        <f>(365.25/12)/(7/7)/2</f>
        <v>15.21875</v>
      </c>
    </row>
    <row r="6" spans="1:3" x14ac:dyDescent="0.2">
      <c r="A6" s="95" t="s">
        <v>30</v>
      </c>
      <c r="B6" s="90">
        <f>+'Copeiragem Diurno'!D12</f>
        <v>0</v>
      </c>
    </row>
    <row r="7" spans="1:3" x14ac:dyDescent="0.2">
      <c r="A7" s="95" t="s">
        <v>150</v>
      </c>
      <c r="B7" s="90">
        <f>+'Copeiragem Diurno'!D23</f>
        <v>0</v>
      </c>
    </row>
    <row r="9" spans="1:3" x14ac:dyDescent="0.2">
      <c r="A9" s="353" t="s">
        <v>151</v>
      </c>
      <c r="B9" s="354"/>
      <c r="C9" s="355"/>
    </row>
    <row r="10" spans="1:3" x14ac:dyDescent="0.2">
      <c r="A10" s="86" t="s">
        <v>152</v>
      </c>
      <c r="B10" s="86">
        <f>+$B$4</f>
        <v>365.25</v>
      </c>
      <c r="C10" s="107"/>
    </row>
    <row r="11" spans="1:3" x14ac:dyDescent="0.2">
      <c r="A11" s="86" t="s">
        <v>153</v>
      </c>
      <c r="B11" s="95">
        <v>12</v>
      </c>
      <c r="C11" s="107"/>
    </row>
    <row r="12" spans="1:3" x14ac:dyDescent="0.2">
      <c r="A12" s="86" t="s">
        <v>154</v>
      </c>
      <c r="B12" s="89">
        <v>1</v>
      </c>
      <c r="C12" s="107"/>
    </row>
    <row r="13" spans="1:3" x14ac:dyDescent="0.2">
      <c r="A13" s="95" t="s">
        <v>155</v>
      </c>
      <c r="B13" s="119">
        <f>+B5</f>
        <v>15.21875</v>
      </c>
      <c r="C13" s="107"/>
    </row>
    <row r="14" spans="1:3" x14ac:dyDescent="0.2">
      <c r="A14" s="101" t="s">
        <v>156</v>
      </c>
      <c r="B14" s="120"/>
      <c r="C14" s="107"/>
    </row>
    <row r="15" spans="1:3" x14ac:dyDescent="0.2">
      <c r="A15" s="86" t="s">
        <v>157</v>
      </c>
      <c r="B15" s="89">
        <v>0.06</v>
      </c>
      <c r="C15" s="107"/>
    </row>
    <row r="16" spans="1:3" x14ac:dyDescent="0.2">
      <c r="A16" s="334" t="s">
        <v>158</v>
      </c>
      <c r="B16" s="335"/>
      <c r="C16" s="48">
        <f>ROUND((B13*(B14*2)-($B$6*B15)),2)</f>
        <v>0</v>
      </c>
    </row>
    <row r="18" spans="1:3" x14ac:dyDescent="0.2">
      <c r="A18" s="353" t="s">
        <v>159</v>
      </c>
      <c r="B18" s="354"/>
      <c r="C18" s="355"/>
    </row>
    <row r="19" spans="1:3" x14ac:dyDescent="0.2">
      <c r="A19" s="86" t="s">
        <v>152</v>
      </c>
      <c r="B19" s="86">
        <f>+$B$4</f>
        <v>365.25</v>
      </c>
      <c r="C19" s="107"/>
    </row>
    <row r="20" spans="1:3" x14ac:dyDescent="0.2">
      <c r="A20" s="86" t="s">
        <v>153</v>
      </c>
      <c r="B20" s="95">
        <v>12</v>
      </c>
      <c r="C20" s="107"/>
    </row>
    <row r="21" spans="1:3" x14ac:dyDescent="0.2">
      <c r="A21" s="86" t="s">
        <v>154</v>
      </c>
      <c r="B21" s="89">
        <v>1</v>
      </c>
      <c r="C21" s="107"/>
    </row>
    <row r="22" spans="1:3" x14ac:dyDescent="0.2">
      <c r="A22" s="95" t="s">
        <v>155</v>
      </c>
      <c r="B22" s="119">
        <f>+B5</f>
        <v>15.21875</v>
      </c>
      <c r="C22" s="107"/>
    </row>
    <row r="23" spans="1:3" x14ac:dyDescent="0.2">
      <c r="A23" s="101" t="s">
        <v>160</v>
      </c>
      <c r="B23" s="120"/>
      <c r="C23" s="107"/>
    </row>
    <row r="24" spans="1:3" x14ac:dyDescent="0.2">
      <c r="A24" s="86" t="s">
        <v>161</v>
      </c>
      <c r="B24" s="89">
        <v>0.1</v>
      </c>
      <c r="C24" s="107"/>
    </row>
    <row r="25" spans="1:3" x14ac:dyDescent="0.2">
      <c r="A25" s="334" t="s">
        <v>160</v>
      </c>
      <c r="B25" s="335"/>
      <c r="C25" s="48">
        <f>ROUND((B22*(B23)-((B22*B23)*B24)),2)</f>
        <v>0</v>
      </c>
    </row>
    <row r="27" spans="1:3" x14ac:dyDescent="0.2">
      <c r="A27" s="353" t="s">
        <v>162</v>
      </c>
      <c r="B27" s="354"/>
      <c r="C27" s="355"/>
    </row>
    <row r="28" spans="1:3" x14ac:dyDescent="0.2">
      <c r="A28" s="86" t="s">
        <v>163</v>
      </c>
      <c r="B28" s="90">
        <f>+B7</f>
        <v>0</v>
      </c>
      <c r="C28" s="107"/>
    </row>
    <row r="29" spans="1:3" x14ac:dyDescent="0.2">
      <c r="A29" s="86" t="s">
        <v>164</v>
      </c>
      <c r="B29" s="86">
        <v>12</v>
      </c>
      <c r="C29" s="107"/>
    </row>
    <row r="30" spans="1:3" x14ac:dyDescent="0.2">
      <c r="A30" s="101" t="s">
        <v>165</v>
      </c>
      <c r="B30" s="116"/>
      <c r="C30" s="107"/>
    </row>
    <row r="31" spans="1:3" x14ac:dyDescent="0.2">
      <c r="A31" s="334" t="s">
        <v>166</v>
      </c>
      <c r="B31" s="335"/>
      <c r="C31" s="48">
        <f>ROUND(+(B28/B29)*B30,2)</f>
        <v>0</v>
      </c>
    </row>
    <row r="33" spans="1:3" x14ac:dyDescent="0.2">
      <c r="A33" s="336" t="s">
        <v>167</v>
      </c>
      <c r="B33" s="337"/>
      <c r="C33" s="338"/>
    </row>
    <row r="34" spans="1:3" s="97" customFormat="1" x14ac:dyDescent="0.2">
      <c r="A34" s="121" t="s">
        <v>168</v>
      </c>
      <c r="B34" s="116">
        <f>+B30</f>
        <v>0</v>
      </c>
      <c r="C34" s="107"/>
    </row>
    <row r="35" spans="1:3" x14ac:dyDescent="0.2">
      <c r="A35" s="86" t="s">
        <v>169</v>
      </c>
      <c r="B35" s="90">
        <f>+'Copeiragem Diurno'!$D$23</f>
        <v>0</v>
      </c>
      <c r="C35" s="107"/>
    </row>
    <row r="36" spans="1:3" x14ac:dyDescent="0.2">
      <c r="A36" s="86" t="s">
        <v>53</v>
      </c>
      <c r="B36" s="90">
        <f>+'Copeiragem Diurno'!$D$29</f>
        <v>0</v>
      </c>
      <c r="C36" s="107"/>
    </row>
    <row r="37" spans="1:3" x14ac:dyDescent="0.2">
      <c r="A37" s="86" t="s">
        <v>56</v>
      </c>
      <c r="B37" s="90">
        <f>+'Copeiragem Diurno'!$D$31</f>
        <v>0</v>
      </c>
      <c r="C37" s="107"/>
    </row>
    <row r="38" spans="1:3" x14ac:dyDescent="0.2">
      <c r="A38" s="86" t="s">
        <v>58</v>
      </c>
      <c r="B38" s="90">
        <f>+'Copeiragem Diurno'!$D$32</f>
        <v>0</v>
      </c>
      <c r="C38" s="107"/>
    </row>
    <row r="39" spans="1:3" x14ac:dyDescent="0.2">
      <c r="A39" s="50" t="s">
        <v>170</v>
      </c>
      <c r="B39" s="51">
        <f>SUM(B35:B38)</f>
        <v>0</v>
      </c>
      <c r="C39" s="107"/>
    </row>
    <row r="40" spans="1:3" x14ac:dyDescent="0.2">
      <c r="A40" s="95" t="s">
        <v>171</v>
      </c>
      <c r="B40" s="89">
        <v>0.4</v>
      </c>
      <c r="C40" s="107"/>
    </row>
    <row r="41" spans="1:3" x14ac:dyDescent="0.2">
      <c r="A41" s="95" t="s">
        <v>172</v>
      </c>
      <c r="B41" s="89">
        <f>+'Copeiragem Diurno'!$C$44</f>
        <v>0.08</v>
      </c>
      <c r="C41" s="107"/>
    </row>
    <row r="42" spans="1:3" x14ac:dyDescent="0.2">
      <c r="A42" s="305" t="s">
        <v>173</v>
      </c>
      <c r="B42" s="306"/>
      <c r="C42" s="41">
        <f>ROUND(+B39*B40*B41*B34,2)</f>
        <v>0</v>
      </c>
    </row>
    <row r="43" spans="1:3" x14ac:dyDescent="0.2">
      <c r="A43" s="95" t="s">
        <v>265</v>
      </c>
      <c r="B43" s="89"/>
      <c r="C43" s="107"/>
    </row>
    <row r="44" spans="1:3" x14ac:dyDescent="0.2">
      <c r="A44" s="305" t="s">
        <v>266</v>
      </c>
      <c r="B44" s="306"/>
      <c r="C44" s="163"/>
    </row>
    <row r="45" spans="1:3" x14ac:dyDescent="0.2">
      <c r="A45" s="334" t="s">
        <v>174</v>
      </c>
      <c r="B45" s="335"/>
      <c r="C45" s="42">
        <f>+C42</f>
        <v>0</v>
      </c>
    </row>
    <row r="47" spans="1:3" x14ac:dyDescent="0.2">
      <c r="A47" s="353" t="s">
        <v>175</v>
      </c>
      <c r="B47" s="354"/>
      <c r="C47" s="355"/>
    </row>
    <row r="48" spans="1:3" x14ac:dyDescent="0.2">
      <c r="A48" s="86" t="s">
        <v>163</v>
      </c>
      <c r="B48" s="90">
        <f>+B7</f>
        <v>0</v>
      </c>
      <c r="C48" s="107"/>
    </row>
    <row r="49" spans="1:3" x14ac:dyDescent="0.2">
      <c r="A49" s="86" t="s">
        <v>176</v>
      </c>
      <c r="B49" s="122">
        <v>30</v>
      </c>
      <c r="C49" s="107"/>
    </row>
    <row r="50" spans="1:3" x14ac:dyDescent="0.2">
      <c r="A50" s="86" t="s">
        <v>164</v>
      </c>
      <c r="B50" s="86">
        <v>12</v>
      </c>
      <c r="C50" s="107"/>
    </row>
    <row r="51" spans="1:3" x14ac:dyDescent="0.2">
      <c r="A51" s="86" t="s">
        <v>177</v>
      </c>
      <c r="B51" s="86">
        <v>7</v>
      </c>
      <c r="C51" s="107"/>
    </row>
    <row r="52" spans="1:3" x14ac:dyDescent="0.2">
      <c r="A52" s="101" t="s">
        <v>178</v>
      </c>
      <c r="B52" s="116"/>
      <c r="C52" s="107"/>
    </row>
    <row r="53" spans="1:3" x14ac:dyDescent="0.2">
      <c r="A53" s="334" t="s">
        <v>179</v>
      </c>
      <c r="B53" s="335"/>
      <c r="C53" s="48">
        <f>+ROUND(((B48/B49/B50)*B51)*B52,2)</f>
        <v>0</v>
      </c>
    </row>
    <row r="55" spans="1:3" x14ac:dyDescent="0.2">
      <c r="A55" s="336" t="s">
        <v>180</v>
      </c>
      <c r="B55" s="337"/>
      <c r="C55" s="338"/>
    </row>
    <row r="56" spans="1:3" x14ac:dyDescent="0.2">
      <c r="A56" s="121" t="s">
        <v>181</v>
      </c>
      <c r="B56" s="116">
        <f>+B52</f>
        <v>0</v>
      </c>
      <c r="C56" s="107"/>
    </row>
    <row r="57" spans="1:3" x14ac:dyDescent="0.2">
      <c r="A57" s="86" t="s">
        <v>169</v>
      </c>
      <c r="B57" s="90">
        <f>+'Copeiragem Diurno'!$D$23</f>
        <v>0</v>
      </c>
      <c r="C57" s="107"/>
    </row>
    <row r="58" spans="1:3" x14ac:dyDescent="0.2">
      <c r="A58" s="86" t="s">
        <v>53</v>
      </c>
      <c r="B58" s="90">
        <f>+'Copeiragem Diurno'!$D$29</f>
        <v>0</v>
      </c>
      <c r="C58" s="107"/>
    </row>
    <row r="59" spans="1:3" x14ac:dyDescent="0.2">
      <c r="A59" s="86" t="s">
        <v>56</v>
      </c>
      <c r="B59" s="90">
        <f>+'Copeiragem Diurno'!$D$31</f>
        <v>0</v>
      </c>
      <c r="C59" s="107"/>
    </row>
    <row r="60" spans="1:3" x14ac:dyDescent="0.2">
      <c r="A60" s="86" t="s">
        <v>58</v>
      </c>
      <c r="B60" s="90">
        <f>+'Copeiragem Diurno'!$D$32</f>
        <v>0</v>
      </c>
      <c r="C60" s="107"/>
    </row>
    <row r="61" spans="1:3" x14ac:dyDescent="0.2">
      <c r="A61" s="50" t="s">
        <v>170</v>
      </c>
      <c r="B61" s="51">
        <f>SUM(B57:B60)</f>
        <v>0</v>
      </c>
      <c r="C61" s="107"/>
    </row>
    <row r="62" spans="1:3" x14ac:dyDescent="0.2">
      <c r="A62" s="95" t="s">
        <v>171</v>
      </c>
      <c r="B62" s="89">
        <v>0.4</v>
      </c>
      <c r="C62" s="107"/>
    </row>
    <row r="63" spans="1:3" x14ac:dyDescent="0.2">
      <c r="A63" s="95" t="s">
        <v>172</v>
      </c>
      <c r="B63" s="89">
        <f>+'Copeiragem Diurno'!$C$44</f>
        <v>0.08</v>
      </c>
      <c r="C63" s="107"/>
    </row>
    <row r="64" spans="1:3" x14ac:dyDescent="0.2">
      <c r="A64" s="305" t="s">
        <v>173</v>
      </c>
      <c r="B64" s="306"/>
      <c r="C64" s="41">
        <f>ROUND(+B61*B62*B63*B56,2)</f>
        <v>0</v>
      </c>
    </row>
    <row r="65" spans="1:3" x14ac:dyDescent="0.2">
      <c r="A65" s="95" t="s">
        <v>265</v>
      </c>
      <c r="B65" s="89"/>
      <c r="C65" s="107"/>
    </row>
    <row r="66" spans="1:3" x14ac:dyDescent="0.2">
      <c r="A66" s="305" t="s">
        <v>266</v>
      </c>
      <c r="B66" s="306"/>
      <c r="C66" s="163"/>
    </row>
    <row r="67" spans="1:3" x14ac:dyDescent="0.2">
      <c r="A67" s="334" t="s">
        <v>182</v>
      </c>
      <c r="B67" s="335"/>
      <c r="C67" s="42">
        <f>+C64</f>
        <v>0</v>
      </c>
    </row>
    <row r="69" spans="1:3" x14ac:dyDescent="0.2">
      <c r="A69" s="336" t="s">
        <v>183</v>
      </c>
      <c r="B69" s="337"/>
      <c r="C69" s="338"/>
    </row>
    <row r="70" spans="1:3" x14ac:dyDescent="0.2">
      <c r="A70" s="343" t="s">
        <v>184</v>
      </c>
      <c r="B70" s="344"/>
      <c r="C70" s="345"/>
    </row>
    <row r="71" spans="1:3" x14ac:dyDescent="0.2">
      <c r="A71" s="346"/>
      <c r="B71" s="347"/>
      <c r="C71" s="348"/>
    </row>
    <row r="72" spans="1:3" x14ac:dyDescent="0.2">
      <c r="A72" s="346"/>
      <c r="B72" s="347"/>
      <c r="C72" s="348"/>
    </row>
    <row r="73" spans="1:3" x14ac:dyDescent="0.2">
      <c r="A73" s="349"/>
      <c r="B73" s="350"/>
      <c r="C73" s="351"/>
    </row>
    <row r="74" spans="1:3" x14ac:dyDescent="0.2">
      <c r="A74" s="123"/>
      <c r="B74" s="123"/>
      <c r="C74" s="123"/>
    </row>
    <row r="75" spans="1:3" x14ac:dyDescent="0.2">
      <c r="A75" s="336" t="s">
        <v>185</v>
      </c>
      <c r="B75" s="337"/>
      <c r="C75" s="338"/>
    </row>
    <row r="76" spans="1:3" x14ac:dyDescent="0.2">
      <c r="A76" s="86" t="s">
        <v>186</v>
      </c>
      <c r="B76" s="90">
        <f>+$B$7</f>
        <v>0</v>
      </c>
      <c r="C76" s="107"/>
    </row>
    <row r="77" spans="1:3" x14ac:dyDescent="0.2">
      <c r="A77" s="86" t="s">
        <v>153</v>
      </c>
      <c r="B77" s="86">
        <v>30</v>
      </c>
      <c r="C77" s="107"/>
    </row>
    <row r="78" spans="1:3" x14ac:dyDescent="0.2">
      <c r="A78" s="86" t="s">
        <v>187</v>
      </c>
      <c r="B78" s="86">
        <v>12</v>
      </c>
      <c r="C78" s="107"/>
    </row>
    <row r="79" spans="1:3" x14ac:dyDescent="0.2">
      <c r="A79" s="101" t="s">
        <v>188</v>
      </c>
      <c r="B79" s="101"/>
      <c r="C79" s="107"/>
    </row>
    <row r="80" spans="1:3" x14ac:dyDescent="0.2">
      <c r="A80" s="334" t="s">
        <v>189</v>
      </c>
      <c r="B80" s="335"/>
      <c r="C80" s="36">
        <f>+ROUND((B76/B77/B78)*B79,2)</f>
        <v>0</v>
      </c>
    </row>
    <row r="82" spans="1:3" x14ac:dyDescent="0.2">
      <c r="A82" s="336" t="s">
        <v>190</v>
      </c>
      <c r="B82" s="337"/>
      <c r="C82" s="338"/>
    </row>
    <row r="83" spans="1:3" x14ac:dyDescent="0.2">
      <c r="A83" s="86" t="s">
        <v>186</v>
      </c>
      <c r="B83" s="90">
        <f>+$B$7</f>
        <v>0</v>
      </c>
      <c r="C83" s="107"/>
    </row>
    <row r="84" spans="1:3" x14ac:dyDescent="0.2">
      <c r="A84" s="86" t="s">
        <v>153</v>
      </c>
      <c r="B84" s="86">
        <v>30</v>
      </c>
      <c r="C84" s="107"/>
    </row>
    <row r="85" spans="1:3" x14ac:dyDescent="0.2">
      <c r="A85" s="86" t="s">
        <v>187</v>
      </c>
      <c r="B85" s="86">
        <v>12</v>
      </c>
      <c r="C85" s="107"/>
    </row>
    <row r="86" spans="1:3" x14ac:dyDescent="0.2">
      <c r="A86" s="95" t="s">
        <v>191</v>
      </c>
      <c r="B86" s="86">
        <v>5</v>
      </c>
      <c r="C86" s="107"/>
    </row>
    <row r="87" spans="1:3" x14ac:dyDescent="0.2">
      <c r="A87" s="101" t="s">
        <v>192</v>
      </c>
      <c r="B87" s="116"/>
      <c r="C87" s="107"/>
    </row>
    <row r="88" spans="1:3" x14ac:dyDescent="0.2">
      <c r="A88" s="101" t="s">
        <v>193</v>
      </c>
      <c r="B88" s="116"/>
      <c r="C88" s="107"/>
    </row>
    <row r="89" spans="1:3" x14ac:dyDescent="0.2">
      <c r="A89" s="334" t="s">
        <v>194</v>
      </c>
      <c r="B89" s="335"/>
      <c r="C89" s="48">
        <f>ROUND(+B83/B84/B85*B86*B87*B88,2)</f>
        <v>0</v>
      </c>
    </row>
    <row r="91" spans="1:3" x14ac:dyDescent="0.2">
      <c r="A91" s="336" t="s">
        <v>195</v>
      </c>
      <c r="B91" s="337"/>
      <c r="C91" s="338"/>
    </row>
    <row r="92" spans="1:3" x14ac:dyDescent="0.2">
      <c r="A92" s="86" t="s">
        <v>186</v>
      </c>
      <c r="B92" s="90">
        <f>+$B$7</f>
        <v>0</v>
      </c>
      <c r="C92" s="107"/>
    </row>
    <row r="93" spans="1:3" x14ac:dyDescent="0.2">
      <c r="A93" s="86" t="s">
        <v>153</v>
      </c>
      <c r="B93" s="86">
        <v>30</v>
      </c>
      <c r="C93" s="107"/>
    </row>
    <row r="94" spans="1:3" x14ac:dyDescent="0.2">
      <c r="A94" s="86" t="s">
        <v>187</v>
      </c>
      <c r="B94" s="86">
        <v>12</v>
      </c>
      <c r="C94" s="107"/>
    </row>
    <row r="95" spans="1:3" x14ac:dyDescent="0.2">
      <c r="A95" s="95" t="s">
        <v>196</v>
      </c>
      <c r="B95" s="86">
        <v>15</v>
      </c>
      <c r="C95" s="107"/>
    </row>
    <row r="96" spans="1:3" x14ac:dyDescent="0.2">
      <c r="A96" s="101" t="s">
        <v>197</v>
      </c>
      <c r="B96" s="116"/>
      <c r="C96" s="107"/>
    </row>
    <row r="97" spans="1:3" x14ac:dyDescent="0.2">
      <c r="A97" s="334" t="s">
        <v>198</v>
      </c>
      <c r="B97" s="335"/>
      <c r="C97" s="48">
        <f>ROUND(+B92/B93/B94*B95*B96,2)</f>
        <v>0</v>
      </c>
    </row>
    <row r="99" spans="1:3" x14ac:dyDescent="0.2">
      <c r="A99" s="336" t="s">
        <v>199</v>
      </c>
      <c r="B99" s="337"/>
      <c r="C99" s="338"/>
    </row>
    <row r="100" spans="1:3" x14ac:dyDescent="0.2">
      <c r="A100" s="86" t="s">
        <v>186</v>
      </c>
      <c r="B100" s="90">
        <f>+$B$7</f>
        <v>0</v>
      </c>
      <c r="C100" s="107"/>
    </row>
    <row r="101" spans="1:3" x14ac:dyDescent="0.2">
      <c r="A101" s="86" t="s">
        <v>153</v>
      </c>
      <c r="B101" s="86">
        <v>30</v>
      </c>
      <c r="C101" s="107"/>
    </row>
    <row r="102" spans="1:3" x14ac:dyDescent="0.2">
      <c r="A102" s="86" t="s">
        <v>187</v>
      </c>
      <c r="B102" s="86">
        <v>12</v>
      </c>
      <c r="C102" s="107"/>
    </row>
    <row r="103" spans="1:3" x14ac:dyDescent="0.2">
      <c r="A103" s="95" t="s">
        <v>196</v>
      </c>
      <c r="B103" s="86">
        <v>5</v>
      </c>
      <c r="C103" s="107"/>
    </row>
    <row r="104" spans="1:3" x14ac:dyDescent="0.2">
      <c r="A104" s="101" t="s">
        <v>200</v>
      </c>
      <c r="B104" s="116"/>
      <c r="C104" s="107"/>
    </row>
    <row r="105" spans="1:3" x14ac:dyDescent="0.2">
      <c r="A105" s="334" t="s">
        <v>201</v>
      </c>
      <c r="B105" s="335"/>
      <c r="C105" s="48">
        <f>ROUND(+B100/B101/B102*B103*B104,2)</f>
        <v>0</v>
      </c>
    </row>
    <row r="107" spans="1:3" x14ac:dyDescent="0.2">
      <c r="A107" s="336" t="s">
        <v>202</v>
      </c>
      <c r="B107" s="337"/>
      <c r="C107" s="338"/>
    </row>
    <row r="108" spans="1:3" x14ac:dyDescent="0.2">
      <c r="A108" s="339" t="s">
        <v>203</v>
      </c>
      <c r="B108" s="340"/>
      <c r="C108" s="341"/>
    </row>
    <row r="109" spans="1:3" x14ac:dyDescent="0.2">
      <c r="A109" s="86" t="s">
        <v>186</v>
      </c>
      <c r="B109" s="90">
        <f>+$B$7</f>
        <v>0</v>
      </c>
      <c r="C109" s="107"/>
    </row>
    <row r="110" spans="1:3" x14ac:dyDescent="0.2">
      <c r="A110" s="86" t="s">
        <v>204</v>
      </c>
      <c r="B110" s="90">
        <f>+B109*(1/3)</f>
        <v>0</v>
      </c>
      <c r="C110" s="107"/>
    </row>
    <row r="111" spans="1:3" x14ac:dyDescent="0.2">
      <c r="A111" s="50" t="s">
        <v>170</v>
      </c>
      <c r="B111" s="51">
        <f>SUM(B109:B110)</f>
        <v>0</v>
      </c>
      <c r="C111" s="107"/>
    </row>
    <row r="112" spans="1:3" x14ac:dyDescent="0.2">
      <c r="A112" s="86" t="s">
        <v>205</v>
      </c>
      <c r="B112" s="86">
        <v>4</v>
      </c>
      <c r="C112" s="107"/>
    </row>
    <row r="113" spans="1:3" x14ac:dyDescent="0.2">
      <c r="A113" s="86" t="s">
        <v>187</v>
      </c>
      <c r="B113" s="86">
        <v>12</v>
      </c>
      <c r="C113" s="107"/>
    </row>
    <row r="114" spans="1:3" x14ac:dyDescent="0.2">
      <c r="A114" s="101" t="s">
        <v>206</v>
      </c>
      <c r="B114" s="116"/>
      <c r="C114" s="107"/>
    </row>
    <row r="115" spans="1:3" x14ac:dyDescent="0.2">
      <c r="A115" s="101" t="s">
        <v>207</v>
      </c>
      <c r="B115" s="116"/>
      <c r="C115" s="107"/>
    </row>
    <row r="116" spans="1:3" x14ac:dyDescent="0.2">
      <c r="A116" s="334" t="s">
        <v>208</v>
      </c>
      <c r="B116" s="335"/>
      <c r="C116" s="48">
        <f>ROUND((((+B111*(B112/B113)/B113)*B114)*B115),2)</f>
        <v>0</v>
      </c>
    </row>
    <row r="117" spans="1:3" x14ac:dyDescent="0.2">
      <c r="A117" s="334" t="s">
        <v>209</v>
      </c>
      <c r="B117" s="342"/>
      <c r="C117" s="335"/>
    </row>
    <row r="118" spans="1:3" x14ac:dyDescent="0.2">
      <c r="A118" s="86" t="s">
        <v>186</v>
      </c>
      <c r="B118" s="90">
        <f>+'Copeiragem Diurno'!D23</f>
        <v>0</v>
      </c>
      <c r="C118" s="107"/>
    </row>
    <row r="119" spans="1:3" x14ac:dyDescent="0.2">
      <c r="A119" s="86" t="s">
        <v>53</v>
      </c>
      <c r="B119" s="90">
        <f>+'Copeiragem Diurno'!D29</f>
        <v>0</v>
      </c>
      <c r="C119" s="107"/>
    </row>
    <row r="120" spans="1:3" x14ac:dyDescent="0.2">
      <c r="A120" s="50" t="s">
        <v>170</v>
      </c>
      <c r="B120" s="51">
        <f>SUM(B118:B119)</f>
        <v>0</v>
      </c>
      <c r="C120" s="107"/>
    </row>
    <row r="121" spans="1:3" x14ac:dyDescent="0.2">
      <c r="A121" s="86" t="s">
        <v>205</v>
      </c>
      <c r="B121" s="86">
        <v>4</v>
      </c>
      <c r="C121" s="107"/>
    </row>
    <row r="122" spans="1:3" x14ac:dyDescent="0.2">
      <c r="A122" s="86" t="s">
        <v>187</v>
      </c>
      <c r="B122" s="86">
        <v>12</v>
      </c>
      <c r="C122" s="107"/>
    </row>
    <row r="123" spans="1:3" x14ac:dyDescent="0.2">
      <c r="A123" s="101" t="s">
        <v>206</v>
      </c>
      <c r="B123" s="116">
        <f>+B114</f>
        <v>0</v>
      </c>
      <c r="C123" s="107"/>
    </row>
    <row r="124" spans="1:3" x14ac:dyDescent="0.2">
      <c r="A124" s="101" t="s">
        <v>207</v>
      </c>
      <c r="B124" s="116">
        <f>+B115</f>
        <v>0</v>
      </c>
      <c r="C124" s="107"/>
    </row>
    <row r="125" spans="1:3" x14ac:dyDescent="0.2">
      <c r="A125" s="95" t="s">
        <v>210</v>
      </c>
      <c r="B125" s="89">
        <f>+'Copeiragem Diurno'!C45</f>
        <v>0.36800000000000005</v>
      </c>
      <c r="C125" s="107"/>
    </row>
    <row r="126" spans="1:3" x14ac:dyDescent="0.2">
      <c r="A126" s="334" t="s">
        <v>211</v>
      </c>
      <c r="B126" s="335"/>
      <c r="C126" s="42">
        <f>ROUND((((B120*(B121/B122)*B123)*B124)*B125),2)</f>
        <v>0</v>
      </c>
    </row>
    <row r="128" spans="1:3" ht="30.75" customHeight="1" x14ac:dyDescent="0.2">
      <c r="A128" s="333" t="s">
        <v>264</v>
      </c>
      <c r="B128" s="333"/>
      <c r="C128" s="333"/>
    </row>
    <row r="130" spans="1:3" x14ac:dyDescent="0.2">
      <c r="A130" s="375" t="s">
        <v>267</v>
      </c>
      <c r="B130" s="375"/>
      <c r="C130" s="375"/>
    </row>
    <row r="131" spans="1:3" x14ac:dyDescent="0.2">
      <c r="A131" s="86" t="s">
        <v>152</v>
      </c>
      <c r="B131" s="86">
        <v>365.25</v>
      </c>
      <c r="C131" s="107"/>
    </row>
    <row r="132" spans="1:3" x14ac:dyDescent="0.2">
      <c r="A132" s="86" t="s">
        <v>153</v>
      </c>
      <c r="B132" s="95">
        <v>12</v>
      </c>
      <c r="C132" s="107"/>
    </row>
    <row r="133" spans="1:3" x14ac:dyDescent="0.2">
      <c r="A133" s="86" t="s">
        <v>154</v>
      </c>
      <c r="B133" s="89">
        <v>0.5</v>
      </c>
      <c r="C133" s="107"/>
    </row>
    <row r="134" spans="1:3" x14ac:dyDescent="0.2">
      <c r="A134" s="164" t="s">
        <v>268</v>
      </c>
      <c r="B134" s="95">
        <v>7</v>
      </c>
      <c r="C134" s="107"/>
    </row>
    <row r="135" spans="1:3" x14ac:dyDescent="0.2">
      <c r="A135" s="95" t="s">
        <v>269</v>
      </c>
      <c r="B135" s="107"/>
      <c r="C135" s="90">
        <f>+'Copeiragem Diurno'!$D$12</f>
        <v>0</v>
      </c>
    </row>
    <row r="136" spans="1:3" x14ac:dyDescent="0.2">
      <c r="A136" s="95" t="s">
        <v>31</v>
      </c>
      <c r="B136" s="107"/>
      <c r="C136" s="90">
        <f>+'Copeiragem Diurno'!$D$13</f>
        <v>0</v>
      </c>
    </row>
    <row r="137" spans="1:3" x14ac:dyDescent="0.2">
      <c r="A137" s="95" t="s">
        <v>32</v>
      </c>
      <c r="B137" s="107"/>
      <c r="C137" s="90">
        <f>+'Copeiragem Diurno'!$D$14</f>
        <v>0</v>
      </c>
    </row>
    <row r="138" spans="1:3" x14ac:dyDescent="0.2">
      <c r="A138" s="50" t="s">
        <v>270</v>
      </c>
      <c r="B138" s="107"/>
      <c r="C138" s="51">
        <f>SUM(C135:C137)</f>
        <v>0</v>
      </c>
    </row>
    <row r="139" spans="1:3" x14ac:dyDescent="0.2">
      <c r="A139" s="86" t="s">
        <v>147</v>
      </c>
      <c r="B139" s="165">
        <f>+B3</f>
        <v>220</v>
      </c>
      <c r="C139" s="107"/>
    </row>
    <row r="140" spans="1:3" x14ac:dyDescent="0.2">
      <c r="A140" s="95" t="s">
        <v>271</v>
      </c>
      <c r="B140" s="89">
        <v>0.2</v>
      </c>
      <c r="C140" s="107"/>
    </row>
    <row r="141" spans="1:3" x14ac:dyDescent="0.2">
      <c r="A141" s="95" t="s">
        <v>272</v>
      </c>
      <c r="B141" s="107"/>
      <c r="C141" s="166">
        <f>ROUND((C138/B139)*B140,2)</f>
        <v>0</v>
      </c>
    </row>
    <row r="142" spans="1:3" x14ac:dyDescent="0.2">
      <c r="A142" s="95" t="s">
        <v>273</v>
      </c>
      <c r="B142" s="86">
        <f>ROUND(+B131/B132*B133*B134,0)</f>
        <v>107</v>
      </c>
      <c r="C142" s="167"/>
    </row>
    <row r="143" spans="1:3" x14ac:dyDescent="0.2">
      <c r="A143" s="376" t="s">
        <v>274</v>
      </c>
      <c r="B143" s="376"/>
      <c r="C143" s="40">
        <f>ROUND(+B142*C141,2)</f>
        <v>0</v>
      </c>
    </row>
    <row r="145" spans="1:3" x14ac:dyDescent="0.2">
      <c r="A145" s="375" t="s">
        <v>275</v>
      </c>
      <c r="B145" s="375"/>
      <c r="C145" s="375"/>
    </row>
    <row r="146" spans="1:3" x14ac:dyDescent="0.2">
      <c r="A146" s="86" t="s">
        <v>152</v>
      </c>
      <c r="B146" s="86">
        <f>+$B$4</f>
        <v>365.25</v>
      </c>
      <c r="C146" s="107"/>
    </row>
    <row r="147" spans="1:3" x14ac:dyDescent="0.2">
      <c r="A147" s="86" t="s">
        <v>153</v>
      </c>
      <c r="B147" s="95">
        <v>12</v>
      </c>
      <c r="C147" s="107"/>
    </row>
    <row r="148" spans="1:3" x14ac:dyDescent="0.2">
      <c r="A148" s="86" t="s">
        <v>154</v>
      </c>
      <c r="B148" s="89">
        <v>0.5</v>
      </c>
      <c r="C148" s="107"/>
    </row>
    <row r="149" spans="1:3" x14ac:dyDescent="0.2">
      <c r="A149" s="164" t="s">
        <v>268</v>
      </c>
      <c r="B149" s="95">
        <v>7</v>
      </c>
      <c r="C149" s="107"/>
    </row>
    <row r="150" spans="1:3" x14ac:dyDescent="0.2">
      <c r="A150" s="95" t="s">
        <v>276</v>
      </c>
      <c r="B150" s="49">
        <f>(365.25/12/2)/(7/7)</f>
        <v>15.21875</v>
      </c>
      <c r="C150" s="86"/>
    </row>
    <row r="151" spans="1:3" x14ac:dyDescent="0.2">
      <c r="A151" s="95" t="s">
        <v>277</v>
      </c>
      <c r="B151" s="86">
        <f>ROUND(+B150*B149,2)</f>
        <v>106.53</v>
      </c>
      <c r="C151" s="86"/>
    </row>
    <row r="152" spans="1:3" x14ac:dyDescent="0.2">
      <c r="A152" s="95" t="s">
        <v>269</v>
      </c>
      <c r="B152" s="107"/>
      <c r="C152" s="90">
        <f>+'Copeiragem Diurno'!$D$12</f>
        <v>0</v>
      </c>
    </row>
    <row r="153" spans="1:3" x14ac:dyDescent="0.2">
      <c r="A153" s="95" t="s">
        <v>31</v>
      </c>
      <c r="B153" s="107"/>
      <c r="C153" s="90">
        <f>+'Copeiragem Diurno'!$D$13</f>
        <v>0</v>
      </c>
    </row>
    <row r="154" spans="1:3" x14ac:dyDescent="0.2">
      <c r="A154" s="95" t="s">
        <v>32</v>
      </c>
      <c r="B154" s="107"/>
      <c r="C154" s="90">
        <f>+'Copeiragem Diurno'!$D$14</f>
        <v>0</v>
      </c>
    </row>
    <row r="155" spans="1:3" x14ac:dyDescent="0.2">
      <c r="A155" s="50" t="s">
        <v>270</v>
      </c>
      <c r="B155" s="107"/>
      <c r="C155" s="51">
        <f>SUM(C152:C154)</f>
        <v>0</v>
      </c>
    </row>
    <row r="156" spans="1:3" x14ac:dyDescent="0.2">
      <c r="A156" s="86" t="s">
        <v>147</v>
      </c>
      <c r="B156" s="165">
        <f>+B3</f>
        <v>220</v>
      </c>
      <c r="C156" s="107"/>
    </row>
    <row r="157" spans="1:3" x14ac:dyDescent="0.2">
      <c r="A157" s="95" t="s">
        <v>271</v>
      </c>
      <c r="B157" s="89">
        <v>0.2</v>
      </c>
      <c r="C157" s="107"/>
    </row>
    <row r="158" spans="1:3" x14ac:dyDescent="0.2">
      <c r="A158" s="95" t="s">
        <v>272</v>
      </c>
      <c r="B158" s="107"/>
      <c r="C158" s="166">
        <f>ROUND((C155/B156)*B157,2)</f>
        <v>0</v>
      </c>
    </row>
    <row r="159" spans="1:3" x14ac:dyDescent="0.2">
      <c r="A159" s="95" t="s">
        <v>278</v>
      </c>
      <c r="B159" s="86">
        <v>60</v>
      </c>
      <c r="C159" s="107"/>
    </row>
    <row r="160" spans="1:3" x14ac:dyDescent="0.2">
      <c r="A160" s="95" t="s">
        <v>279</v>
      </c>
      <c r="B160" s="86">
        <v>52.5</v>
      </c>
      <c r="C160" s="107"/>
    </row>
    <row r="161" spans="1:3" x14ac:dyDescent="0.2">
      <c r="A161" s="95" t="s">
        <v>280</v>
      </c>
      <c r="B161" s="86">
        <f>+B159/B160</f>
        <v>1.1428571428571428</v>
      </c>
      <c r="C161" s="107"/>
    </row>
    <row r="162" spans="1:3" x14ac:dyDescent="0.2">
      <c r="A162" s="95" t="s">
        <v>281</v>
      </c>
      <c r="B162" s="86">
        <f>ROUND(+B161*B151,2)</f>
        <v>121.75</v>
      </c>
      <c r="C162" s="107"/>
    </row>
    <row r="163" spans="1:3" x14ac:dyDescent="0.2">
      <c r="A163" s="95" t="s">
        <v>282</v>
      </c>
      <c r="B163" s="86">
        <f>ROUND(B162-B151,2)</f>
        <v>15.22</v>
      </c>
      <c r="C163" s="167"/>
    </row>
    <row r="164" spans="1:3" x14ac:dyDescent="0.2">
      <c r="A164" s="307" t="s">
        <v>283</v>
      </c>
      <c r="B164" s="307"/>
      <c r="C164" s="42">
        <f>+B163*C158</f>
        <v>0</v>
      </c>
    </row>
  </sheetData>
  <mergeCells count="37">
    <mergeCell ref="A164:B164"/>
    <mergeCell ref="A117:C117"/>
    <mergeCell ref="A126:B126"/>
    <mergeCell ref="A128:C128"/>
    <mergeCell ref="A130:C130"/>
    <mergeCell ref="A143:B143"/>
    <mergeCell ref="A145:C145"/>
    <mergeCell ref="A116:B116"/>
    <mergeCell ref="A70:C73"/>
    <mergeCell ref="A75:C75"/>
    <mergeCell ref="A80:B80"/>
    <mergeCell ref="A82:C82"/>
    <mergeCell ref="A89:B89"/>
    <mergeCell ref="A91:C91"/>
    <mergeCell ref="A97:B97"/>
    <mergeCell ref="A99:C99"/>
    <mergeCell ref="A105:B105"/>
    <mergeCell ref="A107:C107"/>
    <mergeCell ref="A108:C108"/>
    <mergeCell ref="A69:C69"/>
    <mergeCell ref="A31:B31"/>
    <mergeCell ref="A33:C33"/>
    <mergeCell ref="A42:B42"/>
    <mergeCell ref="A44:B44"/>
    <mergeCell ref="A45:B45"/>
    <mergeCell ref="A47:C47"/>
    <mergeCell ref="A53:B53"/>
    <mergeCell ref="A55:C55"/>
    <mergeCell ref="A64:B64"/>
    <mergeCell ref="A66:B66"/>
    <mergeCell ref="A67:B67"/>
    <mergeCell ref="A27:C27"/>
    <mergeCell ref="A1:C1"/>
    <mergeCell ref="A9:C9"/>
    <mergeCell ref="A16:B16"/>
    <mergeCell ref="A18:C18"/>
    <mergeCell ref="A25:B25"/>
  </mergeCells>
  <pageMargins left="0.51181102362204722" right="0.51181102362204722" top="0.78740157480314965" bottom="0.78740157480314965" header="0.31496062992125984" footer="0.31496062992125984"/>
  <pageSetup paperSize="9" scale="70" orientation="portrait" r:id="rId1"/>
  <headerFooter>
    <oddFooter>&amp;A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G167"/>
  <sheetViews>
    <sheetView workbookViewId="0">
      <selection activeCell="C4" sqref="C4:D4"/>
    </sheetView>
  </sheetViews>
  <sheetFormatPr defaultRowHeight="12.75" x14ac:dyDescent="0.2"/>
  <cols>
    <col min="1" max="1" width="6.42578125" style="71" customWidth="1"/>
    <col min="2" max="2" width="57.5703125" style="71" customWidth="1"/>
    <col min="3" max="3" width="10.7109375" style="71" bestFit="1" customWidth="1"/>
    <col min="4" max="4" width="17.85546875" style="71" customWidth="1"/>
    <col min="5" max="5" width="13.42578125" style="71" bestFit="1" customWidth="1"/>
    <col min="6" max="16384" width="9.140625" style="71"/>
  </cols>
  <sheetData>
    <row r="1" spans="1:6" x14ac:dyDescent="0.2">
      <c r="A1" s="322" t="s">
        <v>18</v>
      </c>
      <c r="B1" s="323"/>
      <c r="C1" s="323"/>
      <c r="D1" s="324"/>
      <c r="E1" s="17"/>
      <c r="F1" s="17"/>
    </row>
    <row r="3" spans="1:6" x14ac:dyDescent="0.2">
      <c r="A3" s="299" t="s">
        <v>19</v>
      </c>
      <c r="B3" s="300"/>
      <c r="C3" s="300"/>
      <c r="D3" s="308"/>
    </row>
    <row r="4" spans="1:6" s="74" customFormat="1" ht="38.25" customHeight="1" x14ac:dyDescent="0.25">
      <c r="A4" s="175">
        <v>1</v>
      </c>
      <c r="B4" s="174" t="s">
        <v>20</v>
      </c>
      <c r="C4" s="405" t="s">
        <v>286</v>
      </c>
      <c r="D4" s="406"/>
    </row>
    <row r="5" spans="1:6" s="74" customFormat="1" x14ac:dyDescent="0.25">
      <c r="A5" s="175">
        <v>2</v>
      </c>
      <c r="B5" s="174" t="s">
        <v>21</v>
      </c>
      <c r="C5" s="407" t="str">
        <f>+Apresentacao!E22</f>
        <v>5134-25</v>
      </c>
      <c r="D5" s="408"/>
    </row>
    <row r="6" spans="1:6" s="74" customFormat="1" x14ac:dyDescent="0.25">
      <c r="A6" s="175">
        <v>3</v>
      </c>
      <c r="B6" s="174" t="s">
        <v>22</v>
      </c>
      <c r="C6" s="409">
        <f>+Apresentacao!F22</f>
        <v>0</v>
      </c>
      <c r="D6" s="409"/>
    </row>
    <row r="7" spans="1:6" s="74" customFormat="1" x14ac:dyDescent="0.25">
      <c r="A7" s="175">
        <v>4</v>
      </c>
      <c r="B7" s="174" t="s">
        <v>23</v>
      </c>
      <c r="C7" s="410" t="s">
        <v>24</v>
      </c>
      <c r="D7" s="411"/>
    </row>
    <row r="8" spans="1:6" s="74" customFormat="1" x14ac:dyDescent="0.25">
      <c r="A8" s="175">
        <v>5</v>
      </c>
      <c r="B8" s="174" t="s">
        <v>25</v>
      </c>
      <c r="C8" s="412">
        <v>43524</v>
      </c>
      <c r="D8" s="408"/>
    </row>
    <row r="9" spans="1:6" x14ac:dyDescent="0.2">
      <c r="D9" s="18"/>
    </row>
    <row r="10" spans="1:6" x14ac:dyDescent="0.2">
      <c r="A10" s="291" t="s">
        <v>26</v>
      </c>
      <c r="B10" s="292"/>
      <c r="C10" s="292"/>
      <c r="D10" s="292"/>
    </row>
    <row r="11" spans="1:6" x14ac:dyDescent="0.2">
      <c r="A11" s="75">
        <v>1</v>
      </c>
      <c r="B11" s="76" t="s">
        <v>27</v>
      </c>
      <c r="C11" s="19" t="s">
        <v>28</v>
      </c>
      <c r="D11" s="77" t="s">
        <v>29</v>
      </c>
    </row>
    <row r="12" spans="1:6" x14ac:dyDescent="0.2">
      <c r="A12" s="149" t="s">
        <v>6</v>
      </c>
      <c r="B12" s="289" t="s">
        <v>30</v>
      </c>
      <c r="C12" s="289"/>
      <c r="D12" s="79">
        <f>+C6</f>
        <v>0</v>
      </c>
    </row>
    <row r="13" spans="1:6" x14ac:dyDescent="0.2">
      <c r="A13" s="149" t="s">
        <v>8</v>
      </c>
      <c r="B13" s="80" t="s">
        <v>31</v>
      </c>
      <c r="C13" s="81"/>
      <c r="D13" s="79"/>
      <c r="E13" s="82"/>
    </row>
    <row r="14" spans="1:6" x14ac:dyDescent="0.2">
      <c r="A14" s="170" t="s">
        <v>11</v>
      </c>
      <c r="B14" s="171" t="s">
        <v>32</v>
      </c>
      <c r="C14" s="172"/>
      <c r="D14" s="173">
        <f>+C14*D12</f>
        <v>0</v>
      </c>
    </row>
    <row r="15" spans="1:6" x14ac:dyDescent="0.2">
      <c r="A15" s="149" t="s">
        <v>13</v>
      </c>
      <c r="B15" s="289" t="s">
        <v>33</v>
      </c>
      <c r="C15" s="289"/>
      <c r="D15" s="79">
        <f>+'Men Cal Noturno'!C143</f>
        <v>0</v>
      </c>
    </row>
    <row r="16" spans="1:6" x14ac:dyDescent="0.2">
      <c r="A16" s="149" t="s">
        <v>34</v>
      </c>
      <c r="B16" s="289" t="s">
        <v>35</v>
      </c>
      <c r="C16" s="289"/>
      <c r="D16" s="79">
        <f>+'Men Cal Noturno'!C164</f>
        <v>0</v>
      </c>
    </row>
    <row r="17" spans="1:6" x14ac:dyDescent="0.2">
      <c r="A17" s="149" t="s">
        <v>36</v>
      </c>
      <c r="B17" s="318" t="s">
        <v>37</v>
      </c>
      <c r="C17" s="319"/>
      <c r="D17" s="79"/>
    </row>
    <row r="18" spans="1:6" x14ac:dyDescent="0.2">
      <c r="A18" s="149" t="s">
        <v>38</v>
      </c>
      <c r="B18" s="289" t="s">
        <v>39</v>
      </c>
      <c r="C18" s="289"/>
      <c r="D18" s="79"/>
    </row>
    <row r="19" spans="1:6" x14ac:dyDescent="0.2">
      <c r="A19" s="149" t="s">
        <v>40</v>
      </c>
      <c r="B19" s="318" t="s">
        <v>41</v>
      </c>
      <c r="C19" s="319"/>
      <c r="D19" s="83"/>
    </row>
    <row r="20" spans="1:6" x14ac:dyDescent="0.2">
      <c r="A20" s="149" t="s">
        <v>42</v>
      </c>
      <c r="B20" s="80" t="s">
        <v>43</v>
      </c>
      <c r="C20" s="81"/>
      <c r="D20" s="79"/>
    </row>
    <row r="21" spans="1:6" x14ac:dyDescent="0.2">
      <c r="A21" s="149" t="s">
        <v>44</v>
      </c>
      <c r="B21" s="365" t="s">
        <v>45</v>
      </c>
      <c r="C21" s="366"/>
      <c r="D21" s="84"/>
      <c r="F21" s="85"/>
    </row>
    <row r="22" spans="1:6" x14ac:dyDescent="0.2">
      <c r="A22" s="149" t="s">
        <v>46</v>
      </c>
      <c r="B22" s="289" t="s">
        <v>47</v>
      </c>
      <c r="C22" s="289"/>
      <c r="D22" s="84"/>
    </row>
    <row r="23" spans="1:6" x14ac:dyDescent="0.2">
      <c r="A23" s="290" t="s">
        <v>48</v>
      </c>
      <c r="B23" s="290"/>
      <c r="C23" s="290"/>
      <c r="D23" s="20">
        <f>SUM(D12:D22)</f>
        <v>0</v>
      </c>
    </row>
    <row r="25" spans="1:6" x14ac:dyDescent="0.2">
      <c r="A25" s="291" t="s">
        <v>49</v>
      </c>
      <c r="B25" s="292"/>
      <c r="C25" s="292"/>
      <c r="D25" s="292"/>
    </row>
    <row r="27" spans="1:6" x14ac:dyDescent="0.2">
      <c r="A27" s="291" t="s">
        <v>50</v>
      </c>
      <c r="B27" s="292"/>
      <c r="C27" s="292"/>
      <c r="D27" s="292"/>
    </row>
    <row r="28" spans="1:6" x14ac:dyDescent="0.2">
      <c r="A28" s="21" t="s">
        <v>51</v>
      </c>
      <c r="B28" s="22" t="s">
        <v>52</v>
      </c>
      <c r="C28" s="23" t="s">
        <v>28</v>
      </c>
      <c r="D28" s="24" t="s">
        <v>29</v>
      </c>
    </row>
    <row r="29" spans="1:6" x14ac:dyDescent="0.2">
      <c r="A29" s="149" t="s">
        <v>6</v>
      </c>
      <c r="B29" s="86" t="s">
        <v>53</v>
      </c>
      <c r="C29" s="87" t="e">
        <f>ROUND(+D29/$D$23,4)</f>
        <v>#DIV/0!</v>
      </c>
      <c r="D29" s="84">
        <f>ROUND(+D23/12,2)</f>
        <v>0</v>
      </c>
    </row>
    <row r="30" spans="1:6" x14ac:dyDescent="0.2">
      <c r="A30" s="25" t="s">
        <v>8</v>
      </c>
      <c r="B30" s="88" t="s">
        <v>54</v>
      </c>
      <c r="C30" s="26" t="e">
        <f>ROUND(+D30/$D$23,4)</f>
        <v>#DIV/0!</v>
      </c>
      <c r="D30" s="27">
        <f>+D31+D32</f>
        <v>0</v>
      </c>
    </row>
    <row r="31" spans="1:6" x14ac:dyDescent="0.2">
      <c r="A31" s="149" t="s">
        <v>55</v>
      </c>
      <c r="B31" s="28" t="s">
        <v>56</v>
      </c>
      <c r="C31" s="29" t="e">
        <f>ROUND(+D31/$D$23,4)</f>
        <v>#DIV/0!</v>
      </c>
      <c r="D31" s="30">
        <f>ROUND(+D23/12,2)</f>
        <v>0</v>
      </c>
    </row>
    <row r="32" spans="1:6" x14ac:dyDescent="0.2">
      <c r="A32" s="149" t="s">
        <v>57</v>
      </c>
      <c r="B32" s="28" t="s">
        <v>58</v>
      </c>
      <c r="C32" s="29" t="e">
        <f>ROUND(+D32/$D$23,4)</f>
        <v>#DIV/0!</v>
      </c>
      <c r="D32" s="30">
        <f>ROUND(+(D23*1/3)/12,2)</f>
        <v>0</v>
      </c>
    </row>
    <row r="33" spans="1:4" x14ac:dyDescent="0.2">
      <c r="A33" s="290" t="s">
        <v>48</v>
      </c>
      <c r="B33" s="290"/>
      <c r="C33" s="290"/>
      <c r="D33" s="20">
        <f>+D30+D29</f>
        <v>0</v>
      </c>
    </row>
    <row r="35" spans="1:4" x14ac:dyDescent="0.2">
      <c r="A35" s="320" t="s">
        <v>59</v>
      </c>
      <c r="B35" s="321"/>
      <c r="C35" s="321"/>
      <c r="D35" s="321"/>
    </row>
    <row r="36" spans="1:4" x14ac:dyDescent="0.2">
      <c r="A36" s="21" t="s">
        <v>60</v>
      </c>
      <c r="B36" s="31" t="s">
        <v>61</v>
      </c>
      <c r="C36" s="23" t="s">
        <v>28</v>
      </c>
      <c r="D36" s="24" t="s">
        <v>29</v>
      </c>
    </row>
    <row r="37" spans="1:4" x14ac:dyDescent="0.2">
      <c r="A37" s="149" t="s">
        <v>6</v>
      </c>
      <c r="B37" s="86" t="s">
        <v>62</v>
      </c>
      <c r="C37" s="89">
        <v>0.2</v>
      </c>
      <c r="D37" s="90">
        <f>ROUND(C37*($D$23+$D$33),2)</f>
        <v>0</v>
      </c>
    </row>
    <row r="38" spans="1:4" x14ac:dyDescent="0.2">
      <c r="A38" s="149" t="s">
        <v>8</v>
      </c>
      <c r="B38" s="86" t="s">
        <v>63</v>
      </c>
      <c r="C38" s="89">
        <v>2.5000000000000001E-2</v>
      </c>
      <c r="D38" s="90">
        <f>ROUND(C38*($D$23+$D$33),2)</f>
        <v>0</v>
      </c>
    </row>
    <row r="39" spans="1:4" x14ac:dyDescent="0.2">
      <c r="A39" s="149" t="s">
        <v>11</v>
      </c>
      <c r="B39" s="86" t="s">
        <v>64</v>
      </c>
      <c r="C39" s="89">
        <f>3%</f>
        <v>0.03</v>
      </c>
      <c r="D39" s="90">
        <f t="shared" ref="D39:D43" si="0">ROUND(C39*($D$23+$D$33),2)</f>
        <v>0</v>
      </c>
    </row>
    <row r="40" spans="1:4" x14ac:dyDescent="0.2">
      <c r="A40" s="149" t="s">
        <v>13</v>
      </c>
      <c r="B40" s="86" t="s">
        <v>65</v>
      </c>
      <c r="C40" s="89">
        <v>1.4999999999999999E-2</v>
      </c>
      <c r="D40" s="90">
        <f t="shared" si="0"/>
        <v>0</v>
      </c>
    </row>
    <row r="41" spans="1:4" x14ac:dyDescent="0.2">
      <c r="A41" s="149" t="s">
        <v>34</v>
      </c>
      <c r="B41" s="86" t="s">
        <v>66</v>
      </c>
      <c r="C41" s="89">
        <v>0.01</v>
      </c>
      <c r="D41" s="90">
        <f t="shared" si="0"/>
        <v>0</v>
      </c>
    </row>
    <row r="42" spans="1:4" x14ac:dyDescent="0.2">
      <c r="A42" s="149" t="s">
        <v>36</v>
      </c>
      <c r="B42" s="86" t="s">
        <v>67</v>
      </c>
      <c r="C42" s="89">
        <v>6.0000000000000001E-3</v>
      </c>
      <c r="D42" s="90">
        <f t="shared" si="0"/>
        <v>0</v>
      </c>
    </row>
    <row r="43" spans="1:4" x14ac:dyDescent="0.2">
      <c r="A43" s="149" t="s">
        <v>38</v>
      </c>
      <c r="B43" s="86" t="s">
        <v>68</v>
      </c>
      <c r="C43" s="89">
        <v>2E-3</v>
      </c>
      <c r="D43" s="90">
        <f t="shared" si="0"/>
        <v>0</v>
      </c>
    </row>
    <row r="44" spans="1:4" x14ac:dyDescent="0.2">
      <c r="A44" s="149" t="s">
        <v>40</v>
      </c>
      <c r="B44" s="86" t="s">
        <v>69</v>
      </c>
      <c r="C44" s="89">
        <v>0.08</v>
      </c>
      <c r="D44" s="90">
        <f>ROUND(C44*($D$23+$D$33),2)</f>
        <v>0</v>
      </c>
    </row>
    <row r="45" spans="1:4" x14ac:dyDescent="0.2">
      <c r="A45" s="146" t="s">
        <v>48</v>
      </c>
      <c r="B45" s="148"/>
      <c r="C45" s="32">
        <f>SUM(C37:C44)</f>
        <v>0.36800000000000005</v>
      </c>
      <c r="D45" s="33">
        <f>SUM(D37:D44)</f>
        <v>0</v>
      </c>
    </row>
    <row r="46" spans="1:4" x14ac:dyDescent="0.2">
      <c r="A46" s="91"/>
      <c r="B46" s="91"/>
      <c r="C46" s="91"/>
      <c r="D46" s="91"/>
    </row>
    <row r="47" spans="1:4" x14ac:dyDescent="0.2">
      <c r="A47" s="320" t="s">
        <v>70</v>
      </c>
      <c r="B47" s="321"/>
      <c r="C47" s="321"/>
      <c r="D47" s="321"/>
    </row>
    <row r="48" spans="1:4" x14ac:dyDescent="0.2">
      <c r="A48" s="21" t="s">
        <v>71</v>
      </c>
      <c r="B48" s="31" t="s">
        <v>72</v>
      </c>
      <c r="C48" s="23"/>
      <c r="D48" s="24" t="s">
        <v>29</v>
      </c>
    </row>
    <row r="49" spans="1:6" x14ac:dyDescent="0.2">
      <c r="A49" s="92" t="s">
        <v>6</v>
      </c>
      <c r="B49" s="86" t="s">
        <v>73</v>
      </c>
      <c r="C49" s="93"/>
      <c r="D49" s="90">
        <f>+'Men Cal Noturno'!C16</f>
        <v>0</v>
      </c>
    </row>
    <row r="50" spans="1:6" s="97" customFormat="1" x14ac:dyDescent="0.2">
      <c r="A50" s="94" t="s">
        <v>74</v>
      </c>
      <c r="B50" s="95" t="s">
        <v>75</v>
      </c>
      <c r="C50" s="87">
        <f>+$C$131+$C$132</f>
        <v>9.2499999999999999E-2</v>
      </c>
      <c r="D50" s="96">
        <f>+(C50*D49)*-1</f>
        <v>0</v>
      </c>
      <c r="F50" s="98"/>
    </row>
    <row r="51" spans="1:6" x14ac:dyDescent="0.2">
      <c r="A51" s="92" t="s">
        <v>8</v>
      </c>
      <c r="B51" s="86" t="s">
        <v>76</v>
      </c>
      <c r="C51" s="93"/>
      <c r="D51" s="90">
        <f>+'Men Cal Noturno'!C25</f>
        <v>0</v>
      </c>
      <c r="F51" s="99"/>
    </row>
    <row r="52" spans="1:6" s="97" customFormat="1" x14ac:dyDescent="0.2">
      <c r="A52" s="94" t="s">
        <v>55</v>
      </c>
      <c r="B52" s="95" t="s">
        <v>75</v>
      </c>
      <c r="C52" s="87">
        <f>+$C$131+$C$132</f>
        <v>9.2499999999999999E-2</v>
      </c>
      <c r="D52" s="96">
        <f>+(C52*D51)*-1</f>
        <v>0</v>
      </c>
      <c r="F52" s="100"/>
    </row>
    <row r="53" spans="1:6" x14ac:dyDescent="0.2">
      <c r="A53" s="101" t="s">
        <v>11</v>
      </c>
      <c r="B53" s="101" t="s">
        <v>77</v>
      </c>
      <c r="C53" s="93"/>
      <c r="D53" s="134"/>
      <c r="F53" s="99"/>
    </row>
    <row r="54" spans="1:6" x14ac:dyDescent="0.2">
      <c r="A54" s="101" t="s">
        <v>13</v>
      </c>
      <c r="B54" s="101" t="s">
        <v>234</v>
      </c>
      <c r="C54" s="93"/>
      <c r="D54" s="134"/>
      <c r="F54" s="99"/>
    </row>
    <row r="55" spans="1:6" ht="25.5" x14ac:dyDescent="0.2">
      <c r="A55" s="101" t="s">
        <v>34</v>
      </c>
      <c r="B55" s="103" t="s">
        <v>235</v>
      </c>
      <c r="C55" s="93"/>
      <c r="D55" s="135"/>
      <c r="F55" s="104"/>
    </row>
    <row r="56" spans="1:6" x14ac:dyDescent="0.2">
      <c r="A56" s="101" t="s">
        <v>36</v>
      </c>
      <c r="B56" s="133" t="s">
        <v>80</v>
      </c>
      <c r="C56" s="93"/>
      <c r="D56" s="102"/>
    </row>
    <row r="57" spans="1:6" x14ac:dyDescent="0.2">
      <c r="A57" s="299" t="s">
        <v>48</v>
      </c>
      <c r="B57" s="308"/>
      <c r="C57" s="34"/>
      <c r="D57" s="35">
        <f>SUM(D49:D56)</f>
        <v>0</v>
      </c>
    </row>
    <row r="59" spans="1:6" x14ac:dyDescent="0.2">
      <c r="A59" s="291" t="s">
        <v>81</v>
      </c>
      <c r="B59" s="292"/>
      <c r="C59" s="292"/>
      <c r="D59" s="292"/>
    </row>
    <row r="60" spans="1:6" x14ac:dyDescent="0.2">
      <c r="A60" s="36">
        <v>2</v>
      </c>
      <c r="B60" s="315" t="s">
        <v>82</v>
      </c>
      <c r="C60" s="315"/>
      <c r="D60" s="37" t="s">
        <v>29</v>
      </c>
    </row>
    <row r="61" spans="1:6" x14ac:dyDescent="0.2">
      <c r="A61" s="95" t="s">
        <v>51</v>
      </c>
      <c r="B61" s="316" t="s">
        <v>52</v>
      </c>
      <c r="C61" s="316"/>
      <c r="D61" s="90">
        <f>+D33</f>
        <v>0</v>
      </c>
    </row>
    <row r="62" spans="1:6" x14ac:dyDescent="0.2">
      <c r="A62" s="95" t="s">
        <v>60</v>
      </c>
      <c r="B62" s="316" t="s">
        <v>61</v>
      </c>
      <c r="C62" s="316"/>
      <c r="D62" s="90">
        <f>+D45</f>
        <v>0</v>
      </c>
    </row>
    <row r="63" spans="1:6" x14ac:dyDescent="0.2">
      <c r="A63" s="95" t="s">
        <v>71</v>
      </c>
      <c r="B63" s="316" t="s">
        <v>72</v>
      </c>
      <c r="C63" s="316"/>
      <c r="D63" s="105">
        <f>+D57</f>
        <v>0</v>
      </c>
    </row>
    <row r="64" spans="1:6" x14ac:dyDescent="0.2">
      <c r="A64" s="315" t="s">
        <v>48</v>
      </c>
      <c r="B64" s="315"/>
      <c r="C64" s="315"/>
      <c r="D64" s="38">
        <f>SUM(D61:D63)</f>
        <v>0</v>
      </c>
    </row>
    <row r="66" spans="1:4" x14ac:dyDescent="0.2">
      <c r="A66" s="291" t="s">
        <v>83</v>
      </c>
      <c r="B66" s="292"/>
      <c r="C66" s="292"/>
      <c r="D66" s="292"/>
    </row>
    <row r="68" spans="1:4" x14ac:dyDescent="0.2">
      <c r="A68" s="39">
        <v>3</v>
      </c>
      <c r="B68" s="22" t="s">
        <v>84</v>
      </c>
      <c r="C68" s="19" t="s">
        <v>28</v>
      </c>
      <c r="D68" s="19" t="s">
        <v>29</v>
      </c>
    </row>
    <row r="69" spans="1:4" x14ac:dyDescent="0.2">
      <c r="A69" s="149" t="s">
        <v>6</v>
      </c>
      <c r="B69" s="95" t="s">
        <v>85</v>
      </c>
      <c r="C69" s="87" t="e">
        <f>+D69/$D$23</f>
        <v>#DIV/0!</v>
      </c>
      <c r="D69" s="106">
        <f>+'Men Cal Noturno'!C31</f>
        <v>0</v>
      </c>
    </row>
    <row r="70" spans="1:4" x14ac:dyDescent="0.2">
      <c r="A70" s="149" t="s">
        <v>8</v>
      </c>
      <c r="B70" s="86" t="s">
        <v>86</v>
      </c>
      <c r="C70" s="107"/>
      <c r="D70" s="84">
        <f>ROUND(+D69*$C$44,2)</f>
        <v>0</v>
      </c>
    </row>
    <row r="71" spans="1:4" ht="25.5" x14ac:dyDescent="0.2">
      <c r="A71" s="149" t="s">
        <v>11</v>
      </c>
      <c r="B71" s="108" t="s">
        <v>87</v>
      </c>
      <c r="C71" s="89" t="e">
        <f>+D71/$D$23</f>
        <v>#DIV/0!</v>
      </c>
      <c r="D71" s="84">
        <f>+'Men Cal Noturno'!C45</f>
        <v>0</v>
      </c>
    </row>
    <row r="72" spans="1:4" x14ac:dyDescent="0.2">
      <c r="A72" s="150" t="s">
        <v>13</v>
      </c>
      <c r="B72" s="86" t="s">
        <v>88</v>
      </c>
      <c r="C72" s="89" t="e">
        <f>+D72/$D$23</f>
        <v>#DIV/0!</v>
      </c>
      <c r="D72" s="84">
        <f>+'Men Cal Noturno'!C53</f>
        <v>0</v>
      </c>
    </row>
    <row r="73" spans="1:4" ht="25.5" x14ac:dyDescent="0.2">
      <c r="A73" s="150" t="s">
        <v>34</v>
      </c>
      <c r="B73" s="108" t="s">
        <v>89</v>
      </c>
      <c r="C73" s="107"/>
      <c r="D73" s="110"/>
    </row>
    <row r="74" spans="1:4" ht="25.5" x14ac:dyDescent="0.2">
      <c r="A74" s="150" t="s">
        <v>36</v>
      </c>
      <c r="B74" s="108" t="s">
        <v>90</v>
      </c>
      <c r="C74" s="89" t="e">
        <f>+D74/$D$23</f>
        <v>#DIV/0!</v>
      </c>
      <c r="D74" s="90">
        <f>+'Men Cal Noturno'!C67</f>
        <v>0</v>
      </c>
    </row>
    <row r="75" spans="1:4" x14ac:dyDescent="0.2">
      <c r="A75" s="299" t="s">
        <v>48</v>
      </c>
      <c r="B75" s="300"/>
      <c r="C75" s="308"/>
      <c r="D75" s="40">
        <f>SUM(D69:D74)</f>
        <v>0</v>
      </c>
    </row>
    <row r="77" spans="1:4" x14ac:dyDescent="0.2">
      <c r="A77" s="291" t="s">
        <v>91</v>
      </c>
      <c r="B77" s="292"/>
      <c r="C77" s="292"/>
      <c r="D77" s="292"/>
    </row>
    <row r="79" spans="1:4" x14ac:dyDescent="0.2">
      <c r="A79" s="317" t="s">
        <v>92</v>
      </c>
      <c r="B79" s="317"/>
      <c r="C79" s="317"/>
      <c r="D79" s="317"/>
    </row>
    <row r="80" spans="1:4" x14ac:dyDescent="0.2">
      <c r="A80" s="39" t="s">
        <v>93</v>
      </c>
      <c r="B80" s="299" t="s">
        <v>94</v>
      </c>
      <c r="C80" s="308"/>
      <c r="D80" s="19" t="s">
        <v>29</v>
      </c>
    </row>
    <row r="81" spans="1:4" x14ac:dyDescent="0.2">
      <c r="A81" s="86" t="s">
        <v>6</v>
      </c>
      <c r="B81" s="303" t="s">
        <v>95</v>
      </c>
      <c r="C81" s="304"/>
      <c r="D81" s="84"/>
    </row>
    <row r="82" spans="1:4" x14ac:dyDescent="0.2">
      <c r="A82" s="95" t="s">
        <v>8</v>
      </c>
      <c r="B82" s="309" t="s">
        <v>94</v>
      </c>
      <c r="C82" s="310"/>
      <c r="D82" s="111">
        <f>+'Men Cal Noturno'!C80</f>
        <v>0</v>
      </c>
    </row>
    <row r="83" spans="1:4" s="97" customFormat="1" x14ac:dyDescent="0.2">
      <c r="A83" s="95" t="s">
        <v>11</v>
      </c>
      <c r="B83" s="309" t="s">
        <v>96</v>
      </c>
      <c r="C83" s="310"/>
      <c r="D83" s="111">
        <f>+'Men Cal Noturno'!C89</f>
        <v>0</v>
      </c>
    </row>
    <row r="84" spans="1:4" s="97" customFormat="1" x14ac:dyDescent="0.2">
      <c r="A84" s="95" t="s">
        <v>13</v>
      </c>
      <c r="B84" s="309" t="s">
        <v>97</v>
      </c>
      <c r="C84" s="310"/>
      <c r="D84" s="111">
        <f>+'Men Cal Noturno'!C97</f>
        <v>0</v>
      </c>
    </row>
    <row r="85" spans="1:4" s="97" customFormat="1" ht="14.25" x14ac:dyDescent="0.2">
      <c r="A85" s="95" t="s">
        <v>34</v>
      </c>
      <c r="B85" s="309" t="s">
        <v>233</v>
      </c>
      <c r="C85" s="310"/>
      <c r="D85" s="111"/>
    </row>
    <row r="86" spans="1:4" s="97" customFormat="1" x14ac:dyDescent="0.2">
      <c r="A86" s="95" t="s">
        <v>36</v>
      </c>
      <c r="B86" s="309" t="s">
        <v>98</v>
      </c>
      <c r="C86" s="310"/>
      <c r="D86" s="111">
        <f>+'Men Cal Noturno'!C105</f>
        <v>0</v>
      </c>
    </row>
    <row r="87" spans="1:4" x14ac:dyDescent="0.2">
      <c r="A87" s="86" t="s">
        <v>38</v>
      </c>
      <c r="B87" s="303" t="s">
        <v>47</v>
      </c>
      <c r="C87" s="304"/>
      <c r="D87" s="84"/>
    </row>
    <row r="88" spans="1:4" x14ac:dyDescent="0.2">
      <c r="A88" s="86" t="s">
        <v>40</v>
      </c>
      <c r="B88" s="303" t="s">
        <v>99</v>
      </c>
      <c r="C88" s="304"/>
      <c r="D88" s="110"/>
    </row>
    <row r="89" spans="1:4" x14ac:dyDescent="0.2">
      <c r="A89" s="290" t="s">
        <v>48</v>
      </c>
      <c r="B89" s="290"/>
      <c r="C89" s="290"/>
      <c r="D89" s="20">
        <f>SUM(D81:D88)</f>
        <v>0</v>
      </c>
    </row>
    <row r="90" spans="1:4" x14ac:dyDescent="0.2">
      <c r="D90" s="112"/>
    </row>
    <row r="91" spans="1:4" x14ac:dyDescent="0.2">
      <c r="A91" s="39" t="s">
        <v>100</v>
      </c>
      <c r="B91" s="299" t="s">
        <v>101</v>
      </c>
      <c r="C91" s="308"/>
      <c r="D91" s="19" t="s">
        <v>29</v>
      </c>
    </row>
    <row r="92" spans="1:4" s="97" customFormat="1" x14ac:dyDescent="0.2">
      <c r="A92" s="95" t="s">
        <v>6</v>
      </c>
      <c r="B92" s="311" t="s">
        <v>102</v>
      </c>
      <c r="C92" s="312"/>
      <c r="D92" s="111">
        <f>+'Men Cal Noturno'!C116</f>
        <v>0</v>
      </c>
    </row>
    <row r="93" spans="1:4" s="97" customFormat="1" x14ac:dyDescent="0.2">
      <c r="A93" s="95" t="s">
        <v>8</v>
      </c>
      <c r="B93" s="313" t="s">
        <v>103</v>
      </c>
      <c r="C93" s="314"/>
      <c r="D93" s="110"/>
    </row>
    <row r="94" spans="1:4" s="97" customFormat="1" x14ac:dyDescent="0.2">
      <c r="A94" s="95" t="s">
        <v>11</v>
      </c>
      <c r="B94" s="313" t="s">
        <v>104</v>
      </c>
      <c r="C94" s="314"/>
      <c r="D94" s="110"/>
    </row>
    <row r="95" spans="1:4" x14ac:dyDescent="0.2">
      <c r="A95" s="86" t="s">
        <v>13</v>
      </c>
      <c r="B95" s="303" t="s">
        <v>47</v>
      </c>
      <c r="C95" s="304"/>
      <c r="D95" s="84"/>
    </row>
    <row r="96" spans="1:4" x14ac:dyDescent="0.2">
      <c r="A96" s="290" t="s">
        <v>48</v>
      </c>
      <c r="B96" s="290"/>
      <c r="C96" s="290"/>
      <c r="D96" s="20">
        <f>SUM(D92:D95)</f>
        <v>0</v>
      </c>
    </row>
    <row r="97" spans="1:4" x14ac:dyDescent="0.2">
      <c r="D97" s="112"/>
    </row>
    <row r="98" spans="1:4" x14ac:dyDescent="0.2">
      <c r="A98" s="39" t="s">
        <v>105</v>
      </c>
      <c r="B98" s="290" t="s">
        <v>106</v>
      </c>
      <c r="C98" s="290"/>
      <c r="D98" s="19" t="s">
        <v>29</v>
      </c>
    </row>
    <row r="99" spans="1:4" s="114" customFormat="1" x14ac:dyDescent="0.25">
      <c r="A99" s="150" t="s">
        <v>6</v>
      </c>
      <c r="B99" s="302" t="s">
        <v>107</v>
      </c>
      <c r="C99" s="302"/>
      <c r="D99" s="113"/>
    </row>
    <row r="100" spans="1:4" x14ac:dyDescent="0.2">
      <c r="A100" s="290" t="s">
        <v>48</v>
      </c>
      <c r="B100" s="290"/>
      <c r="C100" s="290"/>
      <c r="D100" s="20">
        <f>SUM(D99:D99)</f>
        <v>0</v>
      </c>
    </row>
    <row r="102" spans="1:4" x14ac:dyDescent="0.2">
      <c r="A102" s="147" t="s">
        <v>108</v>
      </c>
      <c r="B102" s="147"/>
      <c r="C102" s="147"/>
      <c r="D102" s="147"/>
    </row>
    <row r="103" spans="1:4" x14ac:dyDescent="0.2">
      <c r="A103" s="86" t="s">
        <v>93</v>
      </c>
      <c r="B103" s="303" t="s">
        <v>94</v>
      </c>
      <c r="C103" s="304"/>
      <c r="D103" s="90">
        <f>+D89</f>
        <v>0</v>
      </c>
    </row>
    <row r="104" spans="1:4" x14ac:dyDescent="0.2">
      <c r="A104" s="86" t="s">
        <v>100</v>
      </c>
      <c r="B104" s="303" t="s">
        <v>101</v>
      </c>
      <c r="C104" s="304"/>
      <c r="D104" s="90">
        <f>+D96</f>
        <v>0</v>
      </c>
    </row>
    <row r="105" spans="1:4" x14ac:dyDescent="0.2">
      <c r="A105" s="115"/>
      <c r="B105" s="305" t="s">
        <v>109</v>
      </c>
      <c r="C105" s="306"/>
      <c r="D105" s="41">
        <f>+D104+D103</f>
        <v>0</v>
      </c>
    </row>
    <row r="106" spans="1:4" x14ac:dyDescent="0.2">
      <c r="A106" s="86" t="s">
        <v>105</v>
      </c>
      <c r="B106" s="303" t="s">
        <v>106</v>
      </c>
      <c r="C106" s="304"/>
      <c r="D106" s="90">
        <f>+D100</f>
        <v>0</v>
      </c>
    </row>
    <row r="107" spans="1:4" x14ac:dyDescent="0.2">
      <c r="A107" s="307" t="s">
        <v>48</v>
      </c>
      <c r="B107" s="307"/>
      <c r="C107" s="307"/>
      <c r="D107" s="42">
        <f>+D106+D105</f>
        <v>0</v>
      </c>
    </row>
    <row r="109" spans="1:4" x14ac:dyDescent="0.2">
      <c r="A109" s="291" t="s">
        <v>110</v>
      </c>
      <c r="B109" s="292"/>
      <c r="C109" s="292"/>
      <c r="D109" s="292"/>
    </row>
    <row r="111" spans="1:4" x14ac:dyDescent="0.2">
      <c r="A111" s="39">
        <v>5</v>
      </c>
      <c r="B111" s="299" t="s">
        <v>111</v>
      </c>
      <c r="C111" s="308"/>
      <c r="D111" s="19" t="s">
        <v>29</v>
      </c>
    </row>
    <row r="112" spans="1:4" x14ac:dyDescent="0.2">
      <c r="A112" s="86" t="s">
        <v>6</v>
      </c>
      <c r="B112" s="289" t="s">
        <v>112</v>
      </c>
      <c r="C112" s="289"/>
      <c r="D112" s="84">
        <f>+Uniforme!E12</f>
        <v>0</v>
      </c>
    </row>
    <row r="113" spans="1:4" x14ac:dyDescent="0.2">
      <c r="A113" s="86" t="s">
        <v>74</v>
      </c>
      <c r="B113" s="95" t="s">
        <v>75</v>
      </c>
      <c r="C113" s="87">
        <f>+$C$131+$C$132</f>
        <v>9.2499999999999999E-2</v>
      </c>
      <c r="D113" s="96">
        <f>+(C113*D112)*-1</f>
        <v>0</v>
      </c>
    </row>
    <row r="114" spans="1:4" x14ac:dyDescent="0.2">
      <c r="A114" s="86" t="s">
        <v>8</v>
      </c>
      <c r="B114" s="289" t="s">
        <v>113</v>
      </c>
      <c r="C114" s="289"/>
      <c r="D114" s="84"/>
    </row>
    <row r="115" spans="1:4" x14ac:dyDescent="0.2">
      <c r="A115" s="86" t="s">
        <v>55</v>
      </c>
      <c r="B115" s="95" t="s">
        <v>75</v>
      </c>
      <c r="C115" s="87">
        <f>+$C$131+$C$132</f>
        <v>9.2499999999999999E-2</v>
      </c>
      <c r="D115" s="96">
        <f>+(C115*D114)*-1</f>
        <v>0</v>
      </c>
    </row>
    <row r="116" spans="1:4" x14ac:dyDescent="0.2">
      <c r="A116" s="86" t="s">
        <v>11</v>
      </c>
      <c r="B116" s="289" t="s">
        <v>114</v>
      </c>
      <c r="C116" s="289"/>
      <c r="D116" s="84"/>
    </row>
    <row r="117" spans="1:4" x14ac:dyDescent="0.2">
      <c r="A117" s="86" t="s">
        <v>78</v>
      </c>
      <c r="B117" s="95" t="s">
        <v>75</v>
      </c>
      <c r="C117" s="87">
        <f>+$C$131+$C$132</f>
        <v>9.2499999999999999E-2</v>
      </c>
      <c r="D117" s="96">
        <f>+(C117*D116)*-1</f>
        <v>0</v>
      </c>
    </row>
    <row r="118" spans="1:4" x14ac:dyDescent="0.2">
      <c r="A118" s="86" t="s">
        <v>13</v>
      </c>
      <c r="B118" s="289" t="s">
        <v>47</v>
      </c>
      <c r="C118" s="289"/>
      <c r="D118" s="84"/>
    </row>
    <row r="119" spans="1:4" x14ac:dyDescent="0.2">
      <c r="A119" s="86" t="s">
        <v>79</v>
      </c>
      <c r="B119" s="95" t="s">
        <v>75</v>
      </c>
      <c r="C119" s="87">
        <f>+$C$131+$C$132</f>
        <v>9.2499999999999999E-2</v>
      </c>
      <c r="D119" s="96">
        <f>+(C119*D118)*-1</f>
        <v>0</v>
      </c>
    </row>
    <row r="120" spans="1:4" x14ac:dyDescent="0.2">
      <c r="A120" s="290" t="s">
        <v>48</v>
      </c>
      <c r="B120" s="290"/>
      <c r="C120" s="290"/>
      <c r="D120" s="20">
        <f>SUM(D112:D118)</f>
        <v>0</v>
      </c>
    </row>
    <row r="122" spans="1:4" x14ac:dyDescent="0.2">
      <c r="A122" s="291" t="s">
        <v>115</v>
      </c>
      <c r="B122" s="292"/>
      <c r="C122" s="292"/>
      <c r="D122" s="292"/>
    </row>
    <row r="124" spans="1:4" x14ac:dyDescent="0.2">
      <c r="A124" s="39">
        <v>6</v>
      </c>
      <c r="B124" s="22" t="s">
        <v>116</v>
      </c>
      <c r="C124" s="151" t="s">
        <v>28</v>
      </c>
      <c r="D124" s="19" t="s">
        <v>29</v>
      </c>
    </row>
    <row r="125" spans="1:4" x14ac:dyDescent="0.2">
      <c r="A125" s="101" t="s">
        <v>6</v>
      </c>
      <c r="B125" s="101" t="s">
        <v>117</v>
      </c>
      <c r="C125" s="116">
        <v>0.03</v>
      </c>
      <c r="D125" s="102">
        <f>($D$120+$D$107+$D$75+$D$64+$D$23)*C125</f>
        <v>0</v>
      </c>
    </row>
    <row r="126" spans="1:4" x14ac:dyDescent="0.2">
      <c r="A126" s="101" t="s">
        <v>8</v>
      </c>
      <c r="B126" s="101" t="s">
        <v>118</v>
      </c>
      <c r="C126" s="116">
        <v>0.03</v>
      </c>
      <c r="D126" s="102">
        <f>($D$120+$D$107+$D$75+$D$64+$D$23+D125)*C126</f>
        <v>0</v>
      </c>
    </row>
    <row r="127" spans="1:4" s="44" customFormat="1" x14ac:dyDescent="0.25">
      <c r="A127" s="293" t="s">
        <v>119</v>
      </c>
      <c r="B127" s="294"/>
      <c r="C127" s="295"/>
      <c r="D127" s="43">
        <f>++D126+D125+D120+D107+D75+D64+D23</f>
        <v>0</v>
      </c>
    </row>
    <row r="128" spans="1:4" s="44" customFormat="1" ht="33" customHeight="1" x14ac:dyDescent="0.25">
      <c r="A128" s="296" t="s">
        <v>120</v>
      </c>
      <c r="B128" s="297"/>
      <c r="C128" s="298"/>
      <c r="D128" s="43">
        <f>ROUND(D127/(1-(C131+C132+C134+C136+C137)),2)</f>
        <v>0</v>
      </c>
    </row>
    <row r="129" spans="1:7" x14ac:dyDescent="0.2">
      <c r="A129" s="86" t="s">
        <v>11</v>
      </c>
      <c r="B129" s="86" t="s">
        <v>121</v>
      </c>
      <c r="C129" s="89"/>
      <c r="D129" s="86"/>
    </row>
    <row r="130" spans="1:7" x14ac:dyDescent="0.2">
      <c r="A130" s="86" t="s">
        <v>78</v>
      </c>
      <c r="B130" s="86" t="s">
        <v>122</v>
      </c>
      <c r="C130" s="89"/>
      <c r="D130" s="86"/>
    </row>
    <row r="131" spans="1:7" x14ac:dyDescent="0.2">
      <c r="A131" s="101" t="s">
        <v>123</v>
      </c>
      <c r="B131" s="101" t="s">
        <v>124</v>
      </c>
      <c r="C131" s="116">
        <v>1.6500000000000001E-2</v>
      </c>
      <c r="D131" s="102">
        <f>ROUND(C131*$D$128,2)</f>
        <v>0</v>
      </c>
      <c r="G131" s="117"/>
    </row>
    <row r="132" spans="1:7" x14ac:dyDescent="0.2">
      <c r="A132" s="101" t="s">
        <v>125</v>
      </c>
      <c r="B132" s="101" t="s">
        <v>126</v>
      </c>
      <c r="C132" s="116">
        <v>7.5999999999999998E-2</v>
      </c>
      <c r="D132" s="102">
        <f>ROUND(C132*$D$128,2)</f>
        <v>0</v>
      </c>
      <c r="G132" s="117"/>
    </row>
    <row r="133" spans="1:7" x14ac:dyDescent="0.2">
      <c r="A133" s="86" t="s">
        <v>127</v>
      </c>
      <c r="B133" s="86" t="s">
        <v>128</v>
      </c>
      <c r="C133" s="89"/>
      <c r="D133" s="90"/>
      <c r="G133" s="117"/>
    </row>
    <row r="134" spans="1:7" x14ac:dyDescent="0.2">
      <c r="A134" s="86" t="s">
        <v>129</v>
      </c>
      <c r="B134" s="86" t="s">
        <v>130</v>
      </c>
      <c r="C134" s="89"/>
      <c r="D134" s="86"/>
      <c r="G134" s="117"/>
    </row>
    <row r="135" spans="1:7" x14ac:dyDescent="0.2">
      <c r="A135" s="86" t="s">
        <v>131</v>
      </c>
      <c r="B135" s="86" t="s">
        <v>132</v>
      </c>
      <c r="C135" s="89"/>
      <c r="D135" s="86"/>
    </row>
    <row r="136" spans="1:7" x14ac:dyDescent="0.2">
      <c r="A136" s="101" t="s">
        <v>133</v>
      </c>
      <c r="B136" s="101" t="s">
        <v>134</v>
      </c>
      <c r="C136" s="116">
        <v>0.05</v>
      </c>
      <c r="D136" s="102">
        <f>ROUND(C136*$D$128,2)</f>
        <v>0</v>
      </c>
    </row>
    <row r="137" spans="1:7" x14ac:dyDescent="0.2">
      <c r="A137" s="86" t="s">
        <v>135</v>
      </c>
      <c r="B137" s="86" t="s">
        <v>136</v>
      </c>
      <c r="C137" s="89"/>
      <c r="D137" s="86"/>
    </row>
    <row r="138" spans="1:7" x14ac:dyDescent="0.2">
      <c r="A138" s="86" t="s">
        <v>13</v>
      </c>
      <c r="B138" s="86" t="s">
        <v>248</v>
      </c>
      <c r="C138" s="143"/>
      <c r="D138" s="86"/>
    </row>
    <row r="139" spans="1:7" ht="14.25" x14ac:dyDescent="0.2">
      <c r="A139" s="86" t="s">
        <v>249</v>
      </c>
      <c r="B139" s="86" t="s">
        <v>250</v>
      </c>
      <c r="C139" s="143"/>
      <c r="D139" s="144">
        <f>+D157</f>
        <v>0.59</v>
      </c>
    </row>
    <row r="140" spans="1:7" x14ac:dyDescent="0.2">
      <c r="A140" s="86" t="s">
        <v>251</v>
      </c>
      <c r="B140" s="86" t="s">
        <v>252</v>
      </c>
      <c r="C140" s="143"/>
      <c r="D140" s="144">
        <f>+D158</f>
        <v>1.58</v>
      </c>
    </row>
    <row r="141" spans="1:7" x14ac:dyDescent="0.2">
      <c r="A141" s="299" t="s">
        <v>48</v>
      </c>
      <c r="B141" s="300"/>
      <c r="C141" s="45">
        <f>+C137+C136+C134+C132+C131+C126+C125</f>
        <v>0.20250000000000001</v>
      </c>
      <c r="D141" s="20">
        <f>+D136+D134+D132+D131+D126+D125+D139+D140</f>
        <v>2.17</v>
      </c>
    </row>
    <row r="143" spans="1:7" x14ac:dyDescent="0.2">
      <c r="A143" s="301" t="s">
        <v>137</v>
      </c>
      <c r="B143" s="301"/>
      <c r="C143" s="301"/>
      <c r="D143" s="301"/>
    </row>
    <row r="144" spans="1:7" x14ac:dyDescent="0.2">
      <c r="A144" s="86" t="s">
        <v>6</v>
      </c>
      <c r="B144" s="286" t="s">
        <v>138</v>
      </c>
      <c r="C144" s="286"/>
      <c r="D144" s="84">
        <f>+D23</f>
        <v>0</v>
      </c>
    </row>
    <row r="145" spans="1:5" x14ac:dyDescent="0.2">
      <c r="A145" s="86" t="s">
        <v>139</v>
      </c>
      <c r="B145" s="286" t="s">
        <v>140</v>
      </c>
      <c r="C145" s="286"/>
      <c r="D145" s="84">
        <f>+D64</f>
        <v>0</v>
      </c>
    </row>
    <row r="146" spans="1:5" x14ac:dyDescent="0.2">
      <c r="A146" s="86" t="s">
        <v>11</v>
      </c>
      <c r="B146" s="286" t="s">
        <v>141</v>
      </c>
      <c r="C146" s="286"/>
      <c r="D146" s="84">
        <f>+D75</f>
        <v>0</v>
      </c>
    </row>
    <row r="147" spans="1:5" x14ac:dyDescent="0.2">
      <c r="A147" s="86" t="s">
        <v>13</v>
      </c>
      <c r="B147" s="286" t="s">
        <v>142</v>
      </c>
      <c r="C147" s="286"/>
      <c r="D147" s="84">
        <f>+D107</f>
        <v>0</v>
      </c>
    </row>
    <row r="148" spans="1:5" x14ac:dyDescent="0.2">
      <c r="A148" s="86" t="s">
        <v>34</v>
      </c>
      <c r="B148" s="286" t="s">
        <v>143</v>
      </c>
      <c r="C148" s="286"/>
      <c r="D148" s="84">
        <f>+D120</f>
        <v>0</v>
      </c>
    </row>
    <row r="149" spans="1:5" x14ac:dyDescent="0.2">
      <c r="B149" s="287" t="s">
        <v>144</v>
      </c>
      <c r="C149" s="287"/>
      <c r="D149" s="46">
        <f>SUM(D144:D148)</f>
        <v>0</v>
      </c>
    </row>
    <row r="150" spans="1:5" x14ac:dyDescent="0.2">
      <c r="A150" s="86" t="s">
        <v>36</v>
      </c>
      <c r="B150" s="286" t="s">
        <v>145</v>
      </c>
      <c r="C150" s="286"/>
      <c r="D150" s="84">
        <f>+D141</f>
        <v>2.17</v>
      </c>
    </row>
    <row r="152" spans="1:5" x14ac:dyDescent="0.2">
      <c r="A152" s="288" t="s">
        <v>146</v>
      </c>
      <c r="B152" s="288"/>
      <c r="C152" s="288"/>
      <c r="D152" s="47">
        <f>ROUND(+D150+D149,2)</f>
        <v>2.17</v>
      </c>
    </row>
    <row r="154" spans="1:5" ht="36" customHeight="1" x14ac:dyDescent="0.2">
      <c r="A154" s="252" t="s">
        <v>242</v>
      </c>
      <c r="B154" s="252"/>
      <c r="C154" s="252"/>
      <c r="D154" s="252"/>
    </row>
    <row r="155" spans="1:5" x14ac:dyDescent="0.2">
      <c r="A155" s="285" t="s">
        <v>243</v>
      </c>
      <c r="B155" s="285"/>
      <c r="C155" s="285"/>
      <c r="D155" s="285"/>
      <c r="E155" s="118"/>
    </row>
    <row r="156" spans="1:5" ht="22.5" x14ac:dyDescent="0.25">
      <c r="A156" s="2"/>
      <c r="B156" s="138"/>
      <c r="C156" s="139" t="s">
        <v>244</v>
      </c>
      <c r="D156" s="140" t="s">
        <v>245</v>
      </c>
      <c r="E156" s="118"/>
    </row>
    <row r="157" spans="1:5" x14ac:dyDescent="0.2">
      <c r="A157" s="141" t="s">
        <v>246</v>
      </c>
      <c r="B157" s="141"/>
      <c r="C157" s="142">
        <f>ROUND((565/12),2)</f>
        <v>47.08</v>
      </c>
      <c r="D157" s="142">
        <f>ROUND(+C157/+(+Apresentacao!$E$35+Apresentacao!$E$36+Apresentacao!$E$38),2)</f>
        <v>0.59</v>
      </c>
      <c r="E157" s="118"/>
    </row>
    <row r="158" spans="1:5" x14ac:dyDescent="0.2">
      <c r="A158" s="141" t="s">
        <v>247</v>
      </c>
      <c r="B158" s="141"/>
      <c r="C158" s="142">
        <v>126</v>
      </c>
      <c r="D158" s="142">
        <f>ROUND(+C158/+(+Apresentacao!$E$35+Apresentacao!$E$36+Apresentacao!$E$38),2)</f>
        <v>1.58</v>
      </c>
      <c r="E158" s="118"/>
    </row>
    <row r="159" spans="1:5" x14ac:dyDescent="0.2">
      <c r="A159" s="118"/>
      <c r="B159" s="118"/>
      <c r="C159" s="118"/>
      <c r="D159" s="118"/>
      <c r="E159" s="118"/>
    </row>
    <row r="160" spans="1:5" x14ac:dyDescent="0.2">
      <c r="A160" s="118"/>
      <c r="B160" s="118"/>
      <c r="C160" s="118"/>
      <c r="D160" s="118"/>
      <c r="E160" s="118"/>
    </row>
    <row r="161" spans="1:5" x14ac:dyDescent="0.2">
      <c r="A161" s="118"/>
      <c r="B161" s="118"/>
      <c r="C161" s="118"/>
      <c r="D161" s="118"/>
      <c r="E161" s="118"/>
    </row>
    <row r="162" spans="1:5" x14ac:dyDescent="0.2">
      <c r="A162" s="118"/>
      <c r="B162" s="118"/>
      <c r="C162" s="118"/>
      <c r="D162" s="118"/>
      <c r="E162" s="118"/>
    </row>
    <row r="163" spans="1:5" x14ac:dyDescent="0.2">
      <c r="A163" s="118"/>
      <c r="B163" s="118"/>
      <c r="C163" s="118"/>
      <c r="D163" s="118"/>
      <c r="E163" s="118"/>
    </row>
    <row r="164" spans="1:5" x14ac:dyDescent="0.2">
      <c r="A164" s="118"/>
      <c r="B164" s="118"/>
      <c r="C164" s="118"/>
      <c r="D164" s="118"/>
      <c r="E164" s="118"/>
    </row>
    <row r="165" spans="1:5" x14ac:dyDescent="0.2">
      <c r="A165" s="118"/>
      <c r="B165" s="118"/>
      <c r="C165" s="118"/>
      <c r="D165" s="118"/>
      <c r="E165" s="118"/>
    </row>
    <row r="166" spans="1:5" x14ac:dyDescent="0.2">
      <c r="A166" s="118"/>
      <c r="B166" s="118"/>
      <c r="C166" s="118"/>
      <c r="D166" s="118"/>
      <c r="E166" s="118"/>
    </row>
    <row r="167" spans="1:5" x14ac:dyDescent="0.2">
      <c r="A167" s="118"/>
      <c r="B167" s="118"/>
      <c r="C167" s="118"/>
      <c r="D167" s="118"/>
      <c r="E167" s="118"/>
    </row>
  </sheetData>
  <mergeCells count="79">
    <mergeCell ref="A155:D155"/>
    <mergeCell ref="B147:C147"/>
    <mergeCell ref="B148:C148"/>
    <mergeCell ref="B149:C149"/>
    <mergeCell ref="B150:C150"/>
    <mergeCell ref="A152:C152"/>
    <mergeCell ref="A154:D154"/>
    <mergeCell ref="B146:C146"/>
    <mergeCell ref="B114:C114"/>
    <mergeCell ref="B116:C116"/>
    <mergeCell ref="B118:C118"/>
    <mergeCell ref="A120:C120"/>
    <mergeCell ref="A122:D122"/>
    <mergeCell ref="A127:C127"/>
    <mergeCell ref="A128:C128"/>
    <mergeCell ref="A141:B141"/>
    <mergeCell ref="A143:D143"/>
    <mergeCell ref="B144:C144"/>
    <mergeCell ref="B145:C145"/>
    <mergeCell ref="B112:C112"/>
    <mergeCell ref="A96:C96"/>
    <mergeCell ref="B98:C98"/>
    <mergeCell ref="B99:C99"/>
    <mergeCell ref="A100:C100"/>
    <mergeCell ref="B103:C103"/>
    <mergeCell ref="B104:C104"/>
    <mergeCell ref="B105:C105"/>
    <mergeCell ref="B106:C106"/>
    <mergeCell ref="A107:C107"/>
    <mergeCell ref="A109:D109"/>
    <mergeCell ref="B111:C111"/>
    <mergeCell ref="B95:C95"/>
    <mergeCell ref="B83:C83"/>
    <mergeCell ref="B84:C84"/>
    <mergeCell ref="B85:C85"/>
    <mergeCell ref="B86:C86"/>
    <mergeCell ref="B87:C87"/>
    <mergeCell ref="B88:C88"/>
    <mergeCell ref="A89:C89"/>
    <mergeCell ref="B91:C91"/>
    <mergeCell ref="B92:C92"/>
    <mergeCell ref="B93:C93"/>
    <mergeCell ref="B94:C94"/>
    <mergeCell ref="B82:C82"/>
    <mergeCell ref="B60:C60"/>
    <mergeCell ref="B61:C61"/>
    <mergeCell ref="B62:C62"/>
    <mergeCell ref="B63:C63"/>
    <mergeCell ref="A64:C64"/>
    <mergeCell ref="A66:D66"/>
    <mergeCell ref="A75:C75"/>
    <mergeCell ref="A77:D77"/>
    <mergeCell ref="A79:D79"/>
    <mergeCell ref="B80:C80"/>
    <mergeCell ref="B81:C81"/>
    <mergeCell ref="A59:D59"/>
    <mergeCell ref="B18:C18"/>
    <mergeCell ref="B19:C19"/>
    <mergeCell ref="B21:C21"/>
    <mergeCell ref="B22:C22"/>
    <mergeCell ref="A23:C23"/>
    <mergeCell ref="A25:D25"/>
    <mergeCell ref="A27:D27"/>
    <mergeCell ref="A33:C33"/>
    <mergeCell ref="A35:D35"/>
    <mergeCell ref="A47:D47"/>
    <mergeCell ref="A57:B57"/>
    <mergeCell ref="B17:C17"/>
    <mergeCell ref="A1:D1"/>
    <mergeCell ref="A3:D3"/>
    <mergeCell ref="C4:D4"/>
    <mergeCell ref="C5:D5"/>
    <mergeCell ref="C6:D6"/>
    <mergeCell ref="C7:D7"/>
    <mergeCell ref="C8:D8"/>
    <mergeCell ref="A10:D10"/>
    <mergeCell ref="B12:C12"/>
    <mergeCell ref="B15:C15"/>
    <mergeCell ref="B16:C16"/>
  </mergeCells>
  <pageMargins left="0.51181102362204722" right="0.51181102362204722" top="0.78740157480314965" bottom="0.78740157480314965" header="0.31496062992125984" footer="0.31496062992125984"/>
  <pageSetup paperSize="9" scale="70" orientation="portrait" r:id="rId1"/>
  <headerFooter>
    <oddFooter>&amp;A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C164"/>
  <sheetViews>
    <sheetView workbookViewId="0">
      <selection activeCell="A27" sqref="A27:C27"/>
    </sheetView>
  </sheetViews>
  <sheetFormatPr defaultRowHeight="12.75" x14ac:dyDescent="0.2"/>
  <cols>
    <col min="1" max="1" width="73.5703125" style="71" customWidth="1"/>
    <col min="2" max="2" width="16.42578125" style="71" bestFit="1" customWidth="1"/>
    <col min="3" max="3" width="16.85546875" style="71" customWidth="1"/>
    <col min="4" max="4" width="10.7109375" style="71" bestFit="1" customWidth="1"/>
    <col min="5" max="5" width="79" style="71" customWidth="1"/>
    <col min="6" max="16384" width="9.140625" style="71"/>
  </cols>
  <sheetData>
    <row r="1" spans="1:3" ht="33" customHeight="1" x14ac:dyDescent="0.2">
      <c r="A1" s="413" t="s">
        <v>287</v>
      </c>
      <c r="B1" s="413"/>
      <c r="C1" s="413"/>
    </row>
    <row r="3" spans="1:3" x14ac:dyDescent="0.2">
      <c r="A3" s="86" t="s">
        <v>147</v>
      </c>
      <c r="B3" s="86">
        <v>220</v>
      </c>
    </row>
    <row r="4" spans="1:3" x14ac:dyDescent="0.2">
      <c r="A4" s="86" t="s">
        <v>148</v>
      </c>
      <c r="B4" s="86">
        <v>365.25</v>
      </c>
    </row>
    <row r="5" spans="1:3" x14ac:dyDescent="0.2">
      <c r="A5" s="86" t="s">
        <v>149</v>
      </c>
      <c r="B5" s="49">
        <f>(365.25/12)/(7/7)/2</f>
        <v>15.21875</v>
      </c>
    </row>
    <row r="6" spans="1:3" x14ac:dyDescent="0.2">
      <c r="A6" s="95" t="s">
        <v>30</v>
      </c>
      <c r="B6" s="90">
        <f>+'Copeiragem Noturno'!D12</f>
        <v>0</v>
      </c>
    </row>
    <row r="7" spans="1:3" x14ac:dyDescent="0.2">
      <c r="A7" s="95" t="s">
        <v>150</v>
      </c>
      <c r="B7" s="90">
        <f>+'Copeiragem Noturno'!D23</f>
        <v>0</v>
      </c>
    </row>
    <row r="9" spans="1:3" x14ac:dyDescent="0.2">
      <c r="A9" s="353" t="s">
        <v>151</v>
      </c>
      <c r="B9" s="354"/>
      <c r="C9" s="355"/>
    </row>
    <row r="10" spans="1:3" x14ac:dyDescent="0.2">
      <c r="A10" s="86" t="s">
        <v>152</v>
      </c>
      <c r="B10" s="86">
        <f>+$B$4</f>
        <v>365.25</v>
      </c>
      <c r="C10" s="107"/>
    </row>
    <row r="11" spans="1:3" x14ac:dyDescent="0.2">
      <c r="A11" s="86" t="s">
        <v>153</v>
      </c>
      <c r="B11" s="95">
        <v>12</v>
      </c>
      <c r="C11" s="107"/>
    </row>
    <row r="12" spans="1:3" x14ac:dyDescent="0.2">
      <c r="A12" s="86" t="s">
        <v>154</v>
      </c>
      <c r="B12" s="89">
        <v>1</v>
      </c>
      <c r="C12" s="107"/>
    </row>
    <row r="13" spans="1:3" x14ac:dyDescent="0.2">
      <c r="A13" s="95" t="s">
        <v>155</v>
      </c>
      <c r="B13" s="119">
        <f>+B5</f>
        <v>15.21875</v>
      </c>
      <c r="C13" s="107"/>
    </row>
    <row r="14" spans="1:3" x14ac:dyDescent="0.2">
      <c r="A14" s="101" t="s">
        <v>156</v>
      </c>
      <c r="B14" s="120"/>
      <c r="C14" s="107"/>
    </row>
    <row r="15" spans="1:3" x14ac:dyDescent="0.2">
      <c r="A15" s="86" t="s">
        <v>157</v>
      </c>
      <c r="B15" s="89">
        <v>0.06</v>
      </c>
      <c r="C15" s="107"/>
    </row>
    <row r="16" spans="1:3" x14ac:dyDescent="0.2">
      <c r="A16" s="334" t="s">
        <v>158</v>
      </c>
      <c r="B16" s="335"/>
      <c r="C16" s="48">
        <f>ROUND((B13*(B14*2)-($B$6*B15)),2)</f>
        <v>0</v>
      </c>
    </row>
    <row r="18" spans="1:3" x14ac:dyDescent="0.2">
      <c r="A18" s="353" t="s">
        <v>159</v>
      </c>
      <c r="B18" s="354"/>
      <c r="C18" s="355"/>
    </row>
    <row r="19" spans="1:3" x14ac:dyDescent="0.2">
      <c r="A19" s="86" t="s">
        <v>152</v>
      </c>
      <c r="B19" s="86">
        <f>+$B$4</f>
        <v>365.25</v>
      </c>
      <c r="C19" s="107"/>
    </row>
    <row r="20" spans="1:3" x14ac:dyDescent="0.2">
      <c r="A20" s="86" t="s">
        <v>153</v>
      </c>
      <c r="B20" s="95">
        <v>12</v>
      </c>
      <c r="C20" s="107"/>
    </row>
    <row r="21" spans="1:3" x14ac:dyDescent="0.2">
      <c r="A21" s="86" t="s">
        <v>154</v>
      </c>
      <c r="B21" s="89">
        <v>1</v>
      </c>
      <c r="C21" s="107"/>
    </row>
    <row r="22" spans="1:3" x14ac:dyDescent="0.2">
      <c r="A22" s="95" t="s">
        <v>155</v>
      </c>
      <c r="B22" s="119">
        <f>+B5</f>
        <v>15.21875</v>
      </c>
      <c r="C22" s="107"/>
    </row>
    <row r="23" spans="1:3" x14ac:dyDescent="0.2">
      <c r="A23" s="101" t="s">
        <v>160</v>
      </c>
      <c r="B23" s="120"/>
      <c r="C23" s="107"/>
    </row>
    <row r="24" spans="1:3" x14ac:dyDescent="0.2">
      <c r="A24" s="86" t="s">
        <v>161</v>
      </c>
      <c r="B24" s="89">
        <v>0.1</v>
      </c>
      <c r="C24" s="107"/>
    </row>
    <row r="25" spans="1:3" x14ac:dyDescent="0.2">
      <c r="A25" s="334" t="s">
        <v>160</v>
      </c>
      <c r="B25" s="335"/>
      <c r="C25" s="48">
        <f>ROUND((B22*(B23)-((B22*B23)*B24)),2)</f>
        <v>0</v>
      </c>
    </row>
    <row r="27" spans="1:3" x14ac:dyDescent="0.2">
      <c r="A27" s="353" t="s">
        <v>162</v>
      </c>
      <c r="B27" s="354"/>
      <c r="C27" s="355"/>
    </row>
    <row r="28" spans="1:3" x14ac:dyDescent="0.2">
      <c r="A28" s="86" t="s">
        <v>163</v>
      </c>
      <c r="B28" s="90">
        <f>+B7</f>
        <v>0</v>
      </c>
      <c r="C28" s="107"/>
    </row>
    <row r="29" spans="1:3" x14ac:dyDescent="0.2">
      <c r="A29" s="86" t="s">
        <v>164</v>
      </c>
      <c r="B29" s="86">
        <v>12</v>
      </c>
      <c r="C29" s="107"/>
    </row>
    <row r="30" spans="1:3" x14ac:dyDescent="0.2">
      <c r="A30" s="101" t="s">
        <v>165</v>
      </c>
      <c r="B30" s="116"/>
      <c r="C30" s="107"/>
    </row>
    <row r="31" spans="1:3" x14ac:dyDescent="0.2">
      <c r="A31" s="334" t="s">
        <v>166</v>
      </c>
      <c r="B31" s="335"/>
      <c r="C31" s="48">
        <f>ROUND(+(B28/B29)*B30,2)</f>
        <v>0</v>
      </c>
    </row>
    <row r="33" spans="1:3" x14ac:dyDescent="0.2">
      <c r="A33" s="336" t="s">
        <v>167</v>
      </c>
      <c r="B33" s="337"/>
      <c r="C33" s="338"/>
    </row>
    <row r="34" spans="1:3" s="97" customFormat="1" x14ac:dyDescent="0.2">
      <c r="A34" s="121" t="s">
        <v>168</v>
      </c>
      <c r="B34" s="116">
        <f>+B30</f>
        <v>0</v>
      </c>
      <c r="C34" s="107"/>
    </row>
    <row r="35" spans="1:3" x14ac:dyDescent="0.2">
      <c r="A35" s="86" t="s">
        <v>169</v>
      </c>
      <c r="B35" s="90">
        <f>+'Copeiragem Noturno'!$D$23</f>
        <v>0</v>
      </c>
      <c r="C35" s="107"/>
    </row>
    <row r="36" spans="1:3" x14ac:dyDescent="0.2">
      <c r="A36" s="86" t="s">
        <v>53</v>
      </c>
      <c r="B36" s="90">
        <f>+'Copeiragem Noturno'!$D$29</f>
        <v>0</v>
      </c>
      <c r="C36" s="107"/>
    </row>
    <row r="37" spans="1:3" x14ac:dyDescent="0.2">
      <c r="A37" s="86" t="s">
        <v>56</v>
      </c>
      <c r="B37" s="90">
        <f>+'Copeiragem Noturno'!$D$31</f>
        <v>0</v>
      </c>
      <c r="C37" s="107"/>
    </row>
    <row r="38" spans="1:3" x14ac:dyDescent="0.2">
      <c r="A38" s="86" t="s">
        <v>58</v>
      </c>
      <c r="B38" s="90">
        <f>+'Copeiragem Noturno'!$D$32</f>
        <v>0</v>
      </c>
      <c r="C38" s="107"/>
    </row>
    <row r="39" spans="1:3" x14ac:dyDescent="0.2">
      <c r="A39" s="50" t="s">
        <v>170</v>
      </c>
      <c r="B39" s="51">
        <f>SUM(B35:B38)</f>
        <v>0</v>
      </c>
      <c r="C39" s="107"/>
    </row>
    <row r="40" spans="1:3" x14ac:dyDescent="0.2">
      <c r="A40" s="95" t="s">
        <v>171</v>
      </c>
      <c r="B40" s="89">
        <v>0.4</v>
      </c>
      <c r="C40" s="107"/>
    </row>
    <row r="41" spans="1:3" x14ac:dyDescent="0.2">
      <c r="A41" s="95" t="s">
        <v>172</v>
      </c>
      <c r="B41" s="89">
        <f>+'Copeiragem Noturno'!$C$44</f>
        <v>0.08</v>
      </c>
      <c r="C41" s="107"/>
    </row>
    <row r="42" spans="1:3" x14ac:dyDescent="0.2">
      <c r="A42" s="305" t="s">
        <v>173</v>
      </c>
      <c r="B42" s="306"/>
      <c r="C42" s="41">
        <f>ROUND(+B39*B40*B41*B34,2)</f>
        <v>0</v>
      </c>
    </row>
    <row r="43" spans="1:3" x14ac:dyDescent="0.2">
      <c r="A43" s="95" t="s">
        <v>265</v>
      </c>
      <c r="B43" s="89"/>
      <c r="C43" s="107"/>
    </row>
    <row r="44" spans="1:3" x14ac:dyDescent="0.2">
      <c r="A44" s="305" t="s">
        <v>266</v>
      </c>
      <c r="B44" s="306"/>
      <c r="C44" s="163"/>
    </row>
    <row r="45" spans="1:3" x14ac:dyDescent="0.2">
      <c r="A45" s="334" t="s">
        <v>174</v>
      </c>
      <c r="B45" s="335"/>
      <c r="C45" s="42">
        <f>+C42</f>
        <v>0</v>
      </c>
    </row>
    <row r="47" spans="1:3" x14ac:dyDescent="0.2">
      <c r="A47" s="353" t="s">
        <v>175</v>
      </c>
      <c r="B47" s="354"/>
      <c r="C47" s="355"/>
    </row>
    <row r="48" spans="1:3" x14ac:dyDescent="0.2">
      <c r="A48" s="86" t="s">
        <v>163</v>
      </c>
      <c r="B48" s="90">
        <f>+B7</f>
        <v>0</v>
      </c>
      <c r="C48" s="107"/>
    </row>
    <row r="49" spans="1:3" x14ac:dyDescent="0.2">
      <c r="A49" s="86" t="s">
        <v>176</v>
      </c>
      <c r="B49" s="122">
        <v>30</v>
      </c>
      <c r="C49" s="107"/>
    </row>
    <row r="50" spans="1:3" x14ac:dyDescent="0.2">
      <c r="A50" s="86" t="s">
        <v>164</v>
      </c>
      <c r="B50" s="86">
        <v>12</v>
      </c>
      <c r="C50" s="107"/>
    </row>
    <row r="51" spans="1:3" x14ac:dyDescent="0.2">
      <c r="A51" s="86" t="s">
        <v>177</v>
      </c>
      <c r="B51" s="86">
        <v>7</v>
      </c>
      <c r="C51" s="107"/>
    </row>
    <row r="52" spans="1:3" x14ac:dyDescent="0.2">
      <c r="A52" s="101" t="s">
        <v>178</v>
      </c>
      <c r="B52" s="116"/>
      <c r="C52" s="107"/>
    </row>
    <row r="53" spans="1:3" x14ac:dyDescent="0.2">
      <c r="A53" s="334" t="s">
        <v>179</v>
      </c>
      <c r="B53" s="335"/>
      <c r="C53" s="48">
        <f>+ROUND(((B48/B49/B50)*B51)*B52,2)</f>
        <v>0</v>
      </c>
    </row>
    <row r="55" spans="1:3" x14ac:dyDescent="0.2">
      <c r="A55" s="336" t="s">
        <v>180</v>
      </c>
      <c r="B55" s="337"/>
      <c r="C55" s="338"/>
    </row>
    <row r="56" spans="1:3" x14ac:dyDescent="0.2">
      <c r="A56" s="121" t="s">
        <v>181</v>
      </c>
      <c r="B56" s="116">
        <f>+B52</f>
        <v>0</v>
      </c>
      <c r="C56" s="107"/>
    </row>
    <row r="57" spans="1:3" x14ac:dyDescent="0.2">
      <c r="A57" s="86" t="s">
        <v>169</v>
      </c>
      <c r="B57" s="90">
        <f>+'Copeiragem Noturno'!$D$23</f>
        <v>0</v>
      </c>
      <c r="C57" s="107"/>
    </row>
    <row r="58" spans="1:3" x14ac:dyDescent="0.2">
      <c r="A58" s="86" t="s">
        <v>53</v>
      </c>
      <c r="B58" s="90">
        <f>+'Copeiragem Noturno'!$D$29</f>
        <v>0</v>
      </c>
      <c r="C58" s="107"/>
    </row>
    <row r="59" spans="1:3" x14ac:dyDescent="0.2">
      <c r="A59" s="86" t="s">
        <v>56</v>
      </c>
      <c r="B59" s="90">
        <f>+'Copeiragem Noturno'!$D$31</f>
        <v>0</v>
      </c>
      <c r="C59" s="107"/>
    </row>
    <row r="60" spans="1:3" x14ac:dyDescent="0.2">
      <c r="A60" s="86" t="s">
        <v>58</v>
      </c>
      <c r="B60" s="90">
        <f>+'Copeiragem Noturno'!$D$32</f>
        <v>0</v>
      </c>
      <c r="C60" s="107"/>
    </row>
    <row r="61" spans="1:3" x14ac:dyDescent="0.2">
      <c r="A61" s="50" t="s">
        <v>170</v>
      </c>
      <c r="B61" s="51">
        <f>SUM(B57:B60)</f>
        <v>0</v>
      </c>
      <c r="C61" s="107"/>
    </row>
    <row r="62" spans="1:3" x14ac:dyDescent="0.2">
      <c r="A62" s="95" t="s">
        <v>171</v>
      </c>
      <c r="B62" s="89">
        <v>0.4</v>
      </c>
      <c r="C62" s="107"/>
    </row>
    <row r="63" spans="1:3" x14ac:dyDescent="0.2">
      <c r="A63" s="95" t="s">
        <v>172</v>
      </c>
      <c r="B63" s="89">
        <f>+'Copeiragem Noturno'!$C$44</f>
        <v>0.08</v>
      </c>
      <c r="C63" s="107"/>
    </row>
    <row r="64" spans="1:3" x14ac:dyDescent="0.2">
      <c r="A64" s="305" t="s">
        <v>173</v>
      </c>
      <c r="B64" s="306"/>
      <c r="C64" s="41">
        <f>ROUND(+B61*B62*B63*B56,2)</f>
        <v>0</v>
      </c>
    </row>
    <row r="65" spans="1:3" x14ac:dyDescent="0.2">
      <c r="A65" s="95" t="s">
        <v>265</v>
      </c>
      <c r="B65" s="89"/>
      <c r="C65" s="107"/>
    </row>
    <row r="66" spans="1:3" x14ac:dyDescent="0.2">
      <c r="A66" s="305" t="s">
        <v>266</v>
      </c>
      <c r="B66" s="306"/>
      <c r="C66" s="163"/>
    </row>
    <row r="67" spans="1:3" x14ac:dyDescent="0.2">
      <c r="A67" s="334" t="s">
        <v>182</v>
      </c>
      <c r="B67" s="335"/>
      <c r="C67" s="42">
        <f>+C64</f>
        <v>0</v>
      </c>
    </row>
    <row r="69" spans="1:3" x14ac:dyDescent="0.2">
      <c r="A69" s="336" t="s">
        <v>183</v>
      </c>
      <c r="B69" s="337"/>
      <c r="C69" s="338"/>
    </row>
    <row r="70" spans="1:3" x14ac:dyDescent="0.2">
      <c r="A70" s="343" t="s">
        <v>184</v>
      </c>
      <c r="B70" s="344"/>
      <c r="C70" s="345"/>
    </row>
    <row r="71" spans="1:3" x14ac:dyDescent="0.2">
      <c r="A71" s="346"/>
      <c r="B71" s="347"/>
      <c r="C71" s="348"/>
    </row>
    <row r="72" spans="1:3" x14ac:dyDescent="0.2">
      <c r="A72" s="346"/>
      <c r="B72" s="347"/>
      <c r="C72" s="348"/>
    </row>
    <row r="73" spans="1:3" x14ac:dyDescent="0.2">
      <c r="A73" s="349"/>
      <c r="B73" s="350"/>
      <c r="C73" s="351"/>
    </row>
    <row r="74" spans="1:3" x14ac:dyDescent="0.2">
      <c r="A74" s="123"/>
      <c r="B74" s="123"/>
      <c r="C74" s="123"/>
    </row>
    <row r="75" spans="1:3" x14ac:dyDescent="0.2">
      <c r="A75" s="336" t="s">
        <v>185</v>
      </c>
      <c r="B75" s="337"/>
      <c r="C75" s="338"/>
    </row>
    <row r="76" spans="1:3" x14ac:dyDescent="0.2">
      <c r="A76" s="86" t="s">
        <v>186</v>
      </c>
      <c r="B76" s="90">
        <f>+$B$7</f>
        <v>0</v>
      </c>
      <c r="C76" s="107"/>
    </row>
    <row r="77" spans="1:3" x14ac:dyDescent="0.2">
      <c r="A77" s="86" t="s">
        <v>153</v>
      </c>
      <c r="B77" s="86">
        <v>30</v>
      </c>
      <c r="C77" s="107"/>
    </row>
    <row r="78" spans="1:3" x14ac:dyDescent="0.2">
      <c r="A78" s="86" t="s">
        <v>187</v>
      </c>
      <c r="B78" s="86">
        <v>12</v>
      </c>
      <c r="C78" s="107"/>
    </row>
    <row r="79" spans="1:3" x14ac:dyDescent="0.2">
      <c r="A79" s="101" t="s">
        <v>188</v>
      </c>
      <c r="B79" s="101"/>
      <c r="C79" s="107"/>
    </row>
    <row r="80" spans="1:3" x14ac:dyDescent="0.2">
      <c r="A80" s="334" t="s">
        <v>189</v>
      </c>
      <c r="B80" s="335"/>
      <c r="C80" s="36">
        <f>+ROUND((B76/B77/B78)*B79,2)</f>
        <v>0</v>
      </c>
    </row>
    <row r="82" spans="1:3" x14ac:dyDescent="0.2">
      <c r="A82" s="336" t="s">
        <v>190</v>
      </c>
      <c r="B82" s="337"/>
      <c r="C82" s="338"/>
    </row>
    <row r="83" spans="1:3" x14ac:dyDescent="0.2">
      <c r="A83" s="86" t="s">
        <v>186</v>
      </c>
      <c r="B83" s="90">
        <f>+$B$7</f>
        <v>0</v>
      </c>
      <c r="C83" s="107"/>
    </row>
    <row r="84" spans="1:3" x14ac:dyDescent="0.2">
      <c r="A84" s="86" t="s">
        <v>153</v>
      </c>
      <c r="B84" s="86">
        <v>30</v>
      </c>
      <c r="C84" s="107"/>
    </row>
    <row r="85" spans="1:3" x14ac:dyDescent="0.2">
      <c r="A85" s="86" t="s">
        <v>187</v>
      </c>
      <c r="B85" s="86">
        <v>12</v>
      </c>
      <c r="C85" s="107"/>
    </row>
    <row r="86" spans="1:3" x14ac:dyDescent="0.2">
      <c r="A86" s="95" t="s">
        <v>191</v>
      </c>
      <c r="B86" s="86">
        <v>5</v>
      </c>
      <c r="C86" s="107"/>
    </row>
    <row r="87" spans="1:3" x14ac:dyDescent="0.2">
      <c r="A87" s="101" t="s">
        <v>192</v>
      </c>
      <c r="B87" s="116"/>
      <c r="C87" s="107"/>
    </row>
    <row r="88" spans="1:3" x14ac:dyDescent="0.2">
      <c r="A88" s="101" t="s">
        <v>193</v>
      </c>
      <c r="B88" s="116"/>
      <c r="C88" s="107"/>
    </row>
    <row r="89" spans="1:3" x14ac:dyDescent="0.2">
      <c r="A89" s="334" t="s">
        <v>194</v>
      </c>
      <c r="B89" s="335"/>
      <c r="C89" s="48">
        <f>ROUND(+B83/B84/B85*B86*B87*B88,2)</f>
        <v>0</v>
      </c>
    </row>
    <row r="91" spans="1:3" x14ac:dyDescent="0.2">
      <c r="A91" s="336" t="s">
        <v>195</v>
      </c>
      <c r="B91" s="337"/>
      <c r="C91" s="338"/>
    </row>
    <row r="92" spans="1:3" x14ac:dyDescent="0.2">
      <c r="A92" s="86" t="s">
        <v>186</v>
      </c>
      <c r="B92" s="90">
        <f>+$B$7</f>
        <v>0</v>
      </c>
      <c r="C92" s="107"/>
    </row>
    <row r="93" spans="1:3" x14ac:dyDescent="0.2">
      <c r="A93" s="86" t="s">
        <v>153</v>
      </c>
      <c r="B93" s="86">
        <v>30</v>
      </c>
      <c r="C93" s="107"/>
    </row>
    <row r="94" spans="1:3" x14ac:dyDescent="0.2">
      <c r="A94" s="86" t="s">
        <v>187</v>
      </c>
      <c r="B94" s="86">
        <v>12</v>
      </c>
      <c r="C94" s="107"/>
    </row>
    <row r="95" spans="1:3" x14ac:dyDescent="0.2">
      <c r="A95" s="95" t="s">
        <v>196</v>
      </c>
      <c r="B95" s="86">
        <v>15</v>
      </c>
      <c r="C95" s="107"/>
    </row>
    <row r="96" spans="1:3" x14ac:dyDescent="0.2">
      <c r="A96" s="101" t="s">
        <v>197</v>
      </c>
      <c r="B96" s="116"/>
      <c r="C96" s="107"/>
    </row>
    <row r="97" spans="1:3" x14ac:dyDescent="0.2">
      <c r="A97" s="334" t="s">
        <v>198</v>
      </c>
      <c r="B97" s="335"/>
      <c r="C97" s="48">
        <f>ROUND(+B92/B93/B94*B95*B96,2)</f>
        <v>0</v>
      </c>
    </row>
    <row r="99" spans="1:3" x14ac:dyDescent="0.2">
      <c r="A99" s="336" t="s">
        <v>199</v>
      </c>
      <c r="B99" s="337"/>
      <c r="C99" s="338"/>
    </row>
    <row r="100" spans="1:3" x14ac:dyDescent="0.2">
      <c r="A100" s="86" t="s">
        <v>186</v>
      </c>
      <c r="B100" s="90">
        <f>+$B$7</f>
        <v>0</v>
      </c>
      <c r="C100" s="107"/>
    </row>
    <row r="101" spans="1:3" x14ac:dyDescent="0.2">
      <c r="A101" s="86" t="s">
        <v>153</v>
      </c>
      <c r="B101" s="86">
        <v>30</v>
      </c>
      <c r="C101" s="107"/>
    </row>
    <row r="102" spans="1:3" x14ac:dyDescent="0.2">
      <c r="A102" s="86" t="s">
        <v>187</v>
      </c>
      <c r="B102" s="86">
        <v>12</v>
      </c>
      <c r="C102" s="107"/>
    </row>
    <row r="103" spans="1:3" x14ac:dyDescent="0.2">
      <c r="A103" s="95" t="s">
        <v>196</v>
      </c>
      <c r="B103" s="86">
        <v>5</v>
      </c>
      <c r="C103" s="107"/>
    </row>
    <row r="104" spans="1:3" x14ac:dyDescent="0.2">
      <c r="A104" s="101" t="s">
        <v>200</v>
      </c>
      <c r="B104" s="116"/>
      <c r="C104" s="107"/>
    </row>
    <row r="105" spans="1:3" x14ac:dyDescent="0.2">
      <c r="A105" s="334" t="s">
        <v>201</v>
      </c>
      <c r="B105" s="335"/>
      <c r="C105" s="48">
        <f>ROUND(+B100/B101/B102*B103*B104,2)</f>
        <v>0</v>
      </c>
    </row>
    <row r="107" spans="1:3" x14ac:dyDescent="0.2">
      <c r="A107" s="336" t="s">
        <v>202</v>
      </c>
      <c r="B107" s="337"/>
      <c r="C107" s="338"/>
    </row>
    <row r="108" spans="1:3" x14ac:dyDescent="0.2">
      <c r="A108" s="339" t="s">
        <v>203</v>
      </c>
      <c r="B108" s="340"/>
      <c r="C108" s="341"/>
    </row>
    <row r="109" spans="1:3" x14ac:dyDescent="0.2">
      <c r="A109" s="86" t="s">
        <v>186</v>
      </c>
      <c r="B109" s="90">
        <f>+$B$7</f>
        <v>0</v>
      </c>
      <c r="C109" s="107"/>
    </row>
    <row r="110" spans="1:3" x14ac:dyDescent="0.2">
      <c r="A110" s="86" t="s">
        <v>204</v>
      </c>
      <c r="B110" s="90">
        <f>+B109*(1/3)</f>
        <v>0</v>
      </c>
      <c r="C110" s="107"/>
    </row>
    <row r="111" spans="1:3" x14ac:dyDescent="0.2">
      <c r="A111" s="50" t="s">
        <v>170</v>
      </c>
      <c r="B111" s="51">
        <f>SUM(B109:B110)</f>
        <v>0</v>
      </c>
      <c r="C111" s="107"/>
    </row>
    <row r="112" spans="1:3" x14ac:dyDescent="0.2">
      <c r="A112" s="86" t="s">
        <v>205</v>
      </c>
      <c r="B112" s="86">
        <v>4</v>
      </c>
      <c r="C112" s="107"/>
    </row>
    <row r="113" spans="1:3" x14ac:dyDescent="0.2">
      <c r="A113" s="86" t="s">
        <v>187</v>
      </c>
      <c r="B113" s="86">
        <v>12</v>
      </c>
      <c r="C113" s="107"/>
    </row>
    <row r="114" spans="1:3" x14ac:dyDescent="0.2">
      <c r="A114" s="101" t="s">
        <v>206</v>
      </c>
      <c r="B114" s="116"/>
      <c r="C114" s="107"/>
    </row>
    <row r="115" spans="1:3" x14ac:dyDescent="0.2">
      <c r="A115" s="101" t="s">
        <v>207</v>
      </c>
      <c r="B115" s="116"/>
      <c r="C115" s="107"/>
    </row>
    <row r="116" spans="1:3" x14ac:dyDescent="0.2">
      <c r="A116" s="334" t="s">
        <v>208</v>
      </c>
      <c r="B116" s="335"/>
      <c r="C116" s="48">
        <f>ROUND((((+B111*(B112/B113)/B113)*B114)*B115),2)</f>
        <v>0</v>
      </c>
    </row>
    <row r="117" spans="1:3" x14ac:dyDescent="0.2">
      <c r="A117" s="334" t="s">
        <v>209</v>
      </c>
      <c r="B117" s="342"/>
      <c r="C117" s="335"/>
    </row>
    <row r="118" spans="1:3" x14ac:dyDescent="0.2">
      <c r="A118" s="86" t="s">
        <v>186</v>
      </c>
      <c r="B118" s="90">
        <f>+'Copeiragem Noturno'!D23</f>
        <v>0</v>
      </c>
      <c r="C118" s="107"/>
    </row>
    <row r="119" spans="1:3" x14ac:dyDescent="0.2">
      <c r="A119" s="86" t="s">
        <v>53</v>
      </c>
      <c r="B119" s="90">
        <f>+'Copeiragem Noturno'!D29</f>
        <v>0</v>
      </c>
      <c r="C119" s="107"/>
    </row>
    <row r="120" spans="1:3" x14ac:dyDescent="0.2">
      <c r="A120" s="50" t="s">
        <v>170</v>
      </c>
      <c r="B120" s="51">
        <f>SUM(B118:B119)</f>
        <v>0</v>
      </c>
      <c r="C120" s="107"/>
    </row>
    <row r="121" spans="1:3" x14ac:dyDescent="0.2">
      <c r="A121" s="86" t="s">
        <v>205</v>
      </c>
      <c r="B121" s="86">
        <v>4</v>
      </c>
      <c r="C121" s="107"/>
    </row>
    <row r="122" spans="1:3" x14ac:dyDescent="0.2">
      <c r="A122" s="86" t="s">
        <v>187</v>
      </c>
      <c r="B122" s="86">
        <v>12</v>
      </c>
      <c r="C122" s="107"/>
    </row>
    <row r="123" spans="1:3" x14ac:dyDescent="0.2">
      <c r="A123" s="101" t="s">
        <v>206</v>
      </c>
      <c r="B123" s="116">
        <f>+B114</f>
        <v>0</v>
      </c>
      <c r="C123" s="107"/>
    </row>
    <row r="124" spans="1:3" x14ac:dyDescent="0.2">
      <c r="A124" s="101" t="s">
        <v>207</v>
      </c>
      <c r="B124" s="116">
        <f>+B115</f>
        <v>0</v>
      </c>
      <c r="C124" s="107"/>
    </row>
    <row r="125" spans="1:3" x14ac:dyDescent="0.2">
      <c r="A125" s="95" t="s">
        <v>210</v>
      </c>
      <c r="B125" s="89">
        <f>+'Copeiragem Noturno'!C45</f>
        <v>0.36800000000000005</v>
      </c>
      <c r="C125" s="107"/>
    </row>
    <row r="126" spans="1:3" x14ac:dyDescent="0.2">
      <c r="A126" s="334" t="s">
        <v>211</v>
      </c>
      <c r="B126" s="335"/>
      <c r="C126" s="42">
        <f>ROUND((((B120*(B121/B122)*B123)*B124)*B125),2)</f>
        <v>0</v>
      </c>
    </row>
    <row r="128" spans="1:3" ht="30.75" customHeight="1" x14ac:dyDescent="0.2">
      <c r="A128" s="333" t="s">
        <v>264</v>
      </c>
      <c r="B128" s="333"/>
      <c r="C128" s="333"/>
    </row>
    <row r="130" spans="1:3" x14ac:dyDescent="0.2">
      <c r="A130" s="375" t="s">
        <v>267</v>
      </c>
      <c r="B130" s="375"/>
      <c r="C130" s="375"/>
    </row>
    <row r="131" spans="1:3" x14ac:dyDescent="0.2">
      <c r="A131" s="86" t="s">
        <v>152</v>
      </c>
      <c r="B131" s="86">
        <v>365.25</v>
      </c>
      <c r="C131" s="107"/>
    </row>
    <row r="132" spans="1:3" x14ac:dyDescent="0.2">
      <c r="A132" s="86" t="s">
        <v>153</v>
      </c>
      <c r="B132" s="95">
        <v>12</v>
      </c>
      <c r="C132" s="107"/>
    </row>
    <row r="133" spans="1:3" x14ac:dyDescent="0.2">
      <c r="A133" s="86" t="s">
        <v>154</v>
      </c>
      <c r="B133" s="89">
        <v>0.5</v>
      </c>
      <c r="C133" s="107"/>
    </row>
    <row r="134" spans="1:3" x14ac:dyDescent="0.2">
      <c r="A134" s="164" t="s">
        <v>268</v>
      </c>
      <c r="B134" s="95">
        <v>7</v>
      </c>
      <c r="C134" s="107"/>
    </row>
    <row r="135" spans="1:3" x14ac:dyDescent="0.2">
      <c r="A135" s="95" t="s">
        <v>269</v>
      </c>
      <c r="B135" s="107"/>
      <c r="C135" s="90">
        <f>+'Copeiragem Noturno'!$D$12</f>
        <v>0</v>
      </c>
    </row>
    <row r="136" spans="1:3" x14ac:dyDescent="0.2">
      <c r="A136" s="95" t="s">
        <v>31</v>
      </c>
      <c r="B136" s="107"/>
      <c r="C136" s="90">
        <f>+'Copeiragem Noturno'!$D$13</f>
        <v>0</v>
      </c>
    </row>
    <row r="137" spans="1:3" x14ac:dyDescent="0.2">
      <c r="A137" s="95" t="s">
        <v>32</v>
      </c>
      <c r="B137" s="107"/>
      <c r="C137" s="90">
        <f>+'Copeiragem Noturno'!$D$14</f>
        <v>0</v>
      </c>
    </row>
    <row r="138" spans="1:3" x14ac:dyDescent="0.2">
      <c r="A138" s="50" t="s">
        <v>270</v>
      </c>
      <c r="B138" s="107"/>
      <c r="C138" s="51">
        <f>SUM(C135:C137)</f>
        <v>0</v>
      </c>
    </row>
    <row r="139" spans="1:3" x14ac:dyDescent="0.2">
      <c r="A139" s="86" t="s">
        <v>147</v>
      </c>
      <c r="B139" s="165">
        <f>+B3</f>
        <v>220</v>
      </c>
      <c r="C139" s="107"/>
    </row>
    <row r="140" spans="1:3" x14ac:dyDescent="0.2">
      <c r="A140" s="95" t="s">
        <v>271</v>
      </c>
      <c r="B140" s="89">
        <v>0.2</v>
      </c>
      <c r="C140" s="107"/>
    </row>
    <row r="141" spans="1:3" x14ac:dyDescent="0.2">
      <c r="A141" s="95" t="s">
        <v>272</v>
      </c>
      <c r="B141" s="107"/>
      <c r="C141" s="166">
        <f>ROUND((C138/B139)*B140,2)</f>
        <v>0</v>
      </c>
    </row>
    <row r="142" spans="1:3" x14ac:dyDescent="0.2">
      <c r="A142" s="95" t="s">
        <v>273</v>
      </c>
      <c r="B142" s="86">
        <f>ROUND(+B131/B132*B133*B134,0)</f>
        <v>107</v>
      </c>
      <c r="C142" s="167"/>
    </row>
    <row r="143" spans="1:3" x14ac:dyDescent="0.2">
      <c r="A143" s="376" t="s">
        <v>274</v>
      </c>
      <c r="B143" s="376"/>
      <c r="C143" s="40">
        <f>ROUND(+B142*C141,2)</f>
        <v>0</v>
      </c>
    </row>
    <row r="145" spans="1:3" x14ac:dyDescent="0.2">
      <c r="A145" s="375" t="s">
        <v>275</v>
      </c>
      <c r="B145" s="375"/>
      <c r="C145" s="375"/>
    </row>
    <row r="146" spans="1:3" x14ac:dyDescent="0.2">
      <c r="A146" s="86" t="s">
        <v>152</v>
      </c>
      <c r="B146" s="86">
        <f>+$B$4</f>
        <v>365.25</v>
      </c>
      <c r="C146" s="107"/>
    </row>
    <row r="147" spans="1:3" x14ac:dyDescent="0.2">
      <c r="A147" s="86" t="s">
        <v>153</v>
      </c>
      <c r="B147" s="95">
        <v>12</v>
      </c>
      <c r="C147" s="107"/>
    </row>
    <row r="148" spans="1:3" x14ac:dyDescent="0.2">
      <c r="A148" s="86" t="s">
        <v>154</v>
      </c>
      <c r="B148" s="89">
        <v>0.5</v>
      </c>
      <c r="C148" s="107"/>
    </row>
    <row r="149" spans="1:3" x14ac:dyDescent="0.2">
      <c r="A149" s="164" t="s">
        <v>268</v>
      </c>
      <c r="B149" s="95">
        <v>7</v>
      </c>
      <c r="C149" s="107"/>
    </row>
    <row r="150" spans="1:3" x14ac:dyDescent="0.2">
      <c r="A150" s="95" t="s">
        <v>276</v>
      </c>
      <c r="B150" s="49">
        <f>(365.25/12/2)/(7/7)</f>
        <v>15.21875</v>
      </c>
      <c r="C150" s="86"/>
    </row>
    <row r="151" spans="1:3" x14ac:dyDescent="0.2">
      <c r="A151" s="95" t="s">
        <v>277</v>
      </c>
      <c r="B151" s="86">
        <f>ROUND(+B150*B149,2)</f>
        <v>106.53</v>
      </c>
      <c r="C151" s="86"/>
    </row>
    <row r="152" spans="1:3" x14ac:dyDescent="0.2">
      <c r="A152" s="95" t="s">
        <v>269</v>
      </c>
      <c r="B152" s="107"/>
      <c r="C152" s="90">
        <f>+'Copeiragem Noturno'!$D$12</f>
        <v>0</v>
      </c>
    </row>
    <row r="153" spans="1:3" x14ac:dyDescent="0.2">
      <c r="A153" s="95" t="s">
        <v>31</v>
      </c>
      <c r="B153" s="107"/>
      <c r="C153" s="90">
        <f>+'Copeiragem Noturno'!$D$13</f>
        <v>0</v>
      </c>
    </row>
    <row r="154" spans="1:3" x14ac:dyDescent="0.2">
      <c r="A154" s="95" t="s">
        <v>32</v>
      </c>
      <c r="B154" s="107"/>
      <c r="C154" s="90">
        <f>+'Copeiragem Noturno'!$D$14</f>
        <v>0</v>
      </c>
    </row>
    <row r="155" spans="1:3" x14ac:dyDescent="0.2">
      <c r="A155" s="50" t="s">
        <v>270</v>
      </c>
      <c r="B155" s="107"/>
      <c r="C155" s="51">
        <f>SUM(C152:C154)</f>
        <v>0</v>
      </c>
    </row>
    <row r="156" spans="1:3" x14ac:dyDescent="0.2">
      <c r="A156" s="86" t="s">
        <v>147</v>
      </c>
      <c r="B156" s="165">
        <f>+B3</f>
        <v>220</v>
      </c>
      <c r="C156" s="107"/>
    </row>
    <row r="157" spans="1:3" x14ac:dyDescent="0.2">
      <c r="A157" s="95" t="s">
        <v>271</v>
      </c>
      <c r="B157" s="89">
        <v>0.2</v>
      </c>
      <c r="C157" s="107"/>
    </row>
    <row r="158" spans="1:3" x14ac:dyDescent="0.2">
      <c r="A158" s="95" t="s">
        <v>272</v>
      </c>
      <c r="B158" s="107"/>
      <c r="C158" s="166">
        <f>ROUND((C155/B156)*B157,2)</f>
        <v>0</v>
      </c>
    </row>
    <row r="159" spans="1:3" x14ac:dyDescent="0.2">
      <c r="A159" s="95" t="s">
        <v>278</v>
      </c>
      <c r="B159" s="86">
        <v>60</v>
      </c>
      <c r="C159" s="107"/>
    </row>
    <row r="160" spans="1:3" x14ac:dyDescent="0.2">
      <c r="A160" s="95" t="s">
        <v>279</v>
      </c>
      <c r="B160" s="86">
        <v>52.5</v>
      </c>
      <c r="C160" s="107"/>
    </row>
    <row r="161" spans="1:3" x14ac:dyDescent="0.2">
      <c r="A161" s="95" t="s">
        <v>280</v>
      </c>
      <c r="B161" s="86">
        <f>+B159/B160</f>
        <v>1.1428571428571428</v>
      </c>
      <c r="C161" s="107"/>
    </row>
    <row r="162" spans="1:3" x14ac:dyDescent="0.2">
      <c r="A162" s="95" t="s">
        <v>281</v>
      </c>
      <c r="B162" s="86">
        <f>ROUND(+B161*B151,2)</f>
        <v>121.75</v>
      </c>
      <c r="C162" s="107"/>
    </row>
    <row r="163" spans="1:3" x14ac:dyDescent="0.2">
      <c r="A163" s="95" t="s">
        <v>282</v>
      </c>
      <c r="B163" s="86">
        <f>ROUND(B162-B151,2)</f>
        <v>15.22</v>
      </c>
      <c r="C163" s="167"/>
    </row>
    <row r="164" spans="1:3" x14ac:dyDescent="0.2">
      <c r="A164" s="307" t="s">
        <v>283</v>
      </c>
      <c r="B164" s="307"/>
      <c r="C164" s="42">
        <f>+B163*C158</f>
        <v>0</v>
      </c>
    </row>
  </sheetData>
  <mergeCells count="37">
    <mergeCell ref="A164:B164"/>
    <mergeCell ref="A117:C117"/>
    <mergeCell ref="A126:B126"/>
    <mergeCell ref="A128:C128"/>
    <mergeCell ref="A130:C130"/>
    <mergeCell ref="A143:B143"/>
    <mergeCell ref="A145:C145"/>
    <mergeCell ref="A116:B116"/>
    <mergeCell ref="A70:C73"/>
    <mergeCell ref="A75:C75"/>
    <mergeCell ref="A80:B80"/>
    <mergeCell ref="A82:C82"/>
    <mergeCell ref="A89:B89"/>
    <mergeCell ref="A91:C91"/>
    <mergeCell ref="A97:B97"/>
    <mergeCell ref="A99:C99"/>
    <mergeCell ref="A105:B105"/>
    <mergeCell ref="A107:C107"/>
    <mergeCell ref="A108:C108"/>
    <mergeCell ref="A69:C69"/>
    <mergeCell ref="A31:B31"/>
    <mergeCell ref="A33:C33"/>
    <mergeCell ref="A42:B42"/>
    <mergeCell ref="A44:B44"/>
    <mergeCell ref="A45:B45"/>
    <mergeCell ref="A47:C47"/>
    <mergeCell ref="A53:B53"/>
    <mergeCell ref="A55:C55"/>
    <mergeCell ref="A64:B64"/>
    <mergeCell ref="A66:B66"/>
    <mergeCell ref="A67:B67"/>
    <mergeCell ref="A27:C27"/>
    <mergeCell ref="A1:C1"/>
    <mergeCell ref="A9:C9"/>
    <mergeCell ref="A16:B16"/>
    <mergeCell ref="A18:C18"/>
    <mergeCell ref="A25:B25"/>
  </mergeCells>
  <pageMargins left="0.51181102362204722" right="0.51181102362204722" top="0.78740157480314965" bottom="0.78740157480314965" header="0.31496062992125984" footer="0.31496062992125984"/>
  <pageSetup paperSize="9" scale="70" orientation="portrait" r:id="rId1"/>
  <headerFooter>
    <oddFooter>&amp;A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G161"/>
  <sheetViews>
    <sheetView topLeftCell="A25" workbookViewId="0">
      <selection activeCell="D50" sqref="D50"/>
    </sheetView>
  </sheetViews>
  <sheetFormatPr defaultRowHeight="12.75" x14ac:dyDescent="0.2"/>
  <cols>
    <col min="1" max="1" width="6.42578125" style="71" customWidth="1"/>
    <col min="2" max="2" width="57.7109375" style="71" customWidth="1"/>
    <col min="3" max="3" width="10.7109375" style="71" bestFit="1" customWidth="1"/>
    <col min="4" max="4" width="17.85546875" style="71" customWidth="1"/>
    <col min="5" max="5" width="13.42578125" style="71" bestFit="1" customWidth="1"/>
    <col min="6" max="16384" width="9.140625" style="71"/>
  </cols>
  <sheetData>
    <row r="1" spans="1:6" x14ac:dyDescent="0.2">
      <c r="A1" s="322" t="s">
        <v>18</v>
      </c>
      <c r="B1" s="323"/>
      <c r="C1" s="323"/>
      <c r="D1" s="324"/>
      <c r="E1" s="17"/>
      <c r="F1" s="17"/>
    </row>
    <row r="3" spans="1:6" x14ac:dyDescent="0.2">
      <c r="A3" s="299" t="s">
        <v>19</v>
      </c>
      <c r="B3" s="300"/>
      <c r="C3" s="300"/>
      <c r="D3" s="308"/>
    </row>
    <row r="4" spans="1:6" s="74" customFormat="1" ht="27" customHeight="1" x14ac:dyDescent="0.25">
      <c r="A4" s="221">
        <v>1</v>
      </c>
      <c r="B4" s="222" t="s">
        <v>20</v>
      </c>
      <c r="C4" s="414" t="s">
        <v>358</v>
      </c>
      <c r="D4" s="415"/>
    </row>
    <row r="5" spans="1:6" s="74" customFormat="1" x14ac:dyDescent="0.25">
      <c r="A5" s="221">
        <v>2</v>
      </c>
      <c r="B5" s="222" t="s">
        <v>21</v>
      </c>
      <c r="C5" s="416" t="str">
        <f>+Apresentacao!E31</f>
        <v>7823-10</v>
      </c>
      <c r="D5" s="417"/>
    </row>
    <row r="6" spans="1:6" s="74" customFormat="1" x14ac:dyDescent="0.25">
      <c r="A6" s="221">
        <v>3</v>
      </c>
      <c r="B6" s="222" t="s">
        <v>22</v>
      </c>
      <c r="C6" s="418">
        <f>+Apresentacao!F31</f>
        <v>0</v>
      </c>
      <c r="D6" s="418"/>
    </row>
    <row r="7" spans="1:6" s="74" customFormat="1" ht="42.75" customHeight="1" x14ac:dyDescent="0.25">
      <c r="A7" s="221">
        <v>4</v>
      </c>
      <c r="B7" s="222" t="s">
        <v>23</v>
      </c>
      <c r="C7" s="419" t="s">
        <v>352</v>
      </c>
      <c r="D7" s="420"/>
    </row>
    <row r="8" spans="1:6" s="74" customFormat="1" x14ac:dyDescent="0.25">
      <c r="A8" s="221">
        <v>5</v>
      </c>
      <c r="B8" s="222" t="s">
        <v>25</v>
      </c>
      <c r="C8" s="421">
        <v>44255</v>
      </c>
      <c r="D8" s="417"/>
    </row>
    <row r="9" spans="1:6" x14ac:dyDescent="0.2">
      <c r="D9" s="18"/>
    </row>
    <row r="10" spans="1:6" x14ac:dyDescent="0.2">
      <c r="A10" s="291" t="s">
        <v>26</v>
      </c>
      <c r="B10" s="292"/>
      <c r="C10" s="292"/>
      <c r="D10" s="292"/>
    </row>
    <row r="11" spans="1:6" x14ac:dyDescent="0.2">
      <c r="A11" s="75">
        <v>1</v>
      </c>
      <c r="B11" s="76" t="s">
        <v>27</v>
      </c>
      <c r="C11" s="19" t="s">
        <v>28</v>
      </c>
      <c r="D11" s="77" t="s">
        <v>29</v>
      </c>
    </row>
    <row r="12" spans="1:6" x14ac:dyDescent="0.2">
      <c r="A12" s="208" t="s">
        <v>6</v>
      </c>
      <c r="B12" s="289" t="s">
        <v>30</v>
      </c>
      <c r="C12" s="289"/>
      <c r="D12" s="79">
        <f>+C6</f>
        <v>0</v>
      </c>
    </row>
    <row r="13" spans="1:6" x14ac:dyDescent="0.2">
      <c r="A13" s="208" t="s">
        <v>8</v>
      </c>
      <c r="B13" s="80" t="s">
        <v>31</v>
      </c>
      <c r="C13" s="81"/>
      <c r="D13" s="79"/>
      <c r="E13" s="82"/>
    </row>
    <row r="14" spans="1:6" x14ac:dyDescent="0.2">
      <c r="A14" s="170" t="s">
        <v>11</v>
      </c>
      <c r="B14" s="171" t="s">
        <v>32</v>
      </c>
      <c r="C14" s="172"/>
      <c r="D14" s="173">
        <f>+C14*D12</f>
        <v>0</v>
      </c>
    </row>
    <row r="15" spans="1:6" x14ac:dyDescent="0.2">
      <c r="A15" s="208" t="s">
        <v>13</v>
      </c>
      <c r="B15" s="289" t="s">
        <v>33</v>
      </c>
      <c r="C15" s="289"/>
      <c r="D15" s="79"/>
    </row>
    <row r="16" spans="1:6" x14ac:dyDescent="0.2">
      <c r="A16" s="208" t="s">
        <v>34</v>
      </c>
      <c r="B16" s="289" t="s">
        <v>35</v>
      </c>
      <c r="C16" s="289"/>
      <c r="D16" s="79"/>
    </row>
    <row r="17" spans="1:6" x14ac:dyDescent="0.2">
      <c r="A17" s="208" t="s">
        <v>36</v>
      </c>
      <c r="B17" s="318" t="s">
        <v>37</v>
      </c>
      <c r="C17" s="319"/>
      <c r="D17" s="79"/>
    </row>
    <row r="18" spans="1:6" x14ac:dyDescent="0.2">
      <c r="A18" s="208" t="s">
        <v>38</v>
      </c>
      <c r="B18" s="289" t="s">
        <v>39</v>
      </c>
      <c r="C18" s="289"/>
      <c r="D18" s="79"/>
    </row>
    <row r="19" spans="1:6" x14ac:dyDescent="0.2">
      <c r="A19" s="208" t="s">
        <v>40</v>
      </c>
      <c r="B19" s="318" t="s">
        <v>41</v>
      </c>
      <c r="C19" s="319"/>
      <c r="D19" s="83"/>
    </row>
    <row r="20" spans="1:6" x14ac:dyDescent="0.2">
      <c r="A20" s="208" t="s">
        <v>42</v>
      </c>
      <c r="B20" s="80" t="s">
        <v>43</v>
      </c>
      <c r="C20" s="81"/>
      <c r="D20" s="79"/>
    </row>
    <row r="21" spans="1:6" x14ac:dyDescent="0.2">
      <c r="A21" s="208" t="s">
        <v>44</v>
      </c>
      <c r="B21" s="365" t="s">
        <v>45</v>
      </c>
      <c r="C21" s="366"/>
      <c r="D21" s="84"/>
      <c r="F21" s="85"/>
    </row>
    <row r="22" spans="1:6" x14ac:dyDescent="0.2">
      <c r="A22" s="208" t="s">
        <v>46</v>
      </c>
      <c r="B22" s="289" t="s">
        <v>47</v>
      </c>
      <c r="C22" s="289"/>
      <c r="D22" s="84"/>
    </row>
    <row r="23" spans="1:6" x14ac:dyDescent="0.2">
      <c r="A23" s="290" t="s">
        <v>48</v>
      </c>
      <c r="B23" s="290"/>
      <c r="C23" s="290"/>
      <c r="D23" s="20">
        <f>SUM(D12:D22)</f>
        <v>0</v>
      </c>
    </row>
    <row r="25" spans="1:6" x14ac:dyDescent="0.2">
      <c r="A25" s="291" t="s">
        <v>49</v>
      </c>
      <c r="B25" s="292"/>
      <c r="C25" s="292"/>
      <c r="D25" s="292"/>
    </row>
    <row r="27" spans="1:6" x14ac:dyDescent="0.2">
      <c r="A27" s="291" t="s">
        <v>50</v>
      </c>
      <c r="B27" s="292"/>
      <c r="C27" s="292"/>
      <c r="D27" s="292"/>
    </row>
    <row r="28" spans="1:6" x14ac:dyDescent="0.2">
      <c r="A28" s="21" t="s">
        <v>51</v>
      </c>
      <c r="B28" s="22" t="s">
        <v>52</v>
      </c>
      <c r="C28" s="23" t="s">
        <v>28</v>
      </c>
      <c r="D28" s="24" t="s">
        <v>29</v>
      </c>
    </row>
    <row r="29" spans="1:6" x14ac:dyDescent="0.2">
      <c r="A29" s="208" t="s">
        <v>6</v>
      </c>
      <c r="B29" s="86" t="s">
        <v>53</v>
      </c>
      <c r="C29" s="87" t="e">
        <f>ROUND(+D29/$D$23,4)</f>
        <v>#DIV/0!</v>
      </c>
      <c r="D29" s="84">
        <f>ROUND(+D23/12,2)</f>
        <v>0</v>
      </c>
    </row>
    <row r="30" spans="1:6" x14ac:dyDescent="0.2">
      <c r="A30" s="25" t="s">
        <v>8</v>
      </c>
      <c r="B30" s="88" t="s">
        <v>54</v>
      </c>
      <c r="C30" s="26" t="e">
        <f>ROUND(+D30/$D$23,4)</f>
        <v>#DIV/0!</v>
      </c>
      <c r="D30" s="27">
        <f>+D31+D32</f>
        <v>0</v>
      </c>
    </row>
    <row r="31" spans="1:6" x14ac:dyDescent="0.2">
      <c r="A31" s="208" t="s">
        <v>55</v>
      </c>
      <c r="B31" s="28" t="s">
        <v>56</v>
      </c>
      <c r="C31" s="29" t="e">
        <f>ROUND(+D31/$D$23,4)</f>
        <v>#DIV/0!</v>
      </c>
      <c r="D31" s="30">
        <f>ROUND(+D23/12,2)</f>
        <v>0</v>
      </c>
    </row>
    <row r="32" spans="1:6" x14ac:dyDescent="0.2">
      <c r="A32" s="208" t="s">
        <v>57</v>
      </c>
      <c r="B32" s="28" t="s">
        <v>58</v>
      </c>
      <c r="C32" s="29" t="e">
        <f>ROUND(+D32/$D$23,4)</f>
        <v>#DIV/0!</v>
      </c>
      <c r="D32" s="30">
        <f>ROUND(+(D23*1/3)/12,2)</f>
        <v>0</v>
      </c>
    </row>
    <row r="33" spans="1:4" x14ac:dyDescent="0.2">
      <c r="A33" s="290" t="s">
        <v>48</v>
      </c>
      <c r="B33" s="290"/>
      <c r="C33" s="290"/>
      <c r="D33" s="20">
        <f>+D30+D29</f>
        <v>0</v>
      </c>
    </row>
    <row r="35" spans="1:4" ht="29.25" customHeight="1" x14ac:dyDescent="0.2">
      <c r="A35" s="320" t="s">
        <v>59</v>
      </c>
      <c r="B35" s="321"/>
      <c r="C35" s="321"/>
      <c r="D35" s="321"/>
    </row>
    <row r="36" spans="1:4" x14ac:dyDescent="0.2">
      <c r="A36" s="21" t="s">
        <v>60</v>
      </c>
      <c r="B36" s="31" t="s">
        <v>61</v>
      </c>
      <c r="C36" s="23" t="s">
        <v>28</v>
      </c>
      <c r="D36" s="24" t="s">
        <v>29</v>
      </c>
    </row>
    <row r="37" spans="1:4" x14ac:dyDescent="0.2">
      <c r="A37" s="208" t="s">
        <v>6</v>
      </c>
      <c r="B37" s="86" t="s">
        <v>62</v>
      </c>
      <c r="C37" s="89">
        <v>0.2</v>
      </c>
      <c r="D37" s="90">
        <f>ROUND(C37*($D$23+$D$33),2)</f>
        <v>0</v>
      </c>
    </row>
    <row r="38" spans="1:4" x14ac:dyDescent="0.2">
      <c r="A38" s="208" t="s">
        <v>8</v>
      </c>
      <c r="B38" s="86" t="s">
        <v>63</v>
      </c>
      <c r="C38" s="89">
        <v>2.5000000000000001E-2</v>
      </c>
      <c r="D38" s="90">
        <f>ROUND(C38*($D$23+$D$33),2)</f>
        <v>0</v>
      </c>
    </row>
    <row r="39" spans="1:4" x14ac:dyDescent="0.2">
      <c r="A39" s="208" t="s">
        <v>11</v>
      </c>
      <c r="B39" s="86" t="s">
        <v>64</v>
      </c>
      <c r="C39" s="89">
        <f>3%</f>
        <v>0.03</v>
      </c>
      <c r="D39" s="90">
        <f t="shared" ref="D39:D43" si="0">ROUND(C39*($D$23+$D$33),2)</f>
        <v>0</v>
      </c>
    </row>
    <row r="40" spans="1:4" x14ac:dyDescent="0.2">
      <c r="A40" s="208" t="s">
        <v>13</v>
      </c>
      <c r="B40" s="86" t="s">
        <v>65</v>
      </c>
      <c r="C40" s="89">
        <v>1.4999999999999999E-2</v>
      </c>
      <c r="D40" s="90">
        <f t="shared" si="0"/>
        <v>0</v>
      </c>
    </row>
    <row r="41" spans="1:4" x14ac:dyDescent="0.2">
      <c r="A41" s="208" t="s">
        <v>34</v>
      </c>
      <c r="B41" s="86" t="s">
        <v>66</v>
      </c>
      <c r="C41" s="89">
        <v>0.01</v>
      </c>
      <c r="D41" s="90">
        <f t="shared" si="0"/>
        <v>0</v>
      </c>
    </row>
    <row r="42" spans="1:4" x14ac:dyDescent="0.2">
      <c r="A42" s="208" t="s">
        <v>36</v>
      </c>
      <c r="B42" s="86" t="s">
        <v>67</v>
      </c>
      <c r="C42" s="89">
        <v>6.0000000000000001E-3</v>
      </c>
      <c r="D42" s="90">
        <f t="shared" si="0"/>
        <v>0</v>
      </c>
    </row>
    <row r="43" spans="1:4" x14ac:dyDescent="0.2">
      <c r="A43" s="208" t="s">
        <v>38</v>
      </c>
      <c r="B43" s="86" t="s">
        <v>68</v>
      </c>
      <c r="C43" s="89">
        <v>2E-3</v>
      </c>
      <c r="D43" s="90">
        <f t="shared" si="0"/>
        <v>0</v>
      </c>
    </row>
    <row r="44" spans="1:4" x14ac:dyDescent="0.2">
      <c r="A44" s="208" t="s">
        <v>40</v>
      </c>
      <c r="B44" s="86" t="s">
        <v>69</v>
      </c>
      <c r="C44" s="89">
        <v>0.08</v>
      </c>
      <c r="D44" s="90">
        <f>ROUND(C44*($D$23+$D$33),2)</f>
        <v>0</v>
      </c>
    </row>
    <row r="45" spans="1:4" x14ac:dyDescent="0.2">
      <c r="A45" s="206" t="s">
        <v>48</v>
      </c>
      <c r="B45" s="207"/>
      <c r="C45" s="32">
        <f>SUM(C37:C44)</f>
        <v>0.36800000000000005</v>
      </c>
      <c r="D45" s="33">
        <f>SUM(D37:D44)</f>
        <v>0</v>
      </c>
    </row>
    <row r="46" spans="1:4" x14ac:dyDescent="0.2">
      <c r="A46" s="91"/>
      <c r="B46" s="91"/>
      <c r="C46" s="91"/>
      <c r="D46" s="91"/>
    </row>
    <row r="47" spans="1:4" x14ac:dyDescent="0.2">
      <c r="A47" s="320" t="s">
        <v>70</v>
      </c>
      <c r="B47" s="321"/>
      <c r="C47" s="321"/>
      <c r="D47" s="321"/>
    </row>
    <row r="48" spans="1:4" x14ac:dyDescent="0.2">
      <c r="A48" s="21" t="s">
        <v>71</v>
      </c>
      <c r="B48" s="31" t="s">
        <v>72</v>
      </c>
      <c r="C48" s="23"/>
      <c r="D48" s="24" t="s">
        <v>29</v>
      </c>
    </row>
    <row r="49" spans="1:6" x14ac:dyDescent="0.2">
      <c r="A49" s="92" t="s">
        <v>6</v>
      </c>
      <c r="B49" s="86" t="s">
        <v>73</v>
      </c>
      <c r="C49" s="93"/>
      <c r="D49" s="90">
        <f>+'Men Cal Motorista'!C16</f>
        <v>0</v>
      </c>
    </row>
    <row r="50" spans="1:6" x14ac:dyDescent="0.2">
      <c r="A50" s="92" t="s">
        <v>8</v>
      </c>
      <c r="B50" s="86" t="s">
        <v>76</v>
      </c>
      <c r="C50" s="93"/>
      <c r="D50" s="90">
        <f>+'Men Cal Motorista'!C25</f>
        <v>0</v>
      </c>
      <c r="F50" s="99"/>
    </row>
    <row r="51" spans="1:6" x14ac:dyDescent="0.2">
      <c r="A51" s="101" t="s">
        <v>11</v>
      </c>
      <c r="B51" s="101" t="s">
        <v>353</v>
      </c>
      <c r="C51" s="93"/>
      <c r="D51" s="102"/>
      <c r="F51" s="99"/>
    </row>
    <row r="52" spans="1:6" x14ac:dyDescent="0.2">
      <c r="A52" s="101" t="s">
        <v>13</v>
      </c>
      <c r="B52" s="101" t="s">
        <v>354</v>
      </c>
      <c r="C52" s="93"/>
      <c r="D52" s="102"/>
      <c r="F52" s="99"/>
    </row>
    <row r="53" spans="1:6" x14ac:dyDescent="0.2">
      <c r="A53" s="101" t="s">
        <v>34</v>
      </c>
      <c r="B53" s="103" t="s">
        <v>355</v>
      </c>
      <c r="C53" s="93"/>
      <c r="D53" s="223"/>
      <c r="F53" s="104"/>
    </row>
    <row r="54" spans="1:6" x14ac:dyDescent="0.2">
      <c r="A54" s="101" t="s">
        <v>36</v>
      </c>
      <c r="B54" s="422" t="s">
        <v>80</v>
      </c>
      <c r="C54" s="422"/>
      <c r="D54" s="102"/>
    </row>
    <row r="55" spans="1:6" x14ac:dyDescent="0.2">
      <c r="A55" s="299" t="s">
        <v>48</v>
      </c>
      <c r="B55" s="308"/>
      <c r="C55" s="34"/>
      <c r="D55" s="35">
        <f>SUM(D49:D54)</f>
        <v>0</v>
      </c>
    </row>
    <row r="57" spans="1:6" x14ac:dyDescent="0.2">
      <c r="A57" s="291" t="s">
        <v>81</v>
      </c>
      <c r="B57" s="292"/>
      <c r="C57" s="292"/>
      <c r="D57" s="292"/>
    </row>
    <row r="58" spans="1:6" x14ac:dyDescent="0.2">
      <c r="A58" s="36">
        <v>2</v>
      </c>
      <c r="B58" s="315" t="s">
        <v>82</v>
      </c>
      <c r="C58" s="315"/>
      <c r="D58" s="37" t="s">
        <v>29</v>
      </c>
    </row>
    <row r="59" spans="1:6" x14ac:dyDescent="0.2">
      <c r="A59" s="95" t="s">
        <v>51</v>
      </c>
      <c r="B59" s="316" t="s">
        <v>52</v>
      </c>
      <c r="C59" s="316"/>
      <c r="D59" s="90">
        <f>+D33</f>
        <v>0</v>
      </c>
    </row>
    <row r="60" spans="1:6" x14ac:dyDescent="0.2">
      <c r="A60" s="95" t="s">
        <v>60</v>
      </c>
      <c r="B60" s="316" t="s">
        <v>61</v>
      </c>
      <c r="C60" s="316"/>
      <c r="D60" s="90">
        <f>+D45</f>
        <v>0</v>
      </c>
    </row>
    <row r="61" spans="1:6" x14ac:dyDescent="0.2">
      <c r="A61" s="95" t="s">
        <v>71</v>
      </c>
      <c r="B61" s="316" t="s">
        <v>72</v>
      </c>
      <c r="C61" s="316"/>
      <c r="D61" s="105">
        <f>+D55</f>
        <v>0</v>
      </c>
    </row>
    <row r="62" spans="1:6" x14ac:dyDescent="0.2">
      <c r="A62" s="315" t="s">
        <v>48</v>
      </c>
      <c r="B62" s="315"/>
      <c r="C62" s="315"/>
      <c r="D62" s="38">
        <f>SUM(D59:D61)</f>
        <v>0</v>
      </c>
    </row>
    <row r="64" spans="1:6" x14ac:dyDescent="0.2">
      <c r="A64" s="291" t="s">
        <v>83</v>
      </c>
      <c r="B64" s="292"/>
      <c r="C64" s="292"/>
      <c r="D64" s="292"/>
    </row>
    <row r="66" spans="1:4" x14ac:dyDescent="0.2">
      <c r="A66" s="39">
        <v>3</v>
      </c>
      <c r="B66" s="22" t="s">
        <v>84</v>
      </c>
      <c r="C66" s="19" t="s">
        <v>28</v>
      </c>
      <c r="D66" s="19" t="s">
        <v>29</v>
      </c>
    </row>
    <row r="67" spans="1:4" x14ac:dyDescent="0.2">
      <c r="A67" s="208" t="s">
        <v>6</v>
      </c>
      <c r="B67" s="95" t="s">
        <v>85</v>
      </c>
      <c r="C67" s="87" t="e">
        <f>+D67/$D$23</f>
        <v>#DIV/0!</v>
      </c>
      <c r="D67" s="106">
        <f>+'Men Cal Motorista'!C31</f>
        <v>0</v>
      </c>
    </row>
    <row r="68" spans="1:4" x14ac:dyDescent="0.2">
      <c r="A68" s="208" t="s">
        <v>8</v>
      </c>
      <c r="B68" s="86" t="s">
        <v>86</v>
      </c>
      <c r="C68" s="107"/>
      <c r="D68" s="84">
        <f>ROUND(+D67*$C$44,2)</f>
        <v>0</v>
      </c>
    </row>
    <row r="69" spans="1:4" ht="25.5" x14ac:dyDescent="0.2">
      <c r="A69" s="208" t="s">
        <v>11</v>
      </c>
      <c r="B69" s="108" t="s">
        <v>87</v>
      </c>
      <c r="C69" s="89" t="e">
        <f>+D69/$D$23</f>
        <v>#DIV/0!</v>
      </c>
      <c r="D69" s="84">
        <f>+'Men Cal Motorista'!C43</f>
        <v>0</v>
      </c>
    </row>
    <row r="70" spans="1:4" x14ac:dyDescent="0.2">
      <c r="A70" s="209" t="s">
        <v>13</v>
      </c>
      <c r="B70" s="86" t="s">
        <v>88</v>
      </c>
      <c r="C70" s="89" t="e">
        <f>+D70/$D$23</f>
        <v>#DIV/0!</v>
      </c>
      <c r="D70" s="84">
        <f>+'Men Cal Motorista'!C51</f>
        <v>0</v>
      </c>
    </row>
    <row r="71" spans="1:4" ht="25.5" x14ac:dyDescent="0.2">
      <c r="A71" s="209" t="s">
        <v>34</v>
      </c>
      <c r="B71" s="108" t="s">
        <v>89</v>
      </c>
      <c r="C71" s="107"/>
      <c r="D71" s="110"/>
    </row>
    <row r="72" spans="1:4" ht="25.5" x14ac:dyDescent="0.2">
      <c r="A72" s="209" t="s">
        <v>36</v>
      </c>
      <c r="B72" s="108" t="s">
        <v>90</v>
      </c>
      <c r="C72" s="89" t="e">
        <f>+D72/$D$23</f>
        <v>#DIV/0!</v>
      </c>
      <c r="D72" s="90">
        <f>+'Men Cal Motorista'!C63</f>
        <v>0</v>
      </c>
    </row>
    <row r="73" spans="1:4" x14ac:dyDescent="0.2">
      <c r="A73" s="299" t="s">
        <v>48</v>
      </c>
      <c r="B73" s="300"/>
      <c r="C73" s="308"/>
      <c r="D73" s="40">
        <f>SUM(D67:D72)</f>
        <v>0</v>
      </c>
    </row>
    <row r="75" spans="1:4" x14ac:dyDescent="0.2">
      <c r="A75" s="291" t="s">
        <v>91</v>
      </c>
      <c r="B75" s="292"/>
      <c r="C75" s="292"/>
      <c r="D75" s="292"/>
    </row>
    <row r="77" spans="1:4" x14ac:dyDescent="0.2">
      <c r="A77" s="317" t="s">
        <v>92</v>
      </c>
      <c r="B77" s="317"/>
      <c r="C77" s="317"/>
      <c r="D77" s="317"/>
    </row>
    <row r="78" spans="1:4" x14ac:dyDescent="0.2">
      <c r="A78" s="39" t="s">
        <v>93</v>
      </c>
      <c r="B78" s="299" t="s">
        <v>94</v>
      </c>
      <c r="C78" s="308"/>
      <c r="D78" s="19" t="s">
        <v>29</v>
      </c>
    </row>
    <row r="79" spans="1:4" x14ac:dyDescent="0.2">
      <c r="A79" s="86" t="s">
        <v>6</v>
      </c>
      <c r="B79" s="303" t="s">
        <v>95</v>
      </c>
      <c r="C79" s="304"/>
      <c r="D79" s="84"/>
    </row>
    <row r="80" spans="1:4" x14ac:dyDescent="0.2">
      <c r="A80" s="95" t="s">
        <v>8</v>
      </c>
      <c r="B80" s="309" t="s">
        <v>94</v>
      </c>
      <c r="C80" s="310"/>
      <c r="D80" s="111">
        <f>+'Men Cal Motorista'!C76</f>
        <v>0</v>
      </c>
    </row>
    <row r="81" spans="1:4" s="97" customFormat="1" x14ac:dyDescent="0.2">
      <c r="A81" s="95" t="s">
        <v>11</v>
      </c>
      <c r="B81" s="309" t="s">
        <v>96</v>
      </c>
      <c r="C81" s="310"/>
      <c r="D81" s="111">
        <f>+'Men Cal Motorista'!C85</f>
        <v>0</v>
      </c>
    </row>
    <row r="82" spans="1:4" s="97" customFormat="1" x14ac:dyDescent="0.2">
      <c r="A82" s="95" t="s">
        <v>13</v>
      </c>
      <c r="B82" s="309" t="s">
        <v>97</v>
      </c>
      <c r="C82" s="310"/>
      <c r="D82" s="111">
        <f>+'Men Cal Motorista'!C93</f>
        <v>0</v>
      </c>
    </row>
    <row r="83" spans="1:4" s="97" customFormat="1" ht="14.25" x14ac:dyDescent="0.2">
      <c r="A83" s="95" t="s">
        <v>34</v>
      </c>
      <c r="B83" s="309" t="s">
        <v>233</v>
      </c>
      <c r="C83" s="310"/>
      <c r="D83" s="111"/>
    </row>
    <row r="84" spans="1:4" s="97" customFormat="1" x14ac:dyDescent="0.2">
      <c r="A84" s="95" t="s">
        <v>36</v>
      </c>
      <c r="B84" s="309" t="s">
        <v>98</v>
      </c>
      <c r="C84" s="310"/>
      <c r="D84" s="111">
        <f>+'Men Cal Motorista'!C101</f>
        <v>0</v>
      </c>
    </row>
    <row r="85" spans="1:4" x14ac:dyDescent="0.2">
      <c r="A85" s="86" t="s">
        <v>38</v>
      </c>
      <c r="B85" s="303" t="s">
        <v>47</v>
      </c>
      <c r="C85" s="304"/>
      <c r="D85" s="84"/>
    </row>
    <row r="86" spans="1:4" x14ac:dyDescent="0.2">
      <c r="A86" s="86" t="s">
        <v>40</v>
      </c>
      <c r="B86" s="303" t="s">
        <v>99</v>
      </c>
      <c r="C86" s="304"/>
      <c r="D86" s="110"/>
    </row>
    <row r="87" spans="1:4" x14ac:dyDescent="0.2">
      <c r="A87" s="290" t="s">
        <v>48</v>
      </c>
      <c r="B87" s="290"/>
      <c r="C87" s="290"/>
      <c r="D87" s="20">
        <f>SUM(D79:D86)</f>
        <v>0</v>
      </c>
    </row>
    <row r="88" spans="1:4" x14ac:dyDescent="0.2">
      <c r="D88" s="112"/>
    </row>
    <row r="89" spans="1:4" x14ac:dyDescent="0.2">
      <c r="A89" s="39" t="s">
        <v>100</v>
      </c>
      <c r="B89" s="299" t="s">
        <v>101</v>
      </c>
      <c r="C89" s="308"/>
      <c r="D89" s="19" t="s">
        <v>29</v>
      </c>
    </row>
    <row r="90" spans="1:4" s="97" customFormat="1" x14ac:dyDescent="0.2">
      <c r="A90" s="95" t="s">
        <v>6</v>
      </c>
      <c r="B90" s="311" t="s">
        <v>102</v>
      </c>
      <c r="C90" s="312"/>
      <c r="D90" s="111">
        <f>+'Men Cal Motorista'!C112</f>
        <v>0</v>
      </c>
    </row>
    <row r="91" spans="1:4" s="97" customFormat="1" x14ac:dyDescent="0.2">
      <c r="A91" s="95" t="s">
        <v>8</v>
      </c>
      <c r="B91" s="313" t="s">
        <v>103</v>
      </c>
      <c r="C91" s="314"/>
      <c r="D91" s="110"/>
    </row>
    <row r="92" spans="1:4" s="97" customFormat="1" x14ac:dyDescent="0.2">
      <c r="A92" s="95" t="s">
        <v>11</v>
      </c>
      <c r="B92" s="313" t="s">
        <v>104</v>
      </c>
      <c r="C92" s="314"/>
      <c r="D92" s="110"/>
    </row>
    <row r="93" spans="1:4" x14ac:dyDescent="0.2">
      <c r="A93" s="86" t="s">
        <v>13</v>
      </c>
      <c r="B93" s="303" t="s">
        <v>47</v>
      </c>
      <c r="C93" s="304"/>
      <c r="D93" s="84"/>
    </row>
    <row r="94" spans="1:4" x14ac:dyDescent="0.2">
      <c r="A94" s="290" t="s">
        <v>48</v>
      </c>
      <c r="B94" s="290"/>
      <c r="C94" s="290"/>
      <c r="D94" s="20">
        <f>SUM(D90:D93)</f>
        <v>0</v>
      </c>
    </row>
    <row r="95" spans="1:4" x14ac:dyDescent="0.2">
      <c r="D95" s="112"/>
    </row>
    <row r="96" spans="1:4" x14ac:dyDescent="0.2">
      <c r="A96" s="39" t="s">
        <v>105</v>
      </c>
      <c r="B96" s="290" t="s">
        <v>106</v>
      </c>
      <c r="C96" s="290"/>
      <c r="D96" s="19" t="s">
        <v>29</v>
      </c>
    </row>
    <row r="97" spans="1:4" s="114" customFormat="1" x14ac:dyDescent="0.25">
      <c r="A97" s="209" t="s">
        <v>6</v>
      </c>
      <c r="B97" s="302" t="s">
        <v>107</v>
      </c>
      <c r="C97" s="302"/>
      <c r="D97" s="113"/>
    </row>
    <row r="98" spans="1:4" x14ac:dyDescent="0.2">
      <c r="A98" s="290" t="s">
        <v>48</v>
      </c>
      <c r="B98" s="290"/>
      <c r="C98" s="290"/>
      <c r="D98" s="20">
        <f>SUM(D97:D97)</f>
        <v>0</v>
      </c>
    </row>
    <row r="100" spans="1:4" x14ac:dyDescent="0.2">
      <c r="A100" s="210" t="s">
        <v>108</v>
      </c>
      <c r="B100" s="210"/>
      <c r="C100" s="210"/>
      <c r="D100" s="210"/>
    </row>
    <row r="101" spans="1:4" x14ac:dyDescent="0.2">
      <c r="A101" s="86" t="s">
        <v>93</v>
      </c>
      <c r="B101" s="303" t="s">
        <v>94</v>
      </c>
      <c r="C101" s="304"/>
      <c r="D101" s="90">
        <f>+D87</f>
        <v>0</v>
      </c>
    </row>
    <row r="102" spans="1:4" x14ac:dyDescent="0.2">
      <c r="A102" s="86" t="s">
        <v>100</v>
      </c>
      <c r="B102" s="303" t="s">
        <v>101</v>
      </c>
      <c r="C102" s="304"/>
      <c r="D102" s="90">
        <f>+D94</f>
        <v>0</v>
      </c>
    </row>
    <row r="103" spans="1:4" x14ac:dyDescent="0.2">
      <c r="A103" s="115"/>
      <c r="B103" s="305" t="s">
        <v>109</v>
      </c>
      <c r="C103" s="306"/>
      <c r="D103" s="41">
        <f>+D102+D101</f>
        <v>0</v>
      </c>
    </row>
    <row r="104" spans="1:4" x14ac:dyDescent="0.2">
      <c r="A104" s="86" t="s">
        <v>105</v>
      </c>
      <c r="B104" s="303" t="s">
        <v>106</v>
      </c>
      <c r="C104" s="304"/>
      <c r="D104" s="90">
        <f>+D98</f>
        <v>0</v>
      </c>
    </row>
    <row r="105" spans="1:4" x14ac:dyDescent="0.2">
      <c r="A105" s="307" t="s">
        <v>48</v>
      </c>
      <c r="B105" s="307"/>
      <c r="C105" s="307"/>
      <c r="D105" s="42">
        <f>+D104+D103</f>
        <v>0</v>
      </c>
    </row>
    <row r="107" spans="1:4" x14ac:dyDescent="0.2">
      <c r="A107" s="291" t="s">
        <v>110</v>
      </c>
      <c r="B107" s="292"/>
      <c r="C107" s="292"/>
      <c r="D107" s="292"/>
    </row>
    <row r="109" spans="1:4" x14ac:dyDescent="0.2">
      <c r="A109" s="39">
        <v>5</v>
      </c>
      <c r="B109" s="299" t="s">
        <v>111</v>
      </c>
      <c r="C109" s="308"/>
      <c r="D109" s="19" t="s">
        <v>29</v>
      </c>
    </row>
    <row r="110" spans="1:4" x14ac:dyDescent="0.2">
      <c r="A110" s="86" t="s">
        <v>6</v>
      </c>
      <c r="B110" s="289" t="s">
        <v>112</v>
      </c>
      <c r="C110" s="289"/>
      <c r="D110" s="84">
        <f>+Uniforme!E48</f>
        <v>0</v>
      </c>
    </row>
    <row r="111" spans="1:4" x14ac:dyDescent="0.2">
      <c r="A111" s="86" t="s">
        <v>8</v>
      </c>
      <c r="B111" s="289" t="s">
        <v>113</v>
      </c>
      <c r="C111" s="289"/>
      <c r="D111" s="84"/>
    </row>
    <row r="112" spans="1:4" x14ac:dyDescent="0.2">
      <c r="A112" s="86" t="s">
        <v>11</v>
      </c>
      <c r="B112" s="289" t="s">
        <v>114</v>
      </c>
      <c r="C112" s="289"/>
      <c r="D112" s="84"/>
    </row>
    <row r="113" spans="1:7" x14ac:dyDescent="0.2">
      <c r="A113" s="86" t="s">
        <v>13</v>
      </c>
      <c r="B113" s="289" t="s">
        <v>47</v>
      </c>
      <c r="C113" s="289"/>
      <c r="D113" s="84"/>
    </row>
    <row r="114" spans="1:7" x14ac:dyDescent="0.2">
      <c r="A114" s="290" t="s">
        <v>48</v>
      </c>
      <c r="B114" s="290"/>
      <c r="C114" s="290"/>
      <c r="D114" s="20">
        <f>SUM(D110:D113)</f>
        <v>0</v>
      </c>
    </row>
    <row r="116" spans="1:7" x14ac:dyDescent="0.2">
      <c r="A116" s="291" t="s">
        <v>115</v>
      </c>
      <c r="B116" s="292"/>
      <c r="C116" s="292"/>
      <c r="D116" s="292"/>
    </row>
    <row r="118" spans="1:7" x14ac:dyDescent="0.2">
      <c r="A118" s="39">
        <v>6</v>
      </c>
      <c r="B118" s="22" t="s">
        <v>116</v>
      </c>
      <c r="C118" s="205" t="s">
        <v>28</v>
      </c>
      <c r="D118" s="19" t="s">
        <v>29</v>
      </c>
    </row>
    <row r="119" spans="1:7" x14ac:dyDescent="0.2">
      <c r="A119" s="224" t="s">
        <v>6</v>
      </c>
      <c r="B119" s="224" t="s">
        <v>117</v>
      </c>
      <c r="C119" s="225">
        <v>0.03</v>
      </c>
      <c r="D119" s="226">
        <f>($D$114+$D$105+$D$73+$D$62+$D$23)*C119</f>
        <v>0</v>
      </c>
    </row>
    <row r="120" spans="1:7" x14ac:dyDescent="0.2">
      <c r="A120" s="101" t="s">
        <v>8</v>
      </c>
      <c r="B120" s="101" t="s">
        <v>118</v>
      </c>
      <c r="C120" s="116">
        <v>0.03</v>
      </c>
      <c r="D120" s="102">
        <f>($D$114+$D$105+$D$73+$D$62+$D$23+D119)*C120</f>
        <v>0</v>
      </c>
    </row>
    <row r="121" spans="1:7" s="44" customFormat="1" x14ac:dyDescent="0.25">
      <c r="A121" s="293" t="s">
        <v>119</v>
      </c>
      <c r="B121" s="294"/>
      <c r="C121" s="295"/>
      <c r="D121" s="43">
        <f>++D120+D119+D114+D105+D73+D62+D23</f>
        <v>0</v>
      </c>
    </row>
    <row r="122" spans="1:7" s="44" customFormat="1" ht="33" customHeight="1" x14ac:dyDescent="0.25">
      <c r="A122" s="296" t="s">
        <v>120</v>
      </c>
      <c r="B122" s="297"/>
      <c r="C122" s="298"/>
      <c r="D122" s="43">
        <f>ROUND(D121/(1-(C125+C126+C128+C130+C131)),2)</f>
        <v>0</v>
      </c>
    </row>
    <row r="123" spans="1:7" x14ac:dyDescent="0.2">
      <c r="A123" s="86" t="s">
        <v>11</v>
      </c>
      <c r="B123" s="86" t="s">
        <v>121</v>
      </c>
      <c r="C123" s="89"/>
      <c r="D123" s="86"/>
    </row>
    <row r="124" spans="1:7" x14ac:dyDescent="0.2">
      <c r="A124" s="86" t="s">
        <v>78</v>
      </c>
      <c r="B124" s="86" t="s">
        <v>122</v>
      </c>
      <c r="C124" s="89"/>
      <c r="D124" s="86"/>
    </row>
    <row r="125" spans="1:7" x14ac:dyDescent="0.2">
      <c r="A125" s="101" t="s">
        <v>123</v>
      </c>
      <c r="B125" s="101" t="s">
        <v>124</v>
      </c>
      <c r="C125" s="116">
        <v>1.6500000000000001E-2</v>
      </c>
      <c r="D125" s="102">
        <f>ROUND(C125*$D$122,2)</f>
        <v>0</v>
      </c>
      <c r="G125" s="117"/>
    </row>
    <row r="126" spans="1:7" x14ac:dyDescent="0.2">
      <c r="A126" s="101" t="s">
        <v>125</v>
      </c>
      <c r="B126" s="101" t="s">
        <v>126</v>
      </c>
      <c r="C126" s="116">
        <v>7.5999999999999998E-2</v>
      </c>
      <c r="D126" s="102">
        <f>ROUND(C126*$D$122,2)</f>
        <v>0</v>
      </c>
      <c r="G126" s="117"/>
    </row>
    <row r="127" spans="1:7" x14ac:dyDescent="0.2">
      <c r="A127" s="86" t="s">
        <v>127</v>
      </c>
      <c r="B127" s="86" t="s">
        <v>128</v>
      </c>
      <c r="C127" s="89"/>
      <c r="D127" s="90"/>
      <c r="G127" s="117"/>
    </row>
    <row r="128" spans="1:7" x14ac:dyDescent="0.2">
      <c r="A128" s="86" t="s">
        <v>129</v>
      </c>
      <c r="B128" s="86" t="s">
        <v>130</v>
      </c>
      <c r="C128" s="89"/>
      <c r="D128" s="86"/>
      <c r="G128" s="117"/>
    </row>
    <row r="129" spans="1:4" x14ac:dyDescent="0.2">
      <c r="A129" s="86" t="s">
        <v>131</v>
      </c>
      <c r="B129" s="86" t="s">
        <v>132</v>
      </c>
      <c r="C129" s="89"/>
      <c r="D129" s="86"/>
    </row>
    <row r="130" spans="1:4" x14ac:dyDescent="0.2">
      <c r="A130" s="101" t="s">
        <v>133</v>
      </c>
      <c r="B130" s="101" t="s">
        <v>134</v>
      </c>
      <c r="C130" s="116">
        <v>0.05</v>
      </c>
      <c r="D130" s="102">
        <f>ROUND(C130*$D$122,2)</f>
        <v>0</v>
      </c>
    </row>
    <row r="131" spans="1:4" x14ac:dyDescent="0.2">
      <c r="A131" s="86" t="s">
        <v>135</v>
      </c>
      <c r="B131" s="86" t="s">
        <v>136</v>
      </c>
      <c r="C131" s="89"/>
      <c r="D131" s="86"/>
    </row>
    <row r="132" spans="1:4" x14ac:dyDescent="0.2">
      <c r="A132" s="86" t="s">
        <v>13</v>
      </c>
      <c r="B132" s="86" t="s">
        <v>248</v>
      </c>
      <c r="C132" s="143"/>
      <c r="D132" s="86"/>
    </row>
    <row r="133" spans="1:4" ht="14.25" x14ac:dyDescent="0.2">
      <c r="A133" s="86" t="s">
        <v>249</v>
      </c>
      <c r="B133" s="86" t="s">
        <v>250</v>
      </c>
      <c r="C133" s="143"/>
      <c r="D133" s="144">
        <f>+D151</f>
        <v>0.51</v>
      </c>
    </row>
    <row r="134" spans="1:4" x14ac:dyDescent="0.2">
      <c r="A134" s="86" t="s">
        <v>251</v>
      </c>
      <c r="B134" s="86" t="s">
        <v>252</v>
      </c>
      <c r="C134" s="143"/>
      <c r="D134" s="144">
        <f>+D152</f>
        <v>1.35</v>
      </c>
    </row>
    <row r="135" spans="1:4" x14ac:dyDescent="0.2">
      <c r="A135" s="299" t="s">
        <v>48</v>
      </c>
      <c r="B135" s="300"/>
      <c r="C135" s="45">
        <f>+C131+C130+C128+C126+C125+C120+C119</f>
        <v>0.20250000000000001</v>
      </c>
      <c r="D135" s="20">
        <f>+D130+D128+D126+D125+D120+D119+D133+D134</f>
        <v>1.86</v>
      </c>
    </row>
    <row r="137" spans="1:4" x14ac:dyDescent="0.2">
      <c r="A137" s="301" t="s">
        <v>137</v>
      </c>
      <c r="B137" s="301"/>
      <c r="C137" s="301"/>
      <c r="D137" s="301"/>
    </row>
    <row r="138" spans="1:4" x14ac:dyDescent="0.2">
      <c r="A138" s="86" t="s">
        <v>6</v>
      </c>
      <c r="B138" s="286" t="s">
        <v>138</v>
      </c>
      <c r="C138" s="286"/>
      <c r="D138" s="84">
        <f>+D23</f>
        <v>0</v>
      </c>
    </row>
    <row r="139" spans="1:4" x14ac:dyDescent="0.2">
      <c r="A139" s="86" t="s">
        <v>139</v>
      </c>
      <c r="B139" s="286" t="s">
        <v>140</v>
      </c>
      <c r="C139" s="286"/>
      <c r="D139" s="84">
        <f>+D62</f>
        <v>0</v>
      </c>
    </row>
    <row r="140" spans="1:4" x14ac:dyDescent="0.2">
      <c r="A140" s="86" t="s">
        <v>11</v>
      </c>
      <c r="B140" s="286" t="s">
        <v>141</v>
      </c>
      <c r="C140" s="286"/>
      <c r="D140" s="84">
        <f>+D73</f>
        <v>0</v>
      </c>
    </row>
    <row r="141" spans="1:4" x14ac:dyDescent="0.2">
      <c r="A141" s="86" t="s">
        <v>13</v>
      </c>
      <c r="B141" s="286" t="s">
        <v>142</v>
      </c>
      <c r="C141" s="286"/>
      <c r="D141" s="84">
        <f>+D105</f>
        <v>0</v>
      </c>
    </row>
    <row r="142" spans="1:4" x14ac:dyDescent="0.2">
      <c r="A142" s="86" t="s">
        <v>34</v>
      </c>
      <c r="B142" s="286" t="s">
        <v>143</v>
      </c>
      <c r="C142" s="286"/>
      <c r="D142" s="84">
        <f>+D114</f>
        <v>0</v>
      </c>
    </row>
    <row r="143" spans="1:4" x14ac:dyDescent="0.2">
      <c r="B143" s="287" t="s">
        <v>144</v>
      </c>
      <c r="C143" s="287"/>
      <c r="D143" s="46">
        <f>SUM(D138:D142)</f>
        <v>0</v>
      </c>
    </row>
    <row r="144" spans="1:4" x14ac:dyDescent="0.2">
      <c r="A144" s="86" t="s">
        <v>36</v>
      </c>
      <c r="B144" s="286" t="s">
        <v>145</v>
      </c>
      <c r="C144" s="286"/>
      <c r="D144" s="84">
        <f>+D135</f>
        <v>1.86</v>
      </c>
    </row>
    <row r="146" spans="1:5" x14ac:dyDescent="0.2">
      <c r="A146" s="288" t="s">
        <v>146</v>
      </c>
      <c r="B146" s="288"/>
      <c r="C146" s="288"/>
      <c r="D146" s="47">
        <f>ROUND(+D144+D143,2)</f>
        <v>1.86</v>
      </c>
    </row>
    <row r="148" spans="1:5" x14ac:dyDescent="0.2">
      <c r="A148" s="252" t="s">
        <v>242</v>
      </c>
      <c r="B148" s="252"/>
      <c r="C148" s="252"/>
      <c r="D148" s="252"/>
    </row>
    <row r="149" spans="1:5" ht="12.75" customHeight="1" x14ac:dyDescent="0.2">
      <c r="A149" s="285" t="s">
        <v>243</v>
      </c>
      <c r="B149" s="285"/>
      <c r="C149" s="285"/>
      <c r="D149" s="285"/>
      <c r="E149" s="118"/>
    </row>
    <row r="150" spans="1:5" ht="22.5" x14ac:dyDescent="0.25">
      <c r="A150" s="2"/>
      <c r="B150" s="138"/>
      <c r="C150" s="139" t="s">
        <v>244</v>
      </c>
      <c r="D150" s="140" t="s">
        <v>245</v>
      </c>
      <c r="E150" s="118"/>
    </row>
    <row r="151" spans="1:5" x14ac:dyDescent="0.2">
      <c r="A151" s="141" t="s">
        <v>246</v>
      </c>
      <c r="B151" s="141"/>
      <c r="C151" s="142">
        <f>ROUND((565/12),2)</f>
        <v>47.08</v>
      </c>
      <c r="D151" s="142">
        <f>ROUND(+C151/+(Demanda!$B$16+Demanda!$C$16+Demanda!$D$16),2)</f>
        <v>0.51</v>
      </c>
      <c r="E151" s="118"/>
    </row>
    <row r="152" spans="1:5" x14ac:dyDescent="0.2">
      <c r="A152" s="141" t="s">
        <v>247</v>
      </c>
      <c r="B152" s="141"/>
      <c r="C152" s="142">
        <v>126</v>
      </c>
      <c r="D152" s="142">
        <f>ROUND(+C152/+(Demanda!$B$16+Demanda!$C$16+Demanda!$D$16),2)</f>
        <v>1.35</v>
      </c>
      <c r="E152" s="118"/>
    </row>
    <row r="153" spans="1:5" x14ac:dyDescent="0.2">
      <c r="A153" s="118"/>
      <c r="B153" s="118"/>
      <c r="C153" s="118"/>
      <c r="D153" s="118"/>
      <c r="E153" s="118"/>
    </row>
    <row r="154" spans="1:5" x14ac:dyDescent="0.2">
      <c r="A154" s="118"/>
      <c r="B154" s="236" t="s">
        <v>370</v>
      </c>
      <c r="C154" s="237"/>
      <c r="D154" s="238">
        <v>120</v>
      </c>
      <c r="E154" s="118"/>
    </row>
    <row r="155" spans="1:5" x14ac:dyDescent="0.2">
      <c r="A155" s="118"/>
      <c r="B155" s="239" t="str">
        <f>+B119</f>
        <v>Custos Indiretos</v>
      </c>
      <c r="C155" s="240">
        <f>+C119</f>
        <v>0.03</v>
      </c>
      <c r="D155" s="241">
        <f>ROUND(+$D$154*C155,2)</f>
        <v>3.6</v>
      </c>
      <c r="E155" s="118"/>
    </row>
    <row r="156" spans="1:5" x14ac:dyDescent="0.2">
      <c r="A156" s="118"/>
      <c r="B156" s="239" t="str">
        <f>+B125</f>
        <v>PIS</v>
      </c>
      <c r="C156" s="240">
        <f>+C125</f>
        <v>1.6500000000000001E-2</v>
      </c>
      <c r="D156" s="241">
        <f>ROUND(+$D$154*C156,2)</f>
        <v>1.98</v>
      </c>
      <c r="E156" s="118"/>
    </row>
    <row r="157" spans="1:5" x14ac:dyDescent="0.2">
      <c r="A157" s="118"/>
      <c r="B157" s="239" t="str">
        <f>+B126</f>
        <v>COFINS</v>
      </c>
      <c r="C157" s="240">
        <f>+C126</f>
        <v>7.5999999999999998E-2</v>
      </c>
      <c r="D157" s="241">
        <f>ROUND(+$D$154*C157,2)</f>
        <v>9.1199999999999992</v>
      </c>
      <c r="E157" s="118"/>
    </row>
    <row r="158" spans="1:5" x14ac:dyDescent="0.2">
      <c r="A158" s="118"/>
      <c r="B158" s="239" t="str">
        <f>+B130</f>
        <v>ISS</v>
      </c>
      <c r="C158" s="240">
        <f>+C130</f>
        <v>0.05</v>
      </c>
      <c r="D158" s="241">
        <f>ROUND(+$D$154*C158,2)</f>
        <v>6</v>
      </c>
      <c r="E158" s="118"/>
    </row>
    <row r="159" spans="1:5" x14ac:dyDescent="0.2">
      <c r="A159" s="118"/>
      <c r="B159" s="118"/>
      <c r="C159" s="242"/>
      <c r="D159" s="243">
        <f>SUM(D154:D158)</f>
        <v>140.69999999999999</v>
      </c>
      <c r="E159" s="118"/>
    </row>
    <row r="160" spans="1:5" x14ac:dyDescent="0.2">
      <c r="A160" s="118"/>
      <c r="B160" s="118"/>
      <c r="C160" s="118"/>
      <c r="D160" s="118"/>
      <c r="E160" s="118"/>
    </row>
    <row r="161" spans="1:5" x14ac:dyDescent="0.2">
      <c r="A161" s="118"/>
      <c r="B161" s="118"/>
      <c r="C161" s="118"/>
      <c r="D161" s="118"/>
      <c r="E161" s="118"/>
    </row>
  </sheetData>
  <mergeCells count="80">
    <mergeCell ref="A148:D148"/>
    <mergeCell ref="A149:D149"/>
    <mergeCell ref="B140:C140"/>
    <mergeCell ref="B141:C141"/>
    <mergeCell ref="B142:C142"/>
    <mergeCell ref="B143:C143"/>
    <mergeCell ref="B144:C144"/>
    <mergeCell ref="A146:C146"/>
    <mergeCell ref="B139:C139"/>
    <mergeCell ref="B110:C110"/>
    <mergeCell ref="B111:C111"/>
    <mergeCell ref="B112:C112"/>
    <mergeCell ref="B113:C113"/>
    <mergeCell ref="A114:C114"/>
    <mergeCell ref="A116:D116"/>
    <mergeCell ref="A121:C121"/>
    <mergeCell ref="A122:C122"/>
    <mergeCell ref="A135:B135"/>
    <mergeCell ref="A137:D137"/>
    <mergeCell ref="B138:C138"/>
    <mergeCell ref="B109:C109"/>
    <mergeCell ref="B93:C93"/>
    <mergeCell ref="A94:C94"/>
    <mergeCell ref="B96:C96"/>
    <mergeCell ref="B97:C97"/>
    <mergeCell ref="A98:C98"/>
    <mergeCell ref="B101:C101"/>
    <mergeCell ref="B102:C102"/>
    <mergeCell ref="B103:C103"/>
    <mergeCell ref="B104:C104"/>
    <mergeCell ref="A105:C105"/>
    <mergeCell ref="A107:D107"/>
    <mergeCell ref="B92:C92"/>
    <mergeCell ref="B80:C80"/>
    <mergeCell ref="B81:C81"/>
    <mergeCell ref="B82:C82"/>
    <mergeCell ref="B83:C83"/>
    <mergeCell ref="B84:C84"/>
    <mergeCell ref="B85:C85"/>
    <mergeCell ref="B86:C86"/>
    <mergeCell ref="A87:C87"/>
    <mergeCell ref="B89:C89"/>
    <mergeCell ref="B90:C90"/>
    <mergeCell ref="B91:C91"/>
    <mergeCell ref="B79:C79"/>
    <mergeCell ref="A57:D57"/>
    <mergeCell ref="B58:C58"/>
    <mergeCell ref="B59:C59"/>
    <mergeCell ref="B60:C60"/>
    <mergeCell ref="B61:C61"/>
    <mergeCell ref="A62:C62"/>
    <mergeCell ref="A64:D64"/>
    <mergeCell ref="A73:C73"/>
    <mergeCell ref="A75:D75"/>
    <mergeCell ref="A77:D77"/>
    <mergeCell ref="B78:C78"/>
    <mergeCell ref="A55:B55"/>
    <mergeCell ref="B18:C18"/>
    <mergeCell ref="B19:C19"/>
    <mergeCell ref="B21:C21"/>
    <mergeCell ref="B22:C22"/>
    <mergeCell ref="A23:C23"/>
    <mergeCell ref="A25:D25"/>
    <mergeCell ref="A27:D27"/>
    <mergeCell ref="A33:C33"/>
    <mergeCell ref="A35:D35"/>
    <mergeCell ref="A47:D47"/>
    <mergeCell ref="B54:C54"/>
    <mergeCell ref="B17:C17"/>
    <mergeCell ref="A1:D1"/>
    <mergeCell ref="A3:D3"/>
    <mergeCell ref="C4:D4"/>
    <mergeCell ref="C5:D5"/>
    <mergeCell ref="C6:D6"/>
    <mergeCell ref="C7:D7"/>
    <mergeCell ref="C8:D8"/>
    <mergeCell ref="A10:D10"/>
    <mergeCell ref="B12:C12"/>
    <mergeCell ref="B15:C15"/>
    <mergeCell ref="B16:C16"/>
  </mergeCells>
  <pageMargins left="0.51181102362204722" right="0.51181102362204722" top="0.78740157480314965" bottom="0.43307086614173229" header="0.31496062992125984" footer="0.31496062992125984"/>
  <pageSetup paperSize="9" scale="70" orientation="portrait" r:id="rId1"/>
  <headerFooter>
    <oddFooter>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3"/>
  <sheetViews>
    <sheetView workbookViewId="0">
      <selection activeCell="A52" sqref="A52"/>
    </sheetView>
  </sheetViews>
  <sheetFormatPr defaultRowHeight="12.75" x14ac:dyDescent="0.2"/>
  <cols>
    <col min="1" max="1" width="47" style="58" customWidth="1"/>
    <col min="2" max="5" width="11.85546875" style="58" customWidth="1"/>
    <col min="6" max="6" width="61.28515625" style="58" customWidth="1"/>
    <col min="7" max="7" width="15" style="58" customWidth="1"/>
    <col min="8" max="8" width="34.140625" style="58" customWidth="1"/>
    <col min="9" max="9" width="16.28515625" style="58" customWidth="1"/>
    <col min="10" max="16384" width="9.140625" style="58"/>
  </cols>
  <sheetData>
    <row r="1" spans="1:7" ht="16.5" x14ac:dyDescent="0.2">
      <c r="A1" s="211" t="s">
        <v>296</v>
      </c>
      <c r="B1" s="211"/>
      <c r="C1" s="211"/>
      <c r="D1" s="211"/>
      <c r="E1" s="211"/>
      <c r="F1" s="211"/>
      <c r="G1" s="211"/>
    </row>
    <row r="2" spans="1:7" ht="24" customHeight="1" x14ac:dyDescent="0.2">
      <c r="B2" s="283" t="s">
        <v>241</v>
      </c>
      <c r="C2" s="284"/>
      <c r="D2" s="284"/>
      <c r="E2" s="424"/>
    </row>
    <row r="3" spans="1:7" s="60" customFormat="1" ht="24" x14ac:dyDescent="0.2">
      <c r="A3" s="62" t="s">
        <v>223</v>
      </c>
      <c r="B3" s="62" t="s">
        <v>377</v>
      </c>
      <c r="C3" s="62" t="s">
        <v>254</v>
      </c>
      <c r="D3" s="62" t="s">
        <v>255</v>
      </c>
      <c r="E3" s="62" t="s">
        <v>378</v>
      </c>
      <c r="F3" s="62" t="s">
        <v>230</v>
      </c>
      <c r="G3" s="62" t="s">
        <v>219</v>
      </c>
    </row>
    <row r="4" spans="1:7" s="64" customFormat="1" ht="39" customHeight="1" x14ac:dyDescent="0.25">
      <c r="A4" s="125" t="s">
        <v>218</v>
      </c>
      <c r="B4" s="158">
        <v>1</v>
      </c>
      <c r="C4" s="126">
        <v>42</v>
      </c>
      <c r="D4" s="126">
        <v>8</v>
      </c>
      <c r="E4" s="126"/>
      <c r="F4" s="125" t="s">
        <v>225</v>
      </c>
      <c r="G4" s="127" t="s">
        <v>220</v>
      </c>
    </row>
    <row r="5" spans="1:7" s="64" customFormat="1" ht="39" customHeight="1" x14ac:dyDescent="0.25">
      <c r="A5" s="129" t="s">
        <v>256</v>
      </c>
      <c r="B5" s="130"/>
      <c r="C5" s="130">
        <v>6</v>
      </c>
      <c r="D5" s="130">
        <v>6</v>
      </c>
      <c r="E5" s="130"/>
      <c r="F5" s="131" t="s">
        <v>361</v>
      </c>
      <c r="G5" s="131" t="s">
        <v>362</v>
      </c>
    </row>
    <row r="6" spans="1:7" s="64" customFormat="1" ht="39" customHeight="1" x14ac:dyDescent="0.25">
      <c r="A6" s="125" t="s">
        <v>217</v>
      </c>
      <c r="B6" s="126">
        <v>4</v>
      </c>
      <c r="C6" s="126"/>
      <c r="D6" s="126"/>
      <c r="E6" s="126"/>
      <c r="F6" s="125" t="s">
        <v>224</v>
      </c>
      <c r="G6" s="125" t="s">
        <v>221</v>
      </c>
    </row>
    <row r="7" spans="1:7" s="64" customFormat="1" ht="39" customHeight="1" x14ac:dyDescent="0.25">
      <c r="A7" s="131" t="s">
        <v>257</v>
      </c>
      <c r="B7" s="130">
        <v>2</v>
      </c>
      <c r="C7" s="130"/>
      <c r="D7" s="130"/>
      <c r="E7" s="130"/>
      <c r="F7" s="129" t="s">
        <v>306</v>
      </c>
      <c r="G7" s="132" t="s">
        <v>307</v>
      </c>
    </row>
    <row r="8" spans="1:7" s="64" customFormat="1" ht="39" customHeight="1" x14ac:dyDescent="0.25">
      <c r="A8" s="128" t="s">
        <v>258</v>
      </c>
      <c r="B8" s="126"/>
      <c r="C8" s="126"/>
      <c r="D8" s="126"/>
      <c r="E8" s="126">
        <v>5</v>
      </c>
      <c r="F8" s="125" t="s">
        <v>308</v>
      </c>
      <c r="G8" s="127" t="s">
        <v>363</v>
      </c>
    </row>
    <row r="9" spans="1:7" s="64" customFormat="1" ht="39" customHeight="1" x14ac:dyDescent="0.25">
      <c r="A9" s="131" t="s">
        <v>259</v>
      </c>
      <c r="B9" s="130">
        <v>2</v>
      </c>
      <c r="C9" s="130"/>
      <c r="D9" s="130"/>
      <c r="E9" s="130"/>
      <c r="F9" s="129" t="s">
        <v>374</v>
      </c>
      <c r="G9" s="132" t="s">
        <v>310</v>
      </c>
    </row>
    <row r="10" spans="1:7" s="64" customFormat="1" ht="39" customHeight="1" x14ac:dyDescent="0.25">
      <c r="A10" s="125" t="s">
        <v>260</v>
      </c>
      <c r="B10" s="126">
        <v>1</v>
      </c>
      <c r="C10" s="126">
        <v>6</v>
      </c>
      <c r="D10" s="126">
        <v>4</v>
      </c>
      <c r="E10" s="126"/>
      <c r="F10" s="125" t="s">
        <v>311</v>
      </c>
      <c r="G10" s="132" t="s">
        <v>312</v>
      </c>
    </row>
    <row r="11" spans="1:7" s="64" customFormat="1" ht="39" customHeight="1" x14ac:dyDescent="0.25">
      <c r="A11" s="129" t="s">
        <v>232</v>
      </c>
      <c r="B11" s="130"/>
      <c r="C11" s="130">
        <v>4</v>
      </c>
      <c r="D11" s="130"/>
      <c r="E11" s="130"/>
      <c r="F11" s="129" t="s">
        <v>228</v>
      </c>
      <c r="G11" s="129" t="s">
        <v>229</v>
      </c>
    </row>
    <row r="12" spans="1:7" s="64" customFormat="1" ht="39" customHeight="1" x14ac:dyDescent="0.25">
      <c r="A12" s="125" t="s">
        <v>231</v>
      </c>
      <c r="B12" s="126">
        <v>2</v>
      </c>
      <c r="C12" s="126"/>
      <c r="D12" s="126"/>
      <c r="E12" s="126"/>
      <c r="F12" s="125" t="s">
        <v>226</v>
      </c>
      <c r="G12" s="125" t="s">
        <v>227</v>
      </c>
    </row>
    <row r="13" spans="1:7" s="64" customFormat="1" ht="39" customHeight="1" x14ac:dyDescent="0.25">
      <c r="A13" s="125" t="s">
        <v>373</v>
      </c>
      <c r="B13" s="126">
        <v>1</v>
      </c>
      <c r="C13" s="126"/>
      <c r="D13" s="126"/>
      <c r="E13" s="126"/>
      <c r="F13" s="125" t="s">
        <v>375</v>
      </c>
      <c r="G13" s="125" t="s">
        <v>376</v>
      </c>
    </row>
    <row r="14" spans="1:7" s="64" customFormat="1" ht="39" customHeight="1" x14ac:dyDescent="0.25">
      <c r="A14" s="129" t="s">
        <v>365</v>
      </c>
      <c r="B14" s="130">
        <v>3</v>
      </c>
      <c r="C14" s="130"/>
      <c r="D14" s="130"/>
      <c r="E14" s="130"/>
      <c r="F14" s="129" t="s">
        <v>364</v>
      </c>
      <c r="G14" s="129" t="s">
        <v>363</v>
      </c>
    </row>
    <row r="15" spans="1:7" s="64" customFormat="1" ht="39" customHeight="1" x14ac:dyDescent="0.25">
      <c r="A15" s="125" t="s">
        <v>366</v>
      </c>
      <c r="B15" s="126">
        <v>1</v>
      </c>
      <c r="C15" s="126"/>
      <c r="D15" s="126"/>
      <c r="E15" s="126"/>
      <c r="F15" s="125" t="s">
        <v>367</v>
      </c>
      <c r="G15" s="125" t="s">
        <v>368</v>
      </c>
    </row>
    <row r="16" spans="1:7" s="60" customFormat="1" ht="12" x14ac:dyDescent="0.2">
      <c r="A16" s="233" t="s">
        <v>48</v>
      </c>
      <c r="B16" s="234">
        <f>SUM(B4:B15)</f>
        <v>17</v>
      </c>
      <c r="C16" s="234">
        <f>SUM(C4:C12)</f>
        <v>58</v>
      </c>
      <c r="D16" s="234">
        <f>SUM(D4:D12)</f>
        <v>18</v>
      </c>
      <c r="E16" s="234">
        <f>SUM(E4:E12)</f>
        <v>5</v>
      </c>
      <c r="F16" s="61"/>
    </row>
    <row r="17" spans="1:7" x14ac:dyDescent="0.2">
      <c r="B17" s="59"/>
      <c r="C17" s="59"/>
      <c r="D17" s="59"/>
      <c r="E17" s="59"/>
    </row>
    <row r="18" spans="1:7" ht="16.5" x14ac:dyDescent="0.2">
      <c r="A18" s="211" t="s">
        <v>304</v>
      </c>
      <c r="B18" s="211"/>
      <c r="C18" s="211"/>
      <c r="D18" s="211"/>
      <c r="E18" s="211"/>
      <c r="F18" s="211"/>
      <c r="G18" s="211"/>
    </row>
    <row r="19" spans="1:7" s="181" customFormat="1" ht="27.75" customHeight="1" x14ac:dyDescent="0.25">
      <c r="B19" s="282" t="s">
        <v>241</v>
      </c>
      <c r="C19" s="282"/>
      <c r="D19" s="282"/>
      <c r="E19" s="425"/>
    </row>
    <row r="20" spans="1:7" ht="27.75" customHeight="1" x14ac:dyDescent="0.2">
      <c r="A20" s="62" t="s">
        <v>223</v>
      </c>
      <c r="B20" s="62" t="s">
        <v>253</v>
      </c>
      <c r="C20" s="62" t="s">
        <v>254</v>
      </c>
      <c r="D20" s="62" t="s">
        <v>255</v>
      </c>
      <c r="E20" s="426"/>
      <c r="F20" s="180" t="s">
        <v>230</v>
      </c>
      <c r="G20" s="62" t="s">
        <v>219</v>
      </c>
    </row>
    <row r="21" spans="1:7" s="179" customFormat="1" ht="39" customHeight="1" x14ac:dyDescent="0.25">
      <c r="A21" s="185" t="s">
        <v>259</v>
      </c>
      <c r="B21" s="185">
        <v>1</v>
      </c>
      <c r="C21" s="185"/>
      <c r="D21" s="185"/>
      <c r="E21" s="185"/>
      <c r="F21" s="125" t="s">
        <v>309</v>
      </c>
      <c r="G21" s="127" t="s">
        <v>310</v>
      </c>
    </row>
    <row r="22" spans="1:7" s="179" customFormat="1" ht="39" customHeight="1" x14ac:dyDescent="0.25">
      <c r="A22" s="186" t="s">
        <v>305</v>
      </c>
      <c r="B22" s="186">
        <v>1</v>
      </c>
      <c r="C22" s="186"/>
      <c r="D22" s="186"/>
      <c r="E22" s="186"/>
      <c r="F22" s="129" t="s">
        <v>306</v>
      </c>
      <c r="G22" s="132" t="s">
        <v>307</v>
      </c>
    </row>
    <row r="23" spans="1:7" x14ac:dyDescent="0.2">
      <c r="B23" s="63">
        <f>SUM(B21:B22)</f>
        <v>2</v>
      </c>
    </row>
    <row r="25" spans="1:7" ht="16.5" x14ac:dyDescent="0.2">
      <c r="A25" s="211" t="s">
        <v>316</v>
      </c>
      <c r="B25" s="211"/>
      <c r="C25" s="211"/>
      <c r="D25" s="211"/>
      <c r="E25" s="211"/>
      <c r="F25" s="211"/>
      <c r="G25" s="211"/>
    </row>
    <row r="26" spans="1:7" x14ac:dyDescent="0.2">
      <c r="A26" s="181"/>
      <c r="B26" s="282" t="s">
        <v>241</v>
      </c>
      <c r="C26" s="282"/>
      <c r="D26" s="282"/>
      <c r="E26" s="425"/>
      <c r="F26" s="181"/>
      <c r="G26" s="181"/>
    </row>
    <row r="27" spans="1:7" ht="24" x14ac:dyDescent="0.2">
      <c r="A27" s="62" t="s">
        <v>223</v>
      </c>
      <c r="B27" s="62" t="s">
        <v>253</v>
      </c>
      <c r="C27" s="62" t="s">
        <v>254</v>
      </c>
      <c r="D27" s="62" t="s">
        <v>255</v>
      </c>
      <c r="E27" s="426"/>
      <c r="F27" s="180" t="s">
        <v>230</v>
      </c>
      <c r="G27" s="62" t="s">
        <v>219</v>
      </c>
    </row>
    <row r="28" spans="1:7" ht="43.5" customHeight="1" x14ac:dyDescent="0.2">
      <c r="A28" s="125" t="s">
        <v>217</v>
      </c>
      <c r="B28" s="185">
        <v>1</v>
      </c>
      <c r="C28" s="185">
        <v>2</v>
      </c>
      <c r="D28" s="185"/>
      <c r="E28" s="185"/>
      <c r="F28" s="125" t="s">
        <v>224</v>
      </c>
      <c r="G28" s="125" t="s">
        <v>221</v>
      </c>
    </row>
    <row r="29" spans="1:7" x14ac:dyDescent="0.2">
      <c r="B29" s="184">
        <f>+B28</f>
        <v>1</v>
      </c>
      <c r="C29" s="184">
        <f>+C28</f>
        <v>2</v>
      </c>
    </row>
    <row r="31" spans="1:7" ht="16.5" x14ac:dyDescent="0.2">
      <c r="A31" s="211" t="s">
        <v>332</v>
      </c>
      <c r="B31" s="211"/>
      <c r="C31" s="211"/>
      <c r="D31" s="211"/>
      <c r="E31" s="211"/>
      <c r="F31" s="211"/>
      <c r="G31" s="211"/>
    </row>
    <row r="32" spans="1:7" x14ac:dyDescent="0.2">
      <c r="A32" s="181"/>
      <c r="B32" s="282" t="s">
        <v>241</v>
      </c>
      <c r="C32" s="282"/>
      <c r="D32" s="282"/>
      <c r="E32" s="425"/>
      <c r="F32" s="181"/>
      <c r="G32" s="181"/>
    </row>
    <row r="33" spans="1:7" ht="24" x14ac:dyDescent="0.2">
      <c r="A33" s="62" t="s">
        <v>223</v>
      </c>
      <c r="B33" s="62" t="s">
        <v>253</v>
      </c>
      <c r="C33" s="62" t="s">
        <v>254</v>
      </c>
      <c r="D33" s="62" t="s">
        <v>255</v>
      </c>
      <c r="E33" s="426"/>
      <c r="F33" s="180" t="s">
        <v>230</v>
      </c>
      <c r="G33" s="62" t="s">
        <v>219</v>
      </c>
    </row>
    <row r="34" spans="1:7" ht="43.5" customHeight="1" x14ac:dyDescent="0.2">
      <c r="A34" s="185" t="s">
        <v>305</v>
      </c>
      <c r="B34" s="185">
        <v>1</v>
      </c>
      <c r="C34" s="185"/>
      <c r="D34" s="185"/>
      <c r="E34" s="185"/>
      <c r="F34" s="125" t="s">
        <v>306</v>
      </c>
      <c r="G34" s="127" t="s">
        <v>307</v>
      </c>
    </row>
    <row r="35" spans="1:7" x14ac:dyDescent="0.2">
      <c r="B35" s="63">
        <f>SUM(B34:B34)</f>
        <v>1</v>
      </c>
      <c r="C35" s="63">
        <f>SUM(C34:C34)</f>
        <v>0</v>
      </c>
    </row>
    <row r="37" spans="1:7" ht="16.5" x14ac:dyDescent="0.2">
      <c r="A37" s="211" t="s">
        <v>339</v>
      </c>
      <c r="B37" s="211"/>
      <c r="C37" s="211"/>
      <c r="D37" s="211"/>
      <c r="E37" s="211"/>
      <c r="F37" s="211"/>
      <c r="G37" s="211"/>
    </row>
    <row r="38" spans="1:7" x14ac:dyDescent="0.2">
      <c r="A38" s="181"/>
      <c r="B38" s="282" t="s">
        <v>241</v>
      </c>
      <c r="C38" s="282"/>
      <c r="D38" s="282"/>
      <c r="E38" s="425"/>
      <c r="F38" s="181"/>
      <c r="G38" s="181"/>
    </row>
    <row r="39" spans="1:7" ht="24" x14ac:dyDescent="0.2">
      <c r="A39" s="62" t="s">
        <v>223</v>
      </c>
      <c r="B39" s="62" t="s">
        <v>253</v>
      </c>
      <c r="C39" s="62" t="s">
        <v>254</v>
      </c>
      <c r="D39" s="62" t="s">
        <v>255</v>
      </c>
      <c r="E39" s="426"/>
      <c r="F39" s="180" t="s">
        <v>230</v>
      </c>
      <c r="G39" s="62" t="s">
        <v>219</v>
      </c>
    </row>
    <row r="40" spans="1:7" ht="24" x14ac:dyDescent="0.2">
      <c r="A40" s="125" t="s">
        <v>340</v>
      </c>
      <c r="B40" s="185">
        <v>24</v>
      </c>
      <c r="C40" s="185"/>
      <c r="D40" s="185"/>
      <c r="E40" s="185"/>
      <c r="F40" s="125" t="s">
        <v>342</v>
      </c>
      <c r="G40" s="125" t="s">
        <v>341</v>
      </c>
    </row>
    <row r="41" spans="1:7" x14ac:dyDescent="0.2">
      <c r="B41" s="184">
        <f>+B40</f>
        <v>24</v>
      </c>
      <c r="C41" s="184">
        <f>+C40</f>
        <v>0</v>
      </c>
    </row>
    <row r="43" spans="1:7" ht="38.25" x14ac:dyDescent="0.2">
      <c r="A43" s="244" t="s">
        <v>369</v>
      </c>
      <c r="B43" s="245">
        <v>300</v>
      </c>
    </row>
  </sheetData>
  <mergeCells count="5">
    <mergeCell ref="B32:D32"/>
    <mergeCell ref="B2:D2"/>
    <mergeCell ref="B19:D19"/>
    <mergeCell ref="B26:D26"/>
    <mergeCell ref="B38:D38"/>
  </mergeCells>
  <pageMargins left="1.07" right="0.51181102362204722" top="0.32" bottom="0.34" header="0.31496062992125984" footer="0.17"/>
  <pageSetup paperSize="9" scale="50" orientation="landscape" r:id="rId1"/>
  <headerFooter>
    <oddFooter>&amp;A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G160"/>
  <sheetViews>
    <sheetView topLeftCell="A124" workbookViewId="0">
      <selection activeCell="B161" sqref="B161"/>
    </sheetView>
  </sheetViews>
  <sheetFormatPr defaultRowHeight="12.75" x14ac:dyDescent="0.2"/>
  <cols>
    <col min="1" max="1" width="73.7109375" style="71" customWidth="1"/>
    <col min="2" max="2" width="16.42578125" style="71" bestFit="1" customWidth="1"/>
    <col min="3" max="3" width="16.85546875" style="71" customWidth="1"/>
    <col min="4" max="4" width="10.7109375" style="71" bestFit="1" customWidth="1"/>
    <col min="5" max="5" width="79" style="71" customWidth="1"/>
    <col min="6" max="16384" width="9.140625" style="71"/>
  </cols>
  <sheetData>
    <row r="1" spans="1:3" ht="36.75" customHeight="1" x14ac:dyDescent="0.2">
      <c r="A1" s="423" t="s">
        <v>357</v>
      </c>
      <c r="B1" s="423"/>
      <c r="C1" s="423"/>
    </row>
    <row r="3" spans="1:3" x14ac:dyDescent="0.2">
      <c r="A3" s="86" t="s">
        <v>147</v>
      </c>
      <c r="B3" s="86">
        <v>220</v>
      </c>
    </row>
    <row r="4" spans="1:3" x14ac:dyDescent="0.2">
      <c r="A4" s="86" t="s">
        <v>148</v>
      </c>
      <c r="B4" s="86">
        <v>365.25</v>
      </c>
    </row>
    <row r="5" spans="1:3" x14ac:dyDescent="0.2">
      <c r="A5" s="86" t="s">
        <v>149</v>
      </c>
      <c r="B5" s="49">
        <f>ROUND((365.25/12)/(5/7)/2,2)</f>
        <v>21.31</v>
      </c>
    </row>
    <row r="6" spans="1:3" x14ac:dyDescent="0.2">
      <c r="A6" s="95" t="s">
        <v>30</v>
      </c>
      <c r="B6" s="90">
        <f>+'Motorista 44'!D12</f>
        <v>0</v>
      </c>
    </row>
    <row r="7" spans="1:3" x14ac:dyDescent="0.2">
      <c r="A7" s="95" t="s">
        <v>150</v>
      </c>
      <c r="B7" s="90">
        <f>+'Motorista 44'!D23</f>
        <v>0</v>
      </c>
    </row>
    <row r="9" spans="1:3" x14ac:dyDescent="0.2">
      <c r="A9" s="353" t="s">
        <v>151</v>
      </c>
      <c r="B9" s="354"/>
      <c r="C9" s="355"/>
    </row>
    <row r="10" spans="1:3" x14ac:dyDescent="0.2">
      <c r="A10" s="86" t="s">
        <v>152</v>
      </c>
      <c r="B10" s="86">
        <f>+$B$4</f>
        <v>365.25</v>
      </c>
      <c r="C10" s="107"/>
    </row>
    <row r="11" spans="1:3" x14ac:dyDescent="0.2">
      <c r="A11" s="86" t="s">
        <v>153</v>
      </c>
      <c r="B11" s="95">
        <v>12</v>
      </c>
      <c r="C11" s="107"/>
    </row>
    <row r="12" spans="1:3" x14ac:dyDescent="0.2">
      <c r="A12" s="86" t="s">
        <v>154</v>
      </c>
      <c r="B12" s="89">
        <v>1</v>
      </c>
      <c r="C12" s="107"/>
    </row>
    <row r="13" spans="1:3" x14ac:dyDescent="0.2">
      <c r="A13" s="95" t="s">
        <v>155</v>
      </c>
      <c r="B13" s="119">
        <f>+B5</f>
        <v>21.31</v>
      </c>
      <c r="C13" s="107"/>
    </row>
    <row r="14" spans="1:3" x14ac:dyDescent="0.2">
      <c r="A14" s="101" t="s">
        <v>156</v>
      </c>
      <c r="B14" s="120"/>
      <c r="C14" s="107"/>
    </row>
    <row r="15" spans="1:3" x14ac:dyDescent="0.2">
      <c r="A15" s="86" t="s">
        <v>157</v>
      </c>
      <c r="B15" s="89">
        <v>0.06</v>
      </c>
      <c r="C15" s="107"/>
    </row>
    <row r="16" spans="1:3" x14ac:dyDescent="0.2">
      <c r="A16" s="334" t="s">
        <v>158</v>
      </c>
      <c r="B16" s="335"/>
      <c r="C16" s="48">
        <f>ROUND((B13*(B14*2)-($B$6*B15)),2)</f>
        <v>0</v>
      </c>
    </row>
    <row r="18" spans="1:5" x14ac:dyDescent="0.2">
      <c r="A18" s="353" t="s">
        <v>159</v>
      </c>
      <c r="B18" s="354"/>
      <c r="C18" s="355"/>
    </row>
    <row r="19" spans="1:5" x14ac:dyDescent="0.2">
      <c r="A19" s="86" t="s">
        <v>152</v>
      </c>
      <c r="B19" s="86"/>
      <c r="C19" s="107"/>
    </row>
    <row r="20" spans="1:5" x14ac:dyDescent="0.2">
      <c r="A20" s="86" t="s">
        <v>153</v>
      </c>
      <c r="B20" s="95"/>
      <c r="C20" s="107"/>
      <c r="E20" s="90"/>
    </row>
    <row r="21" spans="1:5" x14ac:dyDescent="0.2">
      <c r="A21" s="86" t="s">
        <v>154</v>
      </c>
      <c r="B21" s="89"/>
      <c r="C21" s="107"/>
    </row>
    <row r="22" spans="1:5" x14ac:dyDescent="0.2">
      <c r="A22" s="95" t="s">
        <v>155</v>
      </c>
      <c r="B22" s="119"/>
      <c r="C22" s="107"/>
    </row>
    <row r="23" spans="1:5" x14ac:dyDescent="0.2">
      <c r="A23" s="101" t="s">
        <v>160</v>
      </c>
      <c r="B23" s="120"/>
      <c r="C23" s="107"/>
    </row>
    <row r="24" spans="1:5" x14ac:dyDescent="0.2">
      <c r="A24" s="86" t="s">
        <v>161</v>
      </c>
      <c r="B24" s="89"/>
      <c r="C24" s="107"/>
    </row>
    <row r="25" spans="1:5" x14ac:dyDescent="0.2">
      <c r="A25" s="334" t="s">
        <v>160</v>
      </c>
      <c r="B25" s="335"/>
      <c r="C25" s="48">
        <f>ROUND(B23-(B23*0.2),2)</f>
        <v>0</v>
      </c>
    </row>
    <row r="27" spans="1:5" x14ac:dyDescent="0.2">
      <c r="A27" s="353" t="s">
        <v>162</v>
      </c>
      <c r="B27" s="354"/>
      <c r="C27" s="355"/>
    </row>
    <row r="28" spans="1:5" x14ac:dyDescent="0.2">
      <c r="A28" s="86" t="s">
        <v>163</v>
      </c>
      <c r="B28" s="90">
        <f>+B7</f>
        <v>0</v>
      </c>
      <c r="C28" s="107"/>
    </row>
    <row r="29" spans="1:5" x14ac:dyDescent="0.2">
      <c r="A29" s="86" t="s">
        <v>164</v>
      </c>
      <c r="B29" s="86">
        <v>12</v>
      </c>
      <c r="C29" s="107"/>
    </row>
    <row r="30" spans="1:5" x14ac:dyDescent="0.2">
      <c r="A30" s="101" t="s">
        <v>165</v>
      </c>
      <c r="B30" s="116"/>
      <c r="C30" s="107"/>
    </row>
    <row r="31" spans="1:5" x14ac:dyDescent="0.2">
      <c r="A31" s="334" t="s">
        <v>166</v>
      </c>
      <c r="B31" s="335"/>
      <c r="C31" s="48">
        <f>ROUND(+(B28/B29)*B30,2)</f>
        <v>0</v>
      </c>
    </row>
    <row r="33" spans="1:3" x14ac:dyDescent="0.2">
      <c r="A33" s="336" t="s">
        <v>167</v>
      </c>
      <c r="B33" s="337"/>
      <c r="C33" s="338"/>
    </row>
    <row r="34" spans="1:3" s="97" customFormat="1" x14ac:dyDescent="0.2">
      <c r="A34" s="121" t="s">
        <v>168</v>
      </c>
      <c r="B34" s="116">
        <f>+B30</f>
        <v>0</v>
      </c>
      <c r="C34" s="107"/>
    </row>
    <row r="35" spans="1:3" x14ac:dyDescent="0.2">
      <c r="A35" s="86" t="s">
        <v>169</v>
      </c>
      <c r="B35" s="90">
        <f>+'Motorista 44'!$D$23</f>
        <v>0</v>
      </c>
      <c r="C35" s="107"/>
    </row>
    <row r="36" spans="1:3" x14ac:dyDescent="0.2">
      <c r="A36" s="86" t="s">
        <v>53</v>
      </c>
      <c r="B36" s="90">
        <f>+'Motorista 44'!$D$29</f>
        <v>0</v>
      </c>
      <c r="C36" s="107"/>
    </row>
    <row r="37" spans="1:3" x14ac:dyDescent="0.2">
      <c r="A37" s="86" t="s">
        <v>56</v>
      </c>
      <c r="B37" s="90">
        <f>+'Motorista 44'!$D$31</f>
        <v>0</v>
      </c>
      <c r="C37" s="107"/>
    </row>
    <row r="38" spans="1:3" x14ac:dyDescent="0.2">
      <c r="A38" s="86" t="s">
        <v>58</v>
      </c>
      <c r="B38" s="90">
        <f>+'Motorista 44'!$D$32</f>
        <v>0</v>
      </c>
      <c r="C38" s="107"/>
    </row>
    <row r="39" spans="1:3" x14ac:dyDescent="0.2">
      <c r="A39" s="50" t="s">
        <v>170</v>
      </c>
      <c r="B39" s="51">
        <f>SUM(B35:B38)</f>
        <v>0</v>
      </c>
      <c r="C39" s="107"/>
    </row>
    <row r="40" spans="1:3" x14ac:dyDescent="0.2">
      <c r="A40" s="95" t="s">
        <v>171</v>
      </c>
      <c r="B40" s="89">
        <v>0.4</v>
      </c>
      <c r="C40" s="107"/>
    </row>
    <row r="41" spans="1:3" x14ac:dyDescent="0.2">
      <c r="A41" s="95" t="s">
        <v>172</v>
      </c>
      <c r="B41" s="89">
        <f>+'Motorista 44'!$C$44</f>
        <v>0.08</v>
      </c>
      <c r="C41" s="107"/>
    </row>
    <row r="42" spans="1:3" x14ac:dyDescent="0.2">
      <c r="A42" s="305" t="s">
        <v>173</v>
      </c>
      <c r="B42" s="306"/>
      <c r="C42" s="41">
        <f>ROUND(+B39*B40*B41*B34,2)</f>
        <v>0</v>
      </c>
    </row>
    <row r="43" spans="1:3" x14ac:dyDescent="0.2">
      <c r="A43" s="334" t="s">
        <v>174</v>
      </c>
      <c r="B43" s="335"/>
      <c r="C43" s="42">
        <f>+C42</f>
        <v>0</v>
      </c>
    </row>
    <row r="45" spans="1:3" x14ac:dyDescent="0.2">
      <c r="A45" s="353" t="s">
        <v>175</v>
      </c>
      <c r="B45" s="354"/>
      <c r="C45" s="355"/>
    </row>
    <row r="46" spans="1:3" x14ac:dyDescent="0.2">
      <c r="A46" s="86" t="s">
        <v>163</v>
      </c>
      <c r="B46" s="90">
        <f>+B7</f>
        <v>0</v>
      </c>
      <c r="C46" s="107"/>
    </row>
    <row r="47" spans="1:3" x14ac:dyDescent="0.2">
      <c r="A47" s="86" t="s">
        <v>176</v>
      </c>
      <c r="B47" s="122">
        <v>30</v>
      </c>
      <c r="C47" s="107"/>
    </row>
    <row r="48" spans="1:3" x14ac:dyDescent="0.2">
      <c r="A48" s="86" t="s">
        <v>164</v>
      </c>
      <c r="B48" s="86">
        <v>12</v>
      </c>
      <c r="C48" s="107"/>
    </row>
    <row r="49" spans="1:3" x14ac:dyDescent="0.2">
      <c r="A49" s="86" t="s">
        <v>177</v>
      </c>
      <c r="B49" s="86">
        <v>7</v>
      </c>
      <c r="C49" s="107"/>
    </row>
    <row r="50" spans="1:3" x14ac:dyDescent="0.2">
      <c r="A50" s="101" t="s">
        <v>178</v>
      </c>
      <c r="B50" s="116"/>
      <c r="C50" s="107"/>
    </row>
    <row r="51" spans="1:3" x14ac:dyDescent="0.2">
      <c r="A51" s="334" t="s">
        <v>179</v>
      </c>
      <c r="B51" s="335"/>
      <c r="C51" s="48">
        <f>+ROUND(((B46/B47/B48)*B49)*B50,2)</f>
        <v>0</v>
      </c>
    </row>
    <row r="53" spans="1:3" x14ac:dyDescent="0.2">
      <c r="A53" s="336" t="s">
        <v>180</v>
      </c>
      <c r="B53" s="337"/>
      <c r="C53" s="338"/>
    </row>
    <row r="54" spans="1:3" x14ac:dyDescent="0.2">
      <c r="A54" s="121" t="s">
        <v>181</v>
      </c>
      <c r="B54" s="116">
        <f>+B50</f>
        <v>0</v>
      </c>
      <c r="C54" s="107"/>
    </row>
    <row r="55" spans="1:3" x14ac:dyDescent="0.2">
      <c r="A55" s="86" t="s">
        <v>169</v>
      </c>
      <c r="B55" s="90">
        <f>+'Motorista 44'!$D$23</f>
        <v>0</v>
      </c>
      <c r="C55" s="107"/>
    </row>
    <row r="56" spans="1:3" x14ac:dyDescent="0.2">
      <c r="A56" s="86" t="s">
        <v>53</v>
      </c>
      <c r="B56" s="90">
        <f>+'Motorista 44'!$D$29</f>
        <v>0</v>
      </c>
      <c r="C56" s="107"/>
    </row>
    <row r="57" spans="1:3" x14ac:dyDescent="0.2">
      <c r="A57" s="86" t="s">
        <v>56</v>
      </c>
      <c r="B57" s="90">
        <f>+'Motorista 44'!$D$31</f>
        <v>0</v>
      </c>
      <c r="C57" s="107"/>
    </row>
    <row r="58" spans="1:3" x14ac:dyDescent="0.2">
      <c r="A58" s="86" t="s">
        <v>58</v>
      </c>
      <c r="B58" s="90">
        <f>+'Motorista 44'!$D$32</f>
        <v>0</v>
      </c>
      <c r="C58" s="107"/>
    </row>
    <row r="59" spans="1:3" x14ac:dyDescent="0.2">
      <c r="A59" s="50" t="s">
        <v>170</v>
      </c>
      <c r="B59" s="51">
        <f>SUM(B55:B58)</f>
        <v>0</v>
      </c>
      <c r="C59" s="107"/>
    </row>
    <row r="60" spans="1:3" x14ac:dyDescent="0.2">
      <c r="A60" s="95" t="s">
        <v>171</v>
      </c>
      <c r="B60" s="89">
        <v>0.4</v>
      </c>
      <c r="C60" s="107"/>
    </row>
    <row r="61" spans="1:3" x14ac:dyDescent="0.2">
      <c r="A61" s="95" t="s">
        <v>172</v>
      </c>
      <c r="B61" s="89">
        <f>+'Motorista 44'!$C$44</f>
        <v>0.08</v>
      </c>
      <c r="C61" s="107"/>
    </row>
    <row r="62" spans="1:3" x14ac:dyDescent="0.2">
      <c r="A62" s="305" t="s">
        <v>173</v>
      </c>
      <c r="B62" s="306"/>
      <c r="C62" s="41">
        <f>ROUND(+B59*B60*B61*B54,2)</f>
        <v>0</v>
      </c>
    </row>
    <row r="63" spans="1:3" x14ac:dyDescent="0.2">
      <c r="A63" s="334" t="s">
        <v>182</v>
      </c>
      <c r="B63" s="335"/>
      <c r="C63" s="42">
        <f>+C62</f>
        <v>0</v>
      </c>
    </row>
    <row r="65" spans="1:3" x14ac:dyDescent="0.2">
      <c r="A65" s="336" t="s">
        <v>183</v>
      </c>
      <c r="B65" s="337"/>
      <c r="C65" s="338"/>
    </row>
    <row r="66" spans="1:3" x14ac:dyDescent="0.2">
      <c r="A66" s="343" t="s">
        <v>184</v>
      </c>
      <c r="B66" s="344"/>
      <c r="C66" s="345"/>
    </row>
    <row r="67" spans="1:3" x14ac:dyDescent="0.2">
      <c r="A67" s="346"/>
      <c r="B67" s="347"/>
      <c r="C67" s="348"/>
    </row>
    <row r="68" spans="1:3" x14ac:dyDescent="0.2">
      <c r="A68" s="346"/>
      <c r="B68" s="347"/>
      <c r="C68" s="348"/>
    </row>
    <row r="69" spans="1:3" x14ac:dyDescent="0.2">
      <c r="A69" s="349"/>
      <c r="B69" s="350"/>
      <c r="C69" s="351"/>
    </row>
    <row r="70" spans="1:3" x14ac:dyDescent="0.2">
      <c r="A70" s="123"/>
      <c r="B70" s="123"/>
      <c r="C70" s="123"/>
    </row>
    <row r="71" spans="1:3" x14ac:dyDescent="0.2">
      <c r="A71" s="336" t="s">
        <v>185</v>
      </c>
      <c r="B71" s="337"/>
      <c r="C71" s="338"/>
    </row>
    <row r="72" spans="1:3" x14ac:dyDescent="0.2">
      <c r="A72" s="86" t="s">
        <v>186</v>
      </c>
      <c r="B72" s="90">
        <f>+$B$7</f>
        <v>0</v>
      </c>
      <c r="C72" s="107"/>
    </row>
    <row r="73" spans="1:3" x14ac:dyDescent="0.2">
      <c r="A73" s="86" t="s">
        <v>153</v>
      </c>
      <c r="B73" s="86">
        <v>30</v>
      </c>
      <c r="C73" s="107"/>
    </row>
    <row r="74" spans="1:3" x14ac:dyDescent="0.2">
      <c r="A74" s="86" t="s">
        <v>187</v>
      </c>
      <c r="B74" s="86">
        <v>12</v>
      </c>
      <c r="C74" s="107"/>
    </row>
    <row r="75" spans="1:3" x14ac:dyDescent="0.2">
      <c r="A75" s="101" t="s">
        <v>188</v>
      </c>
      <c r="B75" s="101"/>
      <c r="C75" s="107"/>
    </row>
    <row r="76" spans="1:3" x14ac:dyDescent="0.2">
      <c r="A76" s="334" t="s">
        <v>189</v>
      </c>
      <c r="B76" s="335"/>
      <c r="C76" s="36">
        <f>+ROUND((B72/B73/B74)*B75,2)</f>
        <v>0</v>
      </c>
    </row>
    <row r="78" spans="1:3" x14ac:dyDescent="0.2">
      <c r="A78" s="336" t="s">
        <v>190</v>
      </c>
      <c r="B78" s="337"/>
      <c r="C78" s="338"/>
    </row>
    <row r="79" spans="1:3" x14ac:dyDescent="0.2">
      <c r="A79" s="86" t="s">
        <v>186</v>
      </c>
      <c r="B79" s="90">
        <f>+$B$7</f>
        <v>0</v>
      </c>
      <c r="C79" s="107"/>
    </row>
    <row r="80" spans="1:3" x14ac:dyDescent="0.2">
      <c r="A80" s="86" t="s">
        <v>153</v>
      </c>
      <c r="B80" s="86">
        <v>30</v>
      </c>
      <c r="C80" s="107"/>
    </row>
    <row r="81" spans="1:3" x14ac:dyDescent="0.2">
      <c r="A81" s="86" t="s">
        <v>187</v>
      </c>
      <c r="B81" s="86">
        <v>12</v>
      </c>
      <c r="C81" s="107"/>
    </row>
    <row r="82" spans="1:3" x14ac:dyDescent="0.2">
      <c r="A82" s="95" t="s">
        <v>191</v>
      </c>
      <c r="B82" s="86">
        <v>5</v>
      </c>
      <c r="C82" s="107"/>
    </row>
    <row r="83" spans="1:3" x14ac:dyDescent="0.2">
      <c r="A83" s="101" t="s">
        <v>192</v>
      </c>
      <c r="B83" s="116"/>
      <c r="C83" s="107"/>
    </row>
    <row r="84" spans="1:3" x14ac:dyDescent="0.2">
      <c r="A84" s="101" t="s">
        <v>193</v>
      </c>
      <c r="B84" s="116"/>
      <c r="C84" s="107"/>
    </row>
    <row r="85" spans="1:3" x14ac:dyDescent="0.2">
      <c r="A85" s="334" t="s">
        <v>194</v>
      </c>
      <c r="B85" s="335"/>
      <c r="C85" s="48">
        <f>ROUND(+B79/B80/B81*B82*B83*B84,2)</f>
        <v>0</v>
      </c>
    </row>
    <row r="87" spans="1:3" x14ac:dyDescent="0.2">
      <c r="A87" s="336" t="s">
        <v>195</v>
      </c>
      <c r="B87" s="337"/>
      <c r="C87" s="338"/>
    </row>
    <row r="88" spans="1:3" x14ac:dyDescent="0.2">
      <c r="A88" s="86" t="s">
        <v>186</v>
      </c>
      <c r="B88" s="90">
        <f>+$B$7</f>
        <v>0</v>
      </c>
      <c r="C88" s="107"/>
    </row>
    <row r="89" spans="1:3" x14ac:dyDescent="0.2">
      <c r="A89" s="86" t="s">
        <v>153</v>
      </c>
      <c r="B89" s="86">
        <v>30</v>
      </c>
      <c r="C89" s="107"/>
    </row>
    <row r="90" spans="1:3" x14ac:dyDescent="0.2">
      <c r="A90" s="86" t="s">
        <v>187</v>
      </c>
      <c r="B90" s="86">
        <v>12</v>
      </c>
      <c r="C90" s="107"/>
    </row>
    <row r="91" spans="1:3" x14ac:dyDescent="0.2">
      <c r="A91" s="95" t="s">
        <v>196</v>
      </c>
      <c r="B91" s="86">
        <v>15</v>
      </c>
      <c r="C91" s="107"/>
    </row>
    <row r="92" spans="1:3" x14ac:dyDescent="0.2">
      <c r="A92" s="101" t="s">
        <v>197</v>
      </c>
      <c r="B92" s="116"/>
      <c r="C92" s="107"/>
    </row>
    <row r="93" spans="1:3" x14ac:dyDescent="0.2">
      <c r="A93" s="334" t="s">
        <v>198</v>
      </c>
      <c r="B93" s="335"/>
      <c r="C93" s="48">
        <f>ROUND(+B88/B89/B90*B91*B92,2)</f>
        <v>0</v>
      </c>
    </row>
    <row r="95" spans="1:3" x14ac:dyDescent="0.2">
      <c r="A95" s="336" t="s">
        <v>199</v>
      </c>
      <c r="B95" s="337"/>
      <c r="C95" s="338"/>
    </row>
    <row r="96" spans="1:3" x14ac:dyDescent="0.2">
      <c r="A96" s="86" t="s">
        <v>186</v>
      </c>
      <c r="B96" s="90">
        <f>+$B$7</f>
        <v>0</v>
      </c>
      <c r="C96" s="107"/>
    </row>
    <row r="97" spans="1:3" x14ac:dyDescent="0.2">
      <c r="A97" s="86" t="s">
        <v>153</v>
      </c>
      <c r="B97" s="86">
        <v>30</v>
      </c>
      <c r="C97" s="107"/>
    </row>
    <row r="98" spans="1:3" x14ac:dyDescent="0.2">
      <c r="A98" s="86" t="s">
        <v>187</v>
      </c>
      <c r="B98" s="86">
        <v>12</v>
      </c>
      <c r="C98" s="107"/>
    </row>
    <row r="99" spans="1:3" x14ac:dyDescent="0.2">
      <c r="A99" s="95" t="s">
        <v>196</v>
      </c>
      <c r="B99" s="86">
        <v>5</v>
      </c>
      <c r="C99" s="107"/>
    </row>
    <row r="100" spans="1:3" x14ac:dyDescent="0.2">
      <c r="A100" s="101" t="s">
        <v>200</v>
      </c>
      <c r="B100" s="116"/>
      <c r="C100" s="107"/>
    </row>
    <row r="101" spans="1:3" x14ac:dyDescent="0.2">
      <c r="A101" s="334" t="s">
        <v>201</v>
      </c>
      <c r="B101" s="335"/>
      <c r="C101" s="48">
        <f>ROUND(+B96/B97/B98*B99*B100,2)</f>
        <v>0</v>
      </c>
    </row>
    <row r="103" spans="1:3" x14ac:dyDescent="0.2">
      <c r="A103" s="336" t="s">
        <v>202</v>
      </c>
      <c r="B103" s="337"/>
      <c r="C103" s="338"/>
    </row>
    <row r="104" spans="1:3" x14ac:dyDescent="0.2">
      <c r="A104" s="339" t="s">
        <v>203</v>
      </c>
      <c r="B104" s="340"/>
      <c r="C104" s="341"/>
    </row>
    <row r="105" spans="1:3" x14ac:dyDescent="0.2">
      <c r="A105" s="86" t="s">
        <v>186</v>
      </c>
      <c r="B105" s="90">
        <f>+$B$7</f>
        <v>0</v>
      </c>
      <c r="C105" s="107"/>
    </row>
    <row r="106" spans="1:3" x14ac:dyDescent="0.2">
      <c r="A106" s="86" t="s">
        <v>204</v>
      </c>
      <c r="B106" s="90">
        <f>+B105*(1/3)</f>
        <v>0</v>
      </c>
      <c r="C106" s="107"/>
    </row>
    <row r="107" spans="1:3" x14ac:dyDescent="0.2">
      <c r="A107" s="50" t="s">
        <v>170</v>
      </c>
      <c r="B107" s="51">
        <f>SUM(B105:B106)</f>
        <v>0</v>
      </c>
      <c r="C107" s="107"/>
    </row>
    <row r="108" spans="1:3" x14ac:dyDescent="0.2">
      <c r="A108" s="86" t="s">
        <v>205</v>
      </c>
      <c r="B108" s="86">
        <v>4</v>
      </c>
      <c r="C108" s="107"/>
    </row>
    <row r="109" spans="1:3" x14ac:dyDescent="0.2">
      <c r="A109" s="86" t="s">
        <v>187</v>
      </c>
      <c r="B109" s="86">
        <v>12</v>
      </c>
      <c r="C109" s="107"/>
    </row>
    <row r="110" spans="1:3" x14ac:dyDescent="0.2">
      <c r="A110" s="101" t="s">
        <v>206</v>
      </c>
      <c r="B110" s="116"/>
      <c r="C110" s="107"/>
    </row>
    <row r="111" spans="1:3" x14ac:dyDescent="0.2">
      <c r="A111" s="101" t="s">
        <v>207</v>
      </c>
      <c r="B111" s="116"/>
      <c r="C111" s="107"/>
    </row>
    <row r="112" spans="1:3" x14ac:dyDescent="0.2">
      <c r="A112" s="334" t="s">
        <v>208</v>
      </c>
      <c r="B112" s="335"/>
      <c r="C112" s="48">
        <f>ROUND((((+B107*(B108/B109)/B109)*B110)*B111),2)</f>
        <v>0</v>
      </c>
    </row>
    <row r="113" spans="1:7" x14ac:dyDescent="0.2">
      <c r="A113" s="334" t="s">
        <v>209</v>
      </c>
      <c r="B113" s="342"/>
      <c r="C113" s="335"/>
    </row>
    <row r="114" spans="1:7" x14ac:dyDescent="0.2">
      <c r="A114" s="86" t="s">
        <v>186</v>
      </c>
      <c r="B114" s="90">
        <f>+'Motorista 44'!D23</f>
        <v>0</v>
      </c>
      <c r="C114" s="107"/>
    </row>
    <row r="115" spans="1:7" x14ac:dyDescent="0.2">
      <c r="A115" s="86" t="s">
        <v>53</v>
      </c>
      <c r="B115" s="90">
        <f>+'Motorista 44'!D29</f>
        <v>0</v>
      </c>
      <c r="C115" s="107"/>
    </row>
    <row r="116" spans="1:7" x14ac:dyDescent="0.2">
      <c r="A116" s="50" t="s">
        <v>170</v>
      </c>
      <c r="B116" s="51">
        <f>SUM(B114:B115)</f>
        <v>0</v>
      </c>
      <c r="C116" s="107"/>
    </row>
    <row r="117" spans="1:7" x14ac:dyDescent="0.2">
      <c r="A117" s="86" t="s">
        <v>205</v>
      </c>
      <c r="B117" s="86">
        <v>4</v>
      </c>
      <c r="C117" s="107"/>
    </row>
    <row r="118" spans="1:7" x14ac:dyDescent="0.2">
      <c r="A118" s="86" t="s">
        <v>187</v>
      </c>
      <c r="B118" s="86">
        <v>12</v>
      </c>
      <c r="C118" s="107"/>
    </row>
    <row r="119" spans="1:7" x14ac:dyDescent="0.2">
      <c r="A119" s="101" t="s">
        <v>206</v>
      </c>
      <c r="B119" s="116">
        <f>+B110</f>
        <v>0</v>
      </c>
      <c r="C119" s="107"/>
    </row>
    <row r="120" spans="1:7" x14ac:dyDescent="0.2">
      <c r="A120" s="101" t="s">
        <v>207</v>
      </c>
      <c r="B120" s="116">
        <f>+B111</f>
        <v>0</v>
      </c>
      <c r="C120" s="107"/>
    </row>
    <row r="121" spans="1:7" x14ac:dyDescent="0.2">
      <c r="A121" s="95" t="s">
        <v>210</v>
      </c>
      <c r="B121" s="89">
        <f>+'Motorista 44'!C45</f>
        <v>0.36800000000000005</v>
      </c>
      <c r="C121" s="107"/>
    </row>
    <row r="122" spans="1:7" x14ac:dyDescent="0.2">
      <c r="A122" s="334" t="s">
        <v>211</v>
      </c>
      <c r="B122" s="335"/>
      <c r="C122" s="42">
        <f>ROUND((((B116*(B117/B118)*B119)*B120)*B121),2)</f>
        <v>0</v>
      </c>
    </row>
    <row r="124" spans="1:7" ht="30.75" customHeight="1" x14ac:dyDescent="0.2">
      <c r="A124" s="333" t="s">
        <v>356</v>
      </c>
      <c r="B124" s="333"/>
      <c r="C124" s="333"/>
      <c r="G124" s="112"/>
    </row>
    <row r="125" spans="1:7" x14ac:dyDescent="0.2">
      <c r="G125" s="112"/>
    </row>
    <row r="126" spans="1:7" x14ac:dyDescent="0.2">
      <c r="A126" s="375" t="s">
        <v>267</v>
      </c>
      <c r="B126" s="375"/>
      <c r="C126" s="375"/>
    </row>
    <row r="127" spans="1:7" x14ac:dyDescent="0.2">
      <c r="A127" s="86" t="s">
        <v>152</v>
      </c>
      <c r="B127" s="86">
        <v>365.25</v>
      </c>
      <c r="C127" s="107"/>
    </row>
    <row r="128" spans="1:7" x14ac:dyDescent="0.2">
      <c r="A128" s="86" t="s">
        <v>153</v>
      </c>
      <c r="B128" s="95">
        <v>12</v>
      </c>
      <c r="C128" s="107"/>
    </row>
    <row r="129" spans="1:3" x14ac:dyDescent="0.2">
      <c r="A129" s="86" t="s">
        <v>154</v>
      </c>
      <c r="B129" s="89">
        <v>0.5</v>
      </c>
      <c r="C129" s="107"/>
    </row>
    <row r="130" spans="1:3" x14ac:dyDescent="0.2">
      <c r="A130" s="164" t="s">
        <v>268</v>
      </c>
      <c r="B130" s="95">
        <v>7</v>
      </c>
      <c r="C130" s="107"/>
    </row>
    <row r="131" spans="1:3" x14ac:dyDescent="0.2">
      <c r="A131" s="95" t="s">
        <v>269</v>
      </c>
      <c r="B131" s="107"/>
      <c r="C131" s="90">
        <f>+'Motorista 44'!$D$12</f>
        <v>0</v>
      </c>
    </row>
    <row r="132" spans="1:3" x14ac:dyDescent="0.2">
      <c r="A132" s="95" t="s">
        <v>31</v>
      </c>
      <c r="B132" s="107"/>
      <c r="C132" s="90">
        <f>+'Motorista 44'!$D$13</f>
        <v>0</v>
      </c>
    </row>
    <row r="133" spans="1:3" x14ac:dyDescent="0.2">
      <c r="A133" s="95" t="s">
        <v>32</v>
      </c>
      <c r="B133" s="107"/>
      <c r="C133" s="90">
        <f>+'Motorista 44'!$D$14</f>
        <v>0</v>
      </c>
    </row>
    <row r="134" spans="1:3" x14ac:dyDescent="0.2">
      <c r="A134" s="50" t="s">
        <v>270</v>
      </c>
      <c r="B134" s="107"/>
      <c r="C134" s="51">
        <f>SUM(C131:C133)</f>
        <v>0</v>
      </c>
    </row>
    <row r="135" spans="1:3" x14ac:dyDescent="0.2">
      <c r="A135" s="86" t="s">
        <v>147</v>
      </c>
      <c r="B135" s="165">
        <f>+B3</f>
        <v>220</v>
      </c>
      <c r="C135" s="107"/>
    </row>
    <row r="136" spans="1:3" x14ac:dyDescent="0.2">
      <c r="A136" s="95" t="s">
        <v>271</v>
      </c>
      <c r="B136" s="89">
        <v>0.2</v>
      </c>
      <c r="C136" s="107"/>
    </row>
    <row r="137" spans="1:3" x14ac:dyDescent="0.2">
      <c r="A137" s="95" t="s">
        <v>272</v>
      </c>
      <c r="B137" s="107"/>
      <c r="C137" s="166">
        <f>ROUND((C134/B135)*B136,2)</f>
        <v>0</v>
      </c>
    </row>
    <row r="138" spans="1:3" x14ac:dyDescent="0.2">
      <c r="A138" s="95" t="s">
        <v>273</v>
      </c>
      <c r="B138" s="86">
        <f>ROUND(+B127/B128*B129*B130,0)</f>
        <v>107</v>
      </c>
      <c r="C138" s="167"/>
    </row>
    <row r="139" spans="1:3" x14ac:dyDescent="0.2">
      <c r="A139" s="376" t="s">
        <v>274</v>
      </c>
      <c r="B139" s="376"/>
      <c r="C139" s="40">
        <f>ROUND(+B138*C137,2)</f>
        <v>0</v>
      </c>
    </row>
    <row r="141" spans="1:3" x14ac:dyDescent="0.2">
      <c r="A141" s="375" t="s">
        <v>275</v>
      </c>
      <c r="B141" s="375"/>
      <c r="C141" s="375"/>
    </row>
    <row r="142" spans="1:3" x14ac:dyDescent="0.2">
      <c r="A142" s="86" t="s">
        <v>152</v>
      </c>
      <c r="B142" s="86">
        <f>+$B$4</f>
        <v>365.25</v>
      </c>
      <c r="C142" s="107"/>
    </row>
    <row r="143" spans="1:3" x14ac:dyDescent="0.2">
      <c r="A143" s="86" t="s">
        <v>153</v>
      </c>
      <c r="B143" s="95">
        <v>12</v>
      </c>
      <c r="C143" s="107"/>
    </row>
    <row r="144" spans="1:3" x14ac:dyDescent="0.2">
      <c r="A144" s="86" t="s">
        <v>154</v>
      </c>
      <c r="B144" s="89">
        <v>0.5</v>
      </c>
      <c r="C144" s="107"/>
    </row>
    <row r="145" spans="1:3" x14ac:dyDescent="0.2">
      <c r="A145" s="164" t="s">
        <v>268</v>
      </c>
      <c r="B145" s="95">
        <v>7</v>
      </c>
      <c r="C145" s="107"/>
    </row>
    <row r="146" spans="1:3" x14ac:dyDescent="0.2">
      <c r="A146" s="95" t="s">
        <v>276</v>
      </c>
      <c r="B146" s="49">
        <f>(365.25/12/2)/(7/7)</f>
        <v>15.21875</v>
      </c>
      <c r="C146" s="86"/>
    </row>
    <row r="147" spans="1:3" x14ac:dyDescent="0.2">
      <c r="A147" s="95" t="s">
        <v>277</v>
      </c>
      <c r="B147" s="86">
        <f>ROUND(+B146*B145,2)</f>
        <v>106.53</v>
      </c>
      <c r="C147" s="86"/>
    </row>
    <row r="148" spans="1:3" x14ac:dyDescent="0.2">
      <c r="A148" s="95" t="s">
        <v>269</v>
      </c>
      <c r="B148" s="107"/>
      <c r="C148" s="90">
        <f>+'Motorista 44'!$D$12</f>
        <v>0</v>
      </c>
    </row>
    <row r="149" spans="1:3" x14ac:dyDescent="0.2">
      <c r="A149" s="95" t="s">
        <v>31</v>
      </c>
      <c r="B149" s="107"/>
      <c r="C149" s="90">
        <f>+'Motorista 44'!$D$13</f>
        <v>0</v>
      </c>
    </row>
    <row r="150" spans="1:3" x14ac:dyDescent="0.2">
      <c r="A150" s="95" t="s">
        <v>32</v>
      </c>
      <c r="B150" s="107"/>
      <c r="C150" s="90">
        <f>+'Motorista 44'!$D$14</f>
        <v>0</v>
      </c>
    </row>
    <row r="151" spans="1:3" x14ac:dyDescent="0.2">
      <c r="A151" s="50" t="s">
        <v>270</v>
      </c>
      <c r="B151" s="107"/>
      <c r="C151" s="51">
        <f>SUM(C148:C150)</f>
        <v>0</v>
      </c>
    </row>
    <row r="152" spans="1:3" x14ac:dyDescent="0.2">
      <c r="A152" s="86" t="s">
        <v>147</v>
      </c>
      <c r="B152" s="165">
        <f>+B3</f>
        <v>220</v>
      </c>
      <c r="C152" s="107"/>
    </row>
    <row r="153" spans="1:3" x14ac:dyDescent="0.2">
      <c r="A153" s="95" t="s">
        <v>271</v>
      </c>
      <c r="B153" s="89">
        <v>0.2</v>
      </c>
      <c r="C153" s="107"/>
    </row>
    <row r="154" spans="1:3" x14ac:dyDescent="0.2">
      <c r="A154" s="95" t="s">
        <v>272</v>
      </c>
      <c r="B154" s="107"/>
      <c r="C154" s="166">
        <f>ROUND((C151/B152)*B153,2)</f>
        <v>0</v>
      </c>
    </row>
    <row r="155" spans="1:3" x14ac:dyDescent="0.2">
      <c r="A155" s="95" t="s">
        <v>278</v>
      </c>
      <c r="B155" s="86">
        <v>60</v>
      </c>
      <c r="C155" s="107"/>
    </row>
    <row r="156" spans="1:3" x14ac:dyDescent="0.2">
      <c r="A156" s="95" t="s">
        <v>279</v>
      </c>
      <c r="B156" s="86">
        <v>52.5</v>
      </c>
      <c r="C156" s="107"/>
    </row>
    <row r="157" spans="1:3" x14ac:dyDescent="0.2">
      <c r="A157" s="95" t="s">
        <v>280</v>
      </c>
      <c r="B157" s="86">
        <f>+B155/B156</f>
        <v>1.1428571428571428</v>
      </c>
      <c r="C157" s="107"/>
    </row>
    <row r="158" spans="1:3" x14ac:dyDescent="0.2">
      <c r="A158" s="95" t="s">
        <v>281</v>
      </c>
      <c r="B158" s="86">
        <f>ROUND(+B157*B147,2)</f>
        <v>121.75</v>
      </c>
      <c r="C158" s="107"/>
    </row>
    <row r="159" spans="1:3" x14ac:dyDescent="0.2">
      <c r="A159" s="95" t="s">
        <v>282</v>
      </c>
      <c r="B159" s="86">
        <f>ROUND(B158-B147,2)</f>
        <v>15.22</v>
      </c>
      <c r="C159" s="167"/>
    </row>
    <row r="160" spans="1:3" x14ac:dyDescent="0.2">
      <c r="A160" s="307" t="s">
        <v>283</v>
      </c>
      <c r="B160" s="307"/>
      <c r="C160" s="42">
        <f>+B159*C154</f>
        <v>0</v>
      </c>
    </row>
  </sheetData>
  <mergeCells count="35">
    <mergeCell ref="A124:C124"/>
    <mergeCell ref="A126:C126"/>
    <mergeCell ref="A139:B139"/>
    <mergeCell ref="A141:C141"/>
    <mergeCell ref="A160:B160"/>
    <mergeCell ref="A122:B122"/>
    <mergeCell ref="A76:B76"/>
    <mergeCell ref="A78:C78"/>
    <mergeCell ref="A85:B85"/>
    <mergeCell ref="A87:C87"/>
    <mergeCell ref="A93:B93"/>
    <mergeCell ref="A95:C95"/>
    <mergeCell ref="A101:B101"/>
    <mergeCell ref="A103:C103"/>
    <mergeCell ref="A104:C104"/>
    <mergeCell ref="A112:B112"/>
    <mergeCell ref="A113:C113"/>
    <mergeCell ref="A71:C71"/>
    <mergeCell ref="A31:B31"/>
    <mergeCell ref="A33:C33"/>
    <mergeCell ref="A42:B42"/>
    <mergeCell ref="A43:B43"/>
    <mergeCell ref="A45:C45"/>
    <mergeCell ref="A51:B51"/>
    <mergeCell ref="A53:C53"/>
    <mergeCell ref="A62:B62"/>
    <mergeCell ref="A63:B63"/>
    <mergeCell ref="A65:C65"/>
    <mergeCell ref="A66:C69"/>
    <mergeCell ref="A27:C27"/>
    <mergeCell ref="A1:C1"/>
    <mergeCell ref="A9:C9"/>
    <mergeCell ref="A16:B16"/>
    <mergeCell ref="A18:C18"/>
    <mergeCell ref="A25:B25"/>
  </mergeCells>
  <pageMargins left="0.51181102362204722" right="0.51181102362204722" top="0.78740157480314965" bottom="0.78740157480314965" header="0.31496062992125984" footer="0.31496062992125984"/>
  <pageSetup paperSize="9" scale="70" orientation="portrait" r:id="rId1"/>
  <headerFooter>
    <oddFooter>&amp;A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0"/>
  <sheetViews>
    <sheetView topLeftCell="A10" workbookViewId="0">
      <selection activeCell="A14" sqref="A14"/>
    </sheetView>
  </sheetViews>
  <sheetFormatPr defaultRowHeight="11.25" x14ac:dyDescent="0.2"/>
  <cols>
    <col min="1" max="1" width="55.7109375" style="14" customWidth="1"/>
    <col min="2" max="2" width="9.140625" style="14"/>
    <col min="3" max="3" width="11.42578125" style="14" customWidth="1"/>
    <col min="4" max="4" width="12.7109375" style="14" customWidth="1"/>
    <col min="5" max="5" width="11.42578125" style="14" customWidth="1"/>
    <col min="6" max="16384" width="9.140625" style="14"/>
  </cols>
  <sheetData>
    <row r="1" spans="1:5" ht="15" x14ac:dyDescent="0.25">
      <c r="A1" s="2" t="s">
        <v>334</v>
      </c>
      <c r="B1" s="2"/>
      <c r="C1" s="2"/>
      <c r="D1" s="2"/>
      <c r="E1" s="2"/>
    </row>
    <row r="2" spans="1:5" ht="22.5" x14ac:dyDescent="0.2">
      <c r="A2" s="52" t="s">
        <v>212</v>
      </c>
      <c r="B2" s="52" t="s">
        <v>213</v>
      </c>
      <c r="C2" s="53" t="s">
        <v>214</v>
      </c>
      <c r="D2" s="53" t="s">
        <v>222</v>
      </c>
      <c r="E2" s="53" t="s">
        <v>215</v>
      </c>
    </row>
    <row r="3" spans="1:5" ht="22.5" x14ac:dyDescent="0.2">
      <c r="A3" s="178" t="s">
        <v>301</v>
      </c>
      <c r="B3" s="54">
        <v>3</v>
      </c>
      <c r="C3" s="624"/>
      <c r="D3" s="55">
        <f>+C3*B3</f>
        <v>0</v>
      </c>
      <c r="E3" s="55">
        <f>ROUNDDOWN(+D3/6,2)</f>
        <v>0</v>
      </c>
    </row>
    <row r="4" spans="1:5" ht="22.5" x14ac:dyDescent="0.2">
      <c r="A4" s="178" t="s">
        <v>297</v>
      </c>
      <c r="B4" s="54">
        <v>3</v>
      </c>
      <c r="C4" s="624"/>
      <c r="D4" s="55">
        <f t="shared" ref="D4:D10" si="0">+C4*B4</f>
        <v>0</v>
      </c>
      <c r="E4" s="55">
        <f t="shared" ref="E4:E11" si="1">ROUNDDOWN(+D4/6,2)</f>
        <v>0</v>
      </c>
    </row>
    <row r="5" spans="1:5" x14ac:dyDescent="0.2">
      <c r="A5" s="178" t="s">
        <v>298</v>
      </c>
      <c r="B5" s="54">
        <v>1</v>
      </c>
      <c r="C5" s="624"/>
      <c r="D5" s="55">
        <f t="shared" ref="D5:D9" si="2">+C5*B5</f>
        <v>0</v>
      </c>
      <c r="E5" s="55">
        <f t="shared" ref="E5:E9" si="3">ROUNDDOWN(+D5/6,2)</f>
        <v>0</v>
      </c>
    </row>
    <row r="6" spans="1:5" x14ac:dyDescent="0.2">
      <c r="A6" s="178" t="s">
        <v>302</v>
      </c>
      <c r="B6" s="54">
        <v>2</v>
      </c>
      <c r="C6" s="624"/>
      <c r="D6" s="55">
        <f t="shared" si="2"/>
        <v>0</v>
      </c>
      <c r="E6" s="55">
        <f t="shared" si="3"/>
        <v>0</v>
      </c>
    </row>
    <row r="7" spans="1:5" x14ac:dyDescent="0.2">
      <c r="A7" s="178" t="s">
        <v>299</v>
      </c>
      <c r="B7" s="54">
        <v>1</v>
      </c>
      <c r="C7" s="624"/>
      <c r="D7" s="55">
        <f t="shared" si="2"/>
        <v>0</v>
      </c>
      <c r="E7" s="55">
        <f t="shared" si="3"/>
        <v>0</v>
      </c>
    </row>
    <row r="8" spans="1:5" x14ac:dyDescent="0.2">
      <c r="A8" s="56" t="s">
        <v>303</v>
      </c>
      <c r="B8" s="54">
        <v>6</v>
      </c>
      <c r="C8" s="624"/>
      <c r="D8" s="55">
        <f t="shared" si="2"/>
        <v>0</v>
      </c>
      <c r="E8" s="55">
        <f t="shared" si="3"/>
        <v>0</v>
      </c>
    </row>
    <row r="9" spans="1:5" ht="22.5" x14ac:dyDescent="0.2">
      <c r="A9" s="56" t="s">
        <v>300</v>
      </c>
      <c r="B9" s="54">
        <v>3</v>
      </c>
      <c r="C9" s="624"/>
      <c r="D9" s="55">
        <f t="shared" si="2"/>
        <v>0</v>
      </c>
      <c r="E9" s="55">
        <f t="shared" si="3"/>
        <v>0</v>
      </c>
    </row>
    <row r="10" spans="1:5" ht="67.5" x14ac:dyDescent="0.2">
      <c r="A10" s="56" t="s">
        <v>216</v>
      </c>
      <c r="B10" s="54">
        <v>1</v>
      </c>
      <c r="C10" s="624"/>
      <c r="D10" s="55">
        <f t="shared" si="0"/>
        <v>0</v>
      </c>
      <c r="E10" s="55">
        <f t="shared" si="1"/>
        <v>0</v>
      </c>
    </row>
    <row r="11" spans="1:5" ht="78.75" x14ac:dyDescent="0.2">
      <c r="A11" s="137" t="s">
        <v>239</v>
      </c>
      <c r="B11" s="54">
        <f>88*6</f>
        <v>528</v>
      </c>
      <c r="C11" s="624"/>
      <c r="D11" s="55">
        <f>+C11*B11</f>
        <v>0</v>
      </c>
      <c r="E11" s="55">
        <f t="shared" si="1"/>
        <v>0</v>
      </c>
    </row>
    <row r="12" spans="1:5" x14ac:dyDescent="0.2">
      <c r="A12" s="14" t="s">
        <v>240</v>
      </c>
      <c r="C12" s="57"/>
      <c r="D12" s="57"/>
      <c r="E12" s="136">
        <f>ROUNDDOWN(SUM(E3:E10),2)</f>
        <v>0</v>
      </c>
    </row>
    <row r="15" spans="1:5" ht="15" x14ac:dyDescent="0.25">
      <c r="A15" s="2" t="s">
        <v>304</v>
      </c>
      <c r="B15" s="2"/>
      <c r="C15" s="2"/>
      <c r="D15" s="2"/>
      <c r="E15" s="2"/>
    </row>
    <row r="16" spans="1:5" ht="22.5" x14ac:dyDescent="0.2">
      <c r="A16" s="52" t="s">
        <v>212</v>
      </c>
      <c r="B16" s="52" t="s">
        <v>213</v>
      </c>
      <c r="C16" s="53" t="s">
        <v>214</v>
      </c>
      <c r="D16" s="53" t="s">
        <v>222</v>
      </c>
      <c r="E16" s="53" t="s">
        <v>215</v>
      </c>
    </row>
    <row r="17" spans="1:5" ht="22.5" x14ac:dyDescent="0.2">
      <c r="A17" s="178" t="s">
        <v>301</v>
      </c>
      <c r="B17" s="54">
        <v>3</v>
      </c>
      <c r="C17" s="624"/>
      <c r="D17" s="55">
        <f>+C17*B17</f>
        <v>0</v>
      </c>
      <c r="E17" s="55">
        <f>ROUNDDOWN(+D17/6,2)</f>
        <v>0</v>
      </c>
    </row>
    <row r="18" spans="1:5" ht="22.5" x14ac:dyDescent="0.2">
      <c r="A18" s="178" t="s">
        <v>321</v>
      </c>
      <c r="B18" s="54">
        <v>3</v>
      </c>
      <c r="C18" s="624"/>
      <c r="D18" s="55">
        <f t="shared" ref="D18:D24" si="4">+C18*B18</f>
        <v>0</v>
      </c>
      <c r="E18" s="55">
        <f t="shared" ref="E18:E25" si="5">ROUNDDOWN(+D18/6,2)</f>
        <v>0</v>
      </c>
    </row>
    <row r="19" spans="1:5" x14ac:dyDescent="0.2">
      <c r="A19" s="178" t="s">
        <v>322</v>
      </c>
      <c r="B19" s="54">
        <v>1</v>
      </c>
      <c r="C19" s="624"/>
      <c r="D19" s="55">
        <f t="shared" si="4"/>
        <v>0</v>
      </c>
      <c r="E19" s="55">
        <f t="shared" si="5"/>
        <v>0</v>
      </c>
    </row>
    <row r="20" spans="1:5" x14ac:dyDescent="0.2">
      <c r="A20" s="178" t="s">
        <v>323</v>
      </c>
      <c r="B20" s="54">
        <v>1</v>
      </c>
      <c r="C20" s="624"/>
      <c r="D20" s="55">
        <f t="shared" ref="D20" si="6">+C20*B20</f>
        <v>0</v>
      </c>
      <c r="E20" s="55">
        <f t="shared" ref="E20" si="7">ROUNDDOWN(+D20/6,2)</f>
        <v>0</v>
      </c>
    </row>
    <row r="21" spans="1:5" x14ac:dyDescent="0.2">
      <c r="A21" s="178" t="s">
        <v>324</v>
      </c>
      <c r="B21" s="54">
        <v>1</v>
      </c>
      <c r="C21" s="624"/>
      <c r="D21" s="55">
        <f t="shared" si="4"/>
        <v>0</v>
      </c>
      <c r="E21" s="55">
        <f t="shared" si="5"/>
        <v>0</v>
      </c>
    </row>
    <row r="22" spans="1:5" x14ac:dyDescent="0.2">
      <c r="A22" s="56" t="s">
        <v>303</v>
      </c>
      <c r="B22" s="54">
        <v>6</v>
      </c>
      <c r="C22" s="624"/>
      <c r="D22" s="55">
        <f t="shared" si="4"/>
        <v>0</v>
      </c>
      <c r="E22" s="55">
        <f t="shared" si="5"/>
        <v>0</v>
      </c>
    </row>
    <row r="23" spans="1:5" x14ac:dyDescent="0.2">
      <c r="A23" s="56" t="s">
        <v>325</v>
      </c>
      <c r="B23" s="54">
        <v>1</v>
      </c>
      <c r="C23" s="624"/>
      <c r="D23" s="55">
        <f t="shared" si="4"/>
        <v>0</v>
      </c>
      <c r="E23" s="55">
        <f t="shared" si="5"/>
        <v>0</v>
      </c>
    </row>
    <row r="24" spans="1:5" ht="67.5" x14ac:dyDescent="0.2">
      <c r="A24" s="56" t="s">
        <v>216</v>
      </c>
      <c r="B24" s="54">
        <v>1</v>
      </c>
      <c r="C24" s="624"/>
      <c r="D24" s="55">
        <f t="shared" si="4"/>
        <v>0</v>
      </c>
      <c r="E24" s="55">
        <f t="shared" si="5"/>
        <v>0</v>
      </c>
    </row>
    <row r="25" spans="1:5" ht="78.75" x14ac:dyDescent="0.2">
      <c r="A25" s="137" t="s">
        <v>239</v>
      </c>
      <c r="B25" s="54">
        <f>88*6</f>
        <v>528</v>
      </c>
      <c r="C25" s="624"/>
      <c r="D25" s="55">
        <f>+C25*B25</f>
        <v>0</v>
      </c>
      <c r="E25" s="55">
        <f t="shared" si="5"/>
        <v>0</v>
      </c>
    </row>
    <row r="26" spans="1:5" x14ac:dyDescent="0.2">
      <c r="A26" s="14" t="s">
        <v>240</v>
      </c>
      <c r="C26" s="57"/>
      <c r="D26" s="57"/>
      <c r="E26" s="136">
        <f>ROUNDDOWN(SUM(E17:E24),2)</f>
        <v>0</v>
      </c>
    </row>
    <row r="29" spans="1:5" ht="15" x14ac:dyDescent="0.25">
      <c r="A29" s="2" t="s">
        <v>316</v>
      </c>
      <c r="B29" s="2"/>
      <c r="C29" s="2"/>
      <c r="D29" s="2"/>
      <c r="E29" s="2"/>
    </row>
    <row r="30" spans="1:5" ht="22.5" x14ac:dyDescent="0.2">
      <c r="A30" s="52" t="s">
        <v>212</v>
      </c>
      <c r="B30" s="52" t="s">
        <v>213</v>
      </c>
      <c r="C30" s="53" t="s">
        <v>214</v>
      </c>
      <c r="D30" s="53" t="s">
        <v>222</v>
      </c>
      <c r="E30" s="53" t="s">
        <v>215</v>
      </c>
    </row>
    <row r="31" spans="1:5" ht="22.5" x14ac:dyDescent="0.2">
      <c r="A31" s="178" t="s">
        <v>301</v>
      </c>
      <c r="B31" s="54">
        <v>3</v>
      </c>
      <c r="C31" s="624"/>
      <c r="D31" s="55">
        <f>+C31*B31</f>
        <v>0</v>
      </c>
      <c r="E31" s="55">
        <f>ROUNDDOWN(+D31/6,2)</f>
        <v>0</v>
      </c>
    </row>
    <row r="32" spans="1:5" ht="22.5" x14ac:dyDescent="0.2">
      <c r="A32" s="178" t="s">
        <v>297</v>
      </c>
      <c r="B32" s="54">
        <v>3</v>
      </c>
      <c r="C32" s="624"/>
      <c r="D32" s="55">
        <f t="shared" ref="D32:D34" si="8">+C32*B32</f>
        <v>0</v>
      </c>
      <c r="E32" s="55">
        <f t="shared" ref="E32:E35" si="9">ROUNDDOWN(+D32/6,2)</f>
        <v>0</v>
      </c>
    </row>
    <row r="33" spans="1:5" x14ac:dyDescent="0.2">
      <c r="A33" s="178" t="s">
        <v>299</v>
      </c>
      <c r="B33" s="54">
        <v>1</v>
      </c>
      <c r="C33" s="624"/>
      <c r="D33" s="55">
        <f t="shared" si="8"/>
        <v>0</v>
      </c>
      <c r="E33" s="55">
        <f t="shared" si="9"/>
        <v>0</v>
      </c>
    </row>
    <row r="34" spans="1:5" ht="67.5" x14ac:dyDescent="0.2">
      <c r="A34" s="56" t="s">
        <v>216</v>
      </c>
      <c r="B34" s="54">
        <v>1</v>
      </c>
      <c r="C34" s="624"/>
      <c r="D34" s="55">
        <f t="shared" si="8"/>
        <v>0</v>
      </c>
      <c r="E34" s="55">
        <f t="shared" si="9"/>
        <v>0</v>
      </c>
    </row>
    <row r="35" spans="1:5" ht="78.75" x14ac:dyDescent="0.2">
      <c r="A35" s="137" t="s">
        <v>239</v>
      </c>
      <c r="B35" s="54">
        <f>88*6</f>
        <v>528</v>
      </c>
      <c r="C35" s="624"/>
      <c r="D35" s="55">
        <f>+C35*B35</f>
        <v>0</v>
      </c>
      <c r="E35" s="55">
        <f t="shared" si="9"/>
        <v>0</v>
      </c>
    </row>
    <row r="36" spans="1:5" x14ac:dyDescent="0.2">
      <c r="A36" s="14" t="s">
        <v>240</v>
      </c>
      <c r="C36" s="57"/>
      <c r="D36" s="57"/>
      <c r="E36" s="136">
        <f>ROUNDDOWN(SUM(E31:E34),2)</f>
        <v>0</v>
      </c>
    </row>
    <row r="40" spans="1:5" ht="15" x14ac:dyDescent="0.25">
      <c r="A40" s="2" t="s">
        <v>343</v>
      </c>
      <c r="B40" s="2"/>
      <c r="C40" s="2"/>
      <c r="D40" s="2"/>
      <c r="E40" s="2"/>
    </row>
    <row r="41" spans="1:5" ht="22.5" x14ac:dyDescent="0.2">
      <c r="A41" s="52" t="s">
        <v>212</v>
      </c>
      <c r="B41" s="52" t="s">
        <v>213</v>
      </c>
      <c r="C41" s="53" t="s">
        <v>214</v>
      </c>
      <c r="D41" s="53" t="s">
        <v>222</v>
      </c>
      <c r="E41" s="53" t="s">
        <v>215</v>
      </c>
    </row>
    <row r="42" spans="1:5" ht="56.25" x14ac:dyDescent="0.2">
      <c r="A42" s="212" t="s">
        <v>344</v>
      </c>
      <c r="B42" s="213">
        <v>2</v>
      </c>
      <c r="C42" s="624"/>
      <c r="D42" s="55">
        <f t="shared" ref="D42:D47" si="10">+C42*B42</f>
        <v>0</v>
      </c>
      <c r="E42" s="55">
        <f>ROUNDDOWN(+D42/6,2)</f>
        <v>0</v>
      </c>
    </row>
    <row r="43" spans="1:5" ht="22.5" x14ac:dyDescent="0.2">
      <c r="A43" s="212" t="s">
        <v>345</v>
      </c>
      <c r="B43" s="213">
        <v>3</v>
      </c>
      <c r="C43" s="624"/>
      <c r="D43" s="55">
        <f t="shared" si="10"/>
        <v>0</v>
      </c>
      <c r="E43" s="55">
        <f>ROUNDDOWN(+D43/6,2)</f>
        <v>0</v>
      </c>
    </row>
    <row r="44" spans="1:5" ht="22.5" x14ac:dyDescent="0.2">
      <c r="A44" s="212" t="s">
        <v>346</v>
      </c>
      <c r="B44" s="213">
        <v>1</v>
      </c>
      <c r="C44" s="624"/>
      <c r="D44" s="55">
        <f t="shared" si="10"/>
        <v>0</v>
      </c>
      <c r="E44" s="55">
        <f>ROUNDDOWN(+D44/6,2)</f>
        <v>0</v>
      </c>
    </row>
    <row r="45" spans="1:5" x14ac:dyDescent="0.2">
      <c r="A45" s="56" t="s">
        <v>347</v>
      </c>
      <c r="B45" s="54">
        <v>1</v>
      </c>
      <c r="C45" s="624"/>
      <c r="D45" s="55">
        <f t="shared" si="10"/>
        <v>0</v>
      </c>
      <c r="E45" s="55">
        <f>ROUNDDOWN(+D45/6,2)</f>
        <v>0</v>
      </c>
    </row>
    <row r="46" spans="1:5" x14ac:dyDescent="0.2">
      <c r="A46" s="56" t="s">
        <v>348</v>
      </c>
      <c r="B46" s="54">
        <v>1</v>
      </c>
      <c r="C46" s="624"/>
      <c r="D46" s="55">
        <f t="shared" si="10"/>
        <v>0</v>
      </c>
      <c r="E46" s="55">
        <f>ROUNDDOWN(+D46/6,2)</f>
        <v>0</v>
      </c>
    </row>
    <row r="47" spans="1:5" ht="78.75" x14ac:dyDescent="0.2">
      <c r="A47" s="137" t="s">
        <v>239</v>
      </c>
      <c r="B47" s="54">
        <f>88*6</f>
        <v>528</v>
      </c>
      <c r="C47" s="624"/>
      <c r="D47" s="55">
        <f t="shared" si="10"/>
        <v>0</v>
      </c>
      <c r="E47" s="228">
        <f t="shared" ref="E47" si="11">ROUNDDOWN(+D47/6,2)</f>
        <v>0</v>
      </c>
    </row>
    <row r="48" spans="1:5" x14ac:dyDescent="0.2">
      <c r="D48" s="57"/>
      <c r="E48" s="214">
        <f>SUM(E42:E47)</f>
        <v>0</v>
      </c>
    </row>
    <row r="50" spans="1:5" ht="15" x14ac:dyDescent="0.25">
      <c r="A50"/>
      <c r="B50"/>
      <c r="C50"/>
      <c r="D50"/>
      <c r="E50"/>
    </row>
  </sheetData>
  <pageMargins left="1.1023622047244095" right="0.51181102362204722" top="0.33" bottom="0.47" header="0.31496062992125984" footer="0.31496062992125984"/>
  <pageSetup paperSize="9" scale="67" orientation="portrait" r:id="rId1"/>
  <headerFooter>
    <oddFooter>&amp;A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1"/>
  <sheetViews>
    <sheetView workbookViewId="0">
      <selection sqref="A1:XFD1048576"/>
    </sheetView>
  </sheetViews>
  <sheetFormatPr defaultRowHeight="15" x14ac:dyDescent="0.25"/>
  <cols>
    <col min="1" max="1" width="13.85546875" style="430" customWidth="1"/>
    <col min="2" max="2" width="9.85546875" style="430" customWidth="1"/>
    <col min="3" max="3" width="9.140625" style="430"/>
    <col min="4" max="4" width="10.7109375" style="430" customWidth="1"/>
    <col min="5" max="5" width="9.140625" style="430"/>
    <col min="6" max="6" width="9.28515625" style="523" bestFit="1" customWidth="1"/>
    <col min="7" max="7" width="9.140625" style="430"/>
    <col min="8" max="8" width="14.140625" style="430" customWidth="1"/>
    <col min="9" max="16384" width="9.140625" style="430"/>
  </cols>
  <sheetData>
    <row r="1" spans="1:13" ht="26.25" customHeight="1" x14ac:dyDescent="0.25">
      <c r="A1" s="427"/>
      <c r="B1" s="428" t="s">
        <v>381</v>
      </c>
      <c r="C1" s="428"/>
      <c r="D1" s="428"/>
      <c r="E1" s="428"/>
      <c r="F1" s="428"/>
      <c r="G1" s="428"/>
      <c r="H1" s="428"/>
      <c r="I1" s="428"/>
      <c r="J1" s="428"/>
      <c r="K1" s="429"/>
    </row>
    <row r="2" spans="1:13" x14ac:dyDescent="0.25">
      <c r="A2" s="431"/>
      <c r="B2" s="432" t="s">
        <v>382</v>
      </c>
      <c r="C2" s="432"/>
      <c r="D2" s="432"/>
      <c r="E2" s="432"/>
      <c r="F2" s="432"/>
      <c r="G2" s="432"/>
      <c r="H2" s="432"/>
      <c r="I2" s="432"/>
      <c r="J2" s="432"/>
      <c r="K2" s="433"/>
    </row>
    <row r="3" spans="1:13" ht="18.75" customHeight="1" thickBot="1" x14ac:dyDescent="0.3">
      <c r="A3" s="434"/>
      <c r="B3" s="435" t="s">
        <v>383</v>
      </c>
      <c r="C3" s="435"/>
      <c r="D3" s="435"/>
      <c r="E3" s="435"/>
      <c r="F3" s="435"/>
      <c r="G3" s="435"/>
      <c r="H3" s="435"/>
      <c r="I3" s="435"/>
      <c r="J3" s="435"/>
      <c r="K3" s="436"/>
    </row>
    <row r="4" spans="1:13" x14ac:dyDescent="0.25">
      <c r="A4" s="437"/>
      <c r="B4" s="438"/>
      <c r="C4" s="438"/>
      <c r="D4" s="438"/>
      <c r="E4" s="438"/>
      <c r="F4" s="439"/>
      <c r="G4" s="438"/>
      <c r="H4" s="438"/>
      <c r="I4" s="438"/>
      <c r="J4" s="438"/>
      <c r="K4" s="440"/>
    </row>
    <row r="5" spans="1:13" ht="20.100000000000001" customHeight="1" x14ac:dyDescent="0.25">
      <c r="A5" s="441" t="s">
        <v>384</v>
      </c>
      <c r="B5" s="442"/>
      <c r="C5" s="442"/>
      <c r="D5" s="438"/>
      <c r="E5" s="438"/>
      <c r="F5" s="439"/>
      <c r="G5" s="438"/>
      <c r="H5" s="438"/>
      <c r="I5" s="443" t="s">
        <v>385</v>
      </c>
      <c r="J5" s="444"/>
      <c r="K5" s="445"/>
    </row>
    <row r="6" spans="1:13" ht="20.100000000000001" customHeight="1" x14ac:dyDescent="0.25">
      <c r="A6" s="437"/>
      <c r="B6" s="438"/>
      <c r="C6" s="438"/>
      <c r="D6" s="438"/>
      <c r="E6" s="438"/>
      <c r="F6" s="439"/>
      <c r="G6" s="438"/>
      <c r="H6" s="438"/>
      <c r="I6" s="438"/>
      <c r="J6" s="438"/>
      <c r="K6" s="440"/>
    </row>
    <row r="7" spans="1:13" ht="20.100000000000001" customHeight="1" x14ac:dyDescent="0.25">
      <c r="A7" s="441" t="s">
        <v>386</v>
      </c>
      <c r="B7" s="446"/>
      <c r="C7" s="446"/>
      <c r="D7" s="446"/>
      <c r="E7" s="446"/>
      <c r="F7" s="446"/>
      <c r="G7" s="446"/>
      <c r="H7" s="446"/>
      <c r="I7" s="446"/>
      <c r="J7" s="446"/>
      <c r="K7" s="447"/>
    </row>
    <row r="8" spans="1:13" ht="20.100000000000001" customHeight="1" x14ac:dyDescent="0.25">
      <c r="A8" s="441" t="s">
        <v>387</v>
      </c>
      <c r="B8" s="446"/>
      <c r="C8" s="446"/>
      <c r="D8" s="446"/>
      <c r="E8" s="446"/>
      <c r="F8" s="446"/>
      <c r="G8" s="446"/>
      <c r="H8" s="446"/>
      <c r="I8" s="446"/>
      <c r="J8" s="446"/>
      <c r="K8" s="447"/>
    </row>
    <row r="9" spans="1:13" ht="20.100000000000001" customHeight="1" x14ac:dyDescent="0.25">
      <c r="A9" s="448" t="s">
        <v>388</v>
      </c>
      <c r="B9" s="449"/>
      <c r="C9" s="446"/>
      <c r="D9" s="446"/>
      <c r="E9" s="446"/>
      <c r="F9" s="446"/>
      <c r="G9" s="446"/>
      <c r="H9" s="446"/>
      <c r="I9" s="446"/>
      <c r="J9" s="446"/>
      <c r="K9" s="447"/>
    </row>
    <row r="10" spans="1:13" ht="20.100000000000001" customHeight="1" x14ac:dyDescent="0.25">
      <c r="A10" s="448" t="s">
        <v>389</v>
      </c>
      <c r="B10" s="449"/>
      <c r="C10" s="446"/>
      <c r="D10" s="446"/>
      <c r="E10" s="446"/>
      <c r="F10" s="446"/>
      <c r="G10" s="446"/>
      <c r="H10" s="446"/>
      <c r="I10" s="446"/>
      <c r="J10" s="446"/>
      <c r="K10" s="447"/>
    </row>
    <row r="11" spans="1:13" ht="20.100000000000001" customHeight="1" x14ac:dyDescent="0.25">
      <c r="A11" s="448" t="s">
        <v>390</v>
      </c>
      <c r="B11" s="449"/>
      <c r="C11" s="449"/>
      <c r="D11" s="449"/>
      <c r="E11" s="446"/>
      <c r="F11" s="446"/>
      <c r="G11" s="446"/>
      <c r="H11" s="446"/>
      <c r="I11" s="446"/>
      <c r="J11" s="446"/>
      <c r="K11" s="447"/>
    </row>
    <row r="12" spans="1:13" ht="10.5" customHeight="1" x14ac:dyDescent="0.3">
      <c r="A12" s="450" t="s">
        <v>391</v>
      </c>
      <c r="B12" s="451"/>
      <c r="C12" s="451"/>
      <c r="D12" s="451"/>
      <c r="E12" s="451"/>
      <c r="F12" s="451"/>
      <c r="G12" s="451"/>
      <c r="H12" s="451"/>
      <c r="I12" s="451"/>
      <c r="J12" s="451"/>
      <c r="K12" s="452"/>
    </row>
    <row r="13" spans="1:13" ht="32.1" customHeight="1" x14ac:dyDescent="0.25">
      <c r="A13" s="453" t="s">
        <v>392</v>
      </c>
      <c r="B13" s="454"/>
      <c r="C13" s="454"/>
      <c r="D13" s="454"/>
      <c r="E13" s="454"/>
      <c r="F13" s="455" t="s">
        <v>393</v>
      </c>
      <c r="G13" s="456" t="s">
        <v>394</v>
      </c>
      <c r="H13" s="457" t="s">
        <v>395</v>
      </c>
      <c r="I13" s="438"/>
      <c r="J13" s="438"/>
      <c r="K13" s="440"/>
    </row>
    <row r="14" spans="1:13" ht="20.100000000000001" customHeight="1" x14ac:dyDescent="0.25">
      <c r="A14" s="458" t="s">
        <v>396</v>
      </c>
      <c r="B14" s="459"/>
      <c r="C14" s="459"/>
      <c r="D14" s="459"/>
      <c r="E14" s="459"/>
      <c r="F14" s="460">
        <v>0.4</v>
      </c>
      <c r="G14" s="461"/>
      <c r="H14" s="462">
        <f>+G14*F14</f>
        <v>0</v>
      </c>
      <c r="I14" s="463" t="str">
        <f>IF(G14="","Nota Não Atribuida",(IF(G14&gt;3,"Nota Inválida",(IF(G14=2,"Nota Inválida",(IF(G14=0,"Avaliação Ok",(IF(G14=1,"Avaliação Ok",(IF(G14=3,"Avaliação Ok",)))))))))))</f>
        <v>Nota Não Atribuida</v>
      </c>
      <c r="J14" s="464"/>
      <c r="K14" s="465"/>
      <c r="L14" s="466" t="str">
        <f>IF(G14&lt;=1,"Lembramos que para o caso de notas 0 e 1 o campo Justificativa deve ser preenchido","")</f>
        <v>Lembramos que para o caso de notas 0 e 1 o campo Justificativa deve ser preenchido</v>
      </c>
      <c r="M14" s="467"/>
    </row>
    <row r="15" spans="1:13" ht="20.100000000000001" customHeight="1" x14ac:dyDescent="0.25">
      <c r="A15" s="458" t="s">
        <v>397</v>
      </c>
      <c r="B15" s="459"/>
      <c r="C15" s="459"/>
      <c r="D15" s="459"/>
      <c r="E15" s="459"/>
      <c r="F15" s="460">
        <v>0.35</v>
      </c>
      <c r="G15" s="461"/>
      <c r="H15" s="462">
        <f>+G15*F15</f>
        <v>0</v>
      </c>
      <c r="I15" s="463" t="str">
        <f>IF(G15="","Nota Não Atribuida",(IF(G15&gt;3,"Nota Inválida",(IF(G15=2,"Nota Inválida",(IF(G15=0,"Avaliação Ok",(IF(G15=1,"Avaliação Ok",(IF(G15=3,"Avaliação Ok",)))))))))))</f>
        <v>Nota Não Atribuida</v>
      </c>
      <c r="J15" s="464"/>
      <c r="K15" s="465"/>
      <c r="L15" s="466" t="str">
        <f>IF(G15&lt;=1,"Lembramos que para o caso de notas 0 e 1 o campo Justificativa deve ser preenchido","")</f>
        <v>Lembramos que para o caso de notas 0 e 1 o campo Justificativa deve ser preenchido</v>
      </c>
    </row>
    <row r="16" spans="1:13" ht="20.100000000000001" customHeight="1" x14ac:dyDescent="0.25">
      <c r="A16" s="448" t="s">
        <v>398</v>
      </c>
      <c r="B16" s="459"/>
      <c r="C16" s="459"/>
      <c r="D16" s="459"/>
      <c r="E16" s="459"/>
      <c r="F16" s="460">
        <v>0.25</v>
      </c>
      <c r="G16" s="461"/>
      <c r="H16" s="462">
        <f>+G16*F16</f>
        <v>0</v>
      </c>
      <c r="I16" s="463" t="str">
        <f>IF(G16="","Nota Não Atribuida",(IF(G16&gt;3,"Nota Inválida",(IF(G16=2,"Nota Inválida",(IF(G16=0,"Avaliação Ok",(IF(G16=1,"Avaliação Ok",(IF(G16=3,"Avaliação Ok",)))))))))))</f>
        <v>Nota Não Atribuida</v>
      </c>
      <c r="J16" s="464"/>
      <c r="K16" s="465"/>
      <c r="L16" s="466" t="str">
        <f>IF(G16&lt;=1,"Lembramos que para o caso de notas 0 e 1 o campo Justificativa deve ser preenchido","")</f>
        <v>Lembramos que para o caso de notas 0 e 1 o campo Justificativa deve ser preenchido</v>
      </c>
    </row>
    <row r="17" spans="1:12" ht="20.100000000000001" customHeight="1" x14ac:dyDescent="0.25">
      <c r="A17" s="448" t="s">
        <v>48</v>
      </c>
      <c r="B17" s="459"/>
      <c r="C17" s="459"/>
      <c r="D17" s="459"/>
      <c r="E17" s="459"/>
      <c r="F17" s="460">
        <f>+F16+F15+F14</f>
        <v>1</v>
      </c>
      <c r="G17" s="468"/>
      <c r="H17" s="469">
        <f>+H15+H14+H16</f>
        <v>0</v>
      </c>
      <c r="I17" s="438"/>
      <c r="J17" s="438"/>
      <c r="K17" s="440"/>
    </row>
    <row r="18" spans="1:12" ht="8.25" customHeight="1" x14ac:dyDescent="0.25">
      <c r="A18" s="437"/>
      <c r="B18" s="438"/>
      <c r="C18" s="438"/>
      <c r="D18" s="438"/>
      <c r="E18" s="438"/>
      <c r="F18" s="439"/>
      <c r="G18" s="438"/>
      <c r="H18" s="438"/>
      <c r="I18" s="438"/>
      <c r="J18" s="438"/>
      <c r="K18" s="440"/>
    </row>
    <row r="19" spans="1:12" ht="32.1" customHeight="1" x14ac:dyDescent="0.25">
      <c r="A19" s="453" t="s">
        <v>399</v>
      </c>
      <c r="B19" s="454"/>
      <c r="C19" s="454"/>
      <c r="D19" s="454"/>
      <c r="E19" s="454"/>
      <c r="F19" s="455" t="s">
        <v>393</v>
      </c>
      <c r="G19" s="456" t="s">
        <v>394</v>
      </c>
      <c r="H19" s="457" t="s">
        <v>395</v>
      </c>
      <c r="I19" s="438"/>
      <c r="J19" s="438"/>
      <c r="K19" s="440"/>
    </row>
    <row r="20" spans="1:12" ht="20.100000000000001" customHeight="1" x14ac:dyDescent="0.25">
      <c r="A20" s="448" t="s">
        <v>400</v>
      </c>
      <c r="B20" s="459"/>
      <c r="C20" s="459"/>
      <c r="D20" s="459"/>
      <c r="E20" s="459"/>
      <c r="F20" s="460">
        <v>0.5</v>
      </c>
      <c r="G20" s="461"/>
      <c r="H20" s="462">
        <f>+G20*F20</f>
        <v>0</v>
      </c>
      <c r="I20" s="463" t="str">
        <f>IF(G20="","Nota Não Atribuida",(IF(G20&gt;3,"Nota Inválida",(IF(G20=2,"Nota Inválida",(IF(G20=0,"Avaliação Ok",(IF(G20=1,"Avaliação Ok",(IF(G20=3,"Avaliação Ok",)))))))))))</f>
        <v>Nota Não Atribuida</v>
      </c>
      <c r="J20" s="464"/>
      <c r="K20" s="465"/>
      <c r="L20" s="466" t="str">
        <f>IF(G20&lt;=1,"Lembramos que para o caso de notas 0 e 1 o campo Justificativa deve ser preenchido","")</f>
        <v>Lembramos que para o caso de notas 0 e 1 o campo Justificativa deve ser preenchido</v>
      </c>
    </row>
    <row r="21" spans="1:12" ht="20.100000000000001" customHeight="1" x14ac:dyDescent="0.25">
      <c r="A21" s="448" t="s">
        <v>401</v>
      </c>
      <c r="B21" s="459"/>
      <c r="C21" s="459"/>
      <c r="D21" s="459"/>
      <c r="E21" s="459"/>
      <c r="F21" s="460">
        <v>0.5</v>
      </c>
      <c r="G21" s="461"/>
      <c r="H21" s="462">
        <f>+G21*F21</f>
        <v>0</v>
      </c>
      <c r="I21" s="463" t="str">
        <f>IF(G21="","Nota Não Atribuida",(IF(G21&gt;3,"Nota Inválida",(IF(G21=2,"Nota Inválida",(IF(G21=0,"Avaliação Ok",(IF(G21=1,"Avaliação Ok",(IF(G21=3,"Avaliação Ok",)))))))))))</f>
        <v>Nota Não Atribuida</v>
      </c>
      <c r="J21" s="464"/>
      <c r="K21" s="465"/>
      <c r="L21" s="466" t="str">
        <f>IF(G21&lt;=1,"Lembramos que para o caso de notas 0 e 1 o campo Justificativa deve ser preenchido","")</f>
        <v>Lembramos que para o caso de notas 0 e 1 o campo Justificativa deve ser preenchido</v>
      </c>
    </row>
    <row r="22" spans="1:12" ht="20.100000000000001" customHeight="1" x14ac:dyDescent="0.25">
      <c r="A22" s="448" t="s">
        <v>48</v>
      </c>
      <c r="B22" s="459"/>
      <c r="C22" s="459"/>
      <c r="D22" s="459"/>
      <c r="E22" s="459"/>
      <c r="F22" s="460">
        <f>+F21+F20</f>
        <v>1</v>
      </c>
      <c r="G22" s="468"/>
      <c r="H22" s="469">
        <f>+H21++H20</f>
        <v>0</v>
      </c>
      <c r="I22" s="438"/>
      <c r="J22" s="438"/>
      <c r="K22" s="440"/>
    </row>
    <row r="23" spans="1:12" ht="6.75" customHeight="1" x14ac:dyDescent="0.25">
      <c r="A23" s="437"/>
      <c r="B23" s="438"/>
      <c r="C23" s="438"/>
      <c r="D23" s="438"/>
      <c r="E23" s="438"/>
      <c r="F23" s="439"/>
      <c r="G23" s="438"/>
      <c r="H23" s="438"/>
      <c r="I23" s="438"/>
      <c r="J23" s="438"/>
      <c r="K23" s="440"/>
    </row>
    <row r="24" spans="1:12" s="472" customFormat="1" ht="32.1" customHeight="1" x14ac:dyDescent="0.25">
      <c r="A24" s="453" t="s">
        <v>402</v>
      </c>
      <c r="B24" s="454"/>
      <c r="C24" s="454"/>
      <c r="D24" s="454"/>
      <c r="E24" s="454"/>
      <c r="F24" s="455" t="s">
        <v>393</v>
      </c>
      <c r="G24" s="456" t="s">
        <v>394</v>
      </c>
      <c r="H24" s="457" t="s">
        <v>395</v>
      </c>
      <c r="I24" s="470"/>
      <c r="J24" s="470"/>
      <c r="K24" s="471"/>
    </row>
    <row r="25" spans="1:12" ht="20.100000000000001" customHeight="1" x14ac:dyDescent="0.25">
      <c r="A25" s="448" t="s">
        <v>403</v>
      </c>
      <c r="B25" s="459"/>
      <c r="C25" s="459"/>
      <c r="D25" s="459"/>
      <c r="E25" s="459"/>
      <c r="F25" s="460">
        <v>0.2</v>
      </c>
      <c r="G25" s="461"/>
      <c r="H25" s="462">
        <f>+G25*F25</f>
        <v>0</v>
      </c>
      <c r="I25" s="463" t="str">
        <f>IF(G25="","Nota Não Atribuida",(IF(G25&gt;3,"Nota Inválida",(IF(G25=2,"Nota Inválida",(IF(G25=0,"Avaliação Ok",(IF(G25=1,"Avaliação Ok",(IF(G25=3,"Avaliação Ok",)))))))))))</f>
        <v>Nota Não Atribuida</v>
      </c>
      <c r="J25" s="464"/>
      <c r="K25" s="465"/>
      <c r="L25" s="466" t="str">
        <f>IF(G25&lt;=1,"Lembramos que para o caso de notas 0 e 1 o campo Justificativa deve ser preenchido","")</f>
        <v>Lembramos que para o caso de notas 0 e 1 o campo Justificativa deve ser preenchido</v>
      </c>
    </row>
    <row r="26" spans="1:12" ht="20.100000000000001" customHeight="1" x14ac:dyDescent="0.25">
      <c r="A26" s="448" t="s">
        <v>404</v>
      </c>
      <c r="B26" s="459"/>
      <c r="C26" s="459"/>
      <c r="D26" s="459"/>
      <c r="E26" s="459"/>
      <c r="F26" s="460">
        <v>0.3</v>
      </c>
      <c r="G26" s="461"/>
      <c r="H26" s="462">
        <f>+G26*F26</f>
        <v>0</v>
      </c>
      <c r="I26" s="463" t="str">
        <f>IF(G26="","Nota Não Atribuida",(IF(G26&gt;3,"Nota Inválida",(IF(G26=2,"Nota Inválida",(IF(G26=0,"Avaliação Ok",(IF(G26=1,"Avaliação Ok",(IF(G26=3,"Avaliação Ok",)))))))))))</f>
        <v>Nota Não Atribuida</v>
      </c>
      <c r="J26" s="464"/>
      <c r="K26" s="465"/>
      <c r="L26" s="466" t="str">
        <f>IF(G26&lt;=1,"Lembramos que para o caso de notas 0 e 1 o campo Justificativa deve ser preenchido","")</f>
        <v>Lembramos que para o caso de notas 0 e 1 o campo Justificativa deve ser preenchido</v>
      </c>
    </row>
    <row r="27" spans="1:12" ht="20.100000000000001" customHeight="1" x14ac:dyDescent="0.25">
      <c r="A27" s="448" t="s">
        <v>405</v>
      </c>
      <c r="B27" s="459"/>
      <c r="C27" s="459"/>
      <c r="D27" s="459"/>
      <c r="E27" s="459"/>
      <c r="F27" s="460">
        <v>0.25</v>
      </c>
      <c r="G27" s="461"/>
      <c r="H27" s="462">
        <f>+G27*F27</f>
        <v>0</v>
      </c>
      <c r="I27" s="463" t="str">
        <f>IF(G27="","Nota Não Atribuida",(IF(G27&gt;3,"Nota Inválida",(IF(G27=2,"Nota Inválida",(IF(G27=0,"Avaliação Ok",(IF(G27=1,"Avaliação Ok",(IF(G27=3,"Avaliação Ok",)))))))))))</f>
        <v>Nota Não Atribuida</v>
      </c>
      <c r="J27" s="464"/>
      <c r="K27" s="465"/>
      <c r="L27" s="466" t="str">
        <f>IF(G27&lt;=1,"Lembramos que para o caso de notas 0 e 1 o campo Justificativa deve ser preenchido","")</f>
        <v>Lembramos que para o caso de notas 0 e 1 o campo Justificativa deve ser preenchido</v>
      </c>
    </row>
    <row r="28" spans="1:12" ht="20.100000000000001" customHeight="1" x14ac:dyDescent="0.25">
      <c r="A28" s="473" t="s">
        <v>406</v>
      </c>
      <c r="B28" s="474"/>
      <c r="C28" s="474"/>
      <c r="D28" s="474"/>
      <c r="E28" s="474"/>
      <c r="F28" s="475">
        <v>0.25</v>
      </c>
      <c r="G28" s="476"/>
      <c r="H28" s="477">
        <f>+G28*F28</f>
        <v>0</v>
      </c>
      <c r="I28" s="463" t="str">
        <f>IF(G28="","Nota Não Atribuida",(IF(G28&gt;3,"Nota Inválida",(IF(G28=2,"Nota Inválida",(IF(G28=0,"Avaliação Ok",(IF(G28=1,"Avaliação Ok",(IF(G28=3,"Avaliação Ok",)))))))))))</f>
        <v>Nota Não Atribuida</v>
      </c>
      <c r="J28" s="464"/>
      <c r="K28" s="465"/>
      <c r="L28" s="466" t="str">
        <f>IF(G28&lt;=1,"Lembramos que para o caso de notas 0 e 1 o campo Justificativa deve ser preenchido","")</f>
        <v>Lembramos que para o caso de notas 0 e 1 o campo Justificativa deve ser preenchido</v>
      </c>
    </row>
    <row r="29" spans="1:12" ht="20.100000000000001" customHeight="1" x14ac:dyDescent="0.25">
      <c r="A29" s="478" t="s">
        <v>48</v>
      </c>
      <c r="B29" s="479"/>
      <c r="C29" s="479"/>
      <c r="D29" s="479"/>
      <c r="E29" s="479"/>
      <c r="F29" s="480">
        <f>+F28+F27+F26+F25</f>
        <v>1</v>
      </c>
      <c r="G29" s="481"/>
      <c r="H29" s="469">
        <f>+H28+H27+H26+H25</f>
        <v>0</v>
      </c>
      <c r="I29" s="438"/>
      <c r="J29" s="438"/>
      <c r="K29" s="440"/>
    </row>
    <row r="30" spans="1:12" ht="6.75" customHeight="1" x14ac:dyDescent="0.25">
      <c r="A30" s="437"/>
      <c r="B30" s="438"/>
      <c r="C30" s="438"/>
      <c r="D30" s="438"/>
      <c r="E30" s="438"/>
      <c r="F30" s="439"/>
      <c r="G30" s="438"/>
      <c r="H30" s="438"/>
      <c r="I30" s="438"/>
      <c r="J30" s="438"/>
      <c r="K30" s="440"/>
    </row>
    <row r="31" spans="1:12" ht="20.100000000000001" customHeight="1" x14ac:dyDescent="0.25">
      <c r="A31" s="482" t="s">
        <v>407</v>
      </c>
      <c r="B31" s="483"/>
      <c r="C31" s="483"/>
      <c r="D31" s="483"/>
      <c r="E31" s="483"/>
      <c r="F31" s="483"/>
      <c r="G31" s="483"/>
      <c r="H31" s="469">
        <f>+H29+H22+H17</f>
        <v>0</v>
      </c>
      <c r="I31" s="484" t="str">
        <f>IF(H31&gt;=8.1,"A",(IF(H31&gt;=7.65,"B",(IF(H31&gt;=6.75,"C",(IF(H31&gt;=5.85,"D",(IF(H31&gt;=0,"E")))))))))</f>
        <v>E</v>
      </c>
      <c r="J31" s="484" t="s">
        <v>408</v>
      </c>
      <c r="K31" s="440"/>
    </row>
    <row r="32" spans="1:12" ht="20.100000000000001" customHeight="1" x14ac:dyDescent="0.25">
      <c r="A32" s="485" t="s">
        <v>409</v>
      </c>
      <c r="B32" s="486"/>
      <c r="C32" s="486"/>
      <c r="D32" s="486"/>
      <c r="E32" s="486"/>
      <c r="F32" s="439"/>
      <c r="G32" s="438"/>
      <c r="H32" s="438"/>
      <c r="I32" s="438"/>
      <c r="J32" s="438"/>
      <c r="K32" s="440"/>
    </row>
    <row r="33" spans="1:11" ht="20.100000000000001" customHeight="1" x14ac:dyDescent="0.25">
      <c r="A33" s="437"/>
      <c r="B33" s="438"/>
      <c r="C33" s="438"/>
      <c r="D33" s="438"/>
      <c r="E33" s="487" t="s">
        <v>410</v>
      </c>
      <c r="F33" s="487"/>
      <c r="G33" s="487"/>
      <c r="H33" s="438"/>
      <c r="I33" s="438"/>
      <c r="J33" s="438"/>
      <c r="K33" s="440"/>
    </row>
    <row r="34" spans="1:11" s="494" customFormat="1" ht="49.5" customHeight="1" x14ac:dyDescent="0.25">
      <c r="A34" s="488"/>
      <c r="B34" s="489" t="s">
        <v>411</v>
      </c>
      <c r="C34" s="490" t="s">
        <v>412</v>
      </c>
      <c r="D34" s="490"/>
      <c r="E34" s="491" t="s">
        <v>413</v>
      </c>
      <c r="F34" s="491" t="s">
        <v>414</v>
      </c>
      <c r="G34" s="491" t="s">
        <v>415</v>
      </c>
      <c r="H34" s="491" t="s">
        <v>416</v>
      </c>
      <c r="I34" s="490" t="s">
        <v>417</v>
      </c>
      <c r="J34" s="492"/>
      <c r="K34" s="493"/>
    </row>
    <row r="35" spans="1:11" ht="20.100000000000001" customHeight="1" x14ac:dyDescent="0.25">
      <c r="A35" s="495" t="s">
        <v>418</v>
      </c>
      <c r="B35" s="496"/>
      <c r="C35" s="497"/>
      <c r="D35" s="497"/>
      <c r="E35" s="498">
        <v>220</v>
      </c>
      <c r="F35" s="499"/>
      <c r="G35" s="500"/>
      <c r="H35" s="501">
        <f>ROUNDDOWN(C35*B35/E35,2)</f>
        <v>0</v>
      </c>
      <c r="I35" s="502">
        <f>ROUNDDOWN(+(H35*G35)+(H35*F35),2)</f>
        <v>0</v>
      </c>
      <c r="J35" s="503"/>
      <c r="K35" s="440"/>
    </row>
    <row r="36" spans="1:11" ht="20.100000000000001" customHeight="1" x14ac:dyDescent="0.25">
      <c r="A36" s="495" t="s">
        <v>254</v>
      </c>
      <c r="B36" s="496"/>
      <c r="C36" s="497"/>
      <c r="D36" s="497"/>
      <c r="E36" s="498">
        <v>220</v>
      </c>
      <c r="F36" s="499"/>
      <c r="G36" s="500"/>
      <c r="H36" s="501">
        <f>ROUNDDOWN(C36*B36/E36,2)</f>
        <v>0</v>
      </c>
      <c r="I36" s="502">
        <f>ROUNDDOWN(+(H36*G36)+(H36*F36),2)</f>
        <v>0</v>
      </c>
      <c r="J36" s="503"/>
      <c r="K36" s="440"/>
    </row>
    <row r="37" spans="1:11" ht="20.100000000000001" customHeight="1" x14ac:dyDescent="0.25">
      <c r="A37" s="495" t="s">
        <v>255</v>
      </c>
      <c r="B37" s="496"/>
      <c r="C37" s="497"/>
      <c r="D37" s="497"/>
      <c r="E37" s="498">
        <v>220</v>
      </c>
      <c r="F37" s="499"/>
      <c r="G37" s="500"/>
      <c r="H37" s="501">
        <f>ROUNDDOWN(C37*B37/E37,2)</f>
        <v>0</v>
      </c>
      <c r="I37" s="502">
        <f>ROUNDDOWN(+(H37*G37)+(H37*F37),2)</f>
        <v>0</v>
      </c>
      <c r="J37" s="503"/>
      <c r="K37" s="440"/>
    </row>
    <row r="38" spans="1:11" ht="6.75" customHeight="1" x14ac:dyDescent="0.25">
      <c r="A38" s="437"/>
      <c r="B38" s="438"/>
      <c r="C38" s="504"/>
      <c r="D38" s="504"/>
      <c r="E38" s="504"/>
      <c r="F38" s="439"/>
      <c r="G38" s="438"/>
      <c r="H38" s="438"/>
      <c r="I38" s="438"/>
      <c r="J38" s="438"/>
      <c r="K38" s="440"/>
    </row>
    <row r="39" spans="1:11" ht="20.100000000000001" customHeight="1" x14ac:dyDescent="0.25">
      <c r="A39" s="437"/>
      <c r="B39" s="505" t="s">
        <v>419</v>
      </c>
      <c r="C39" s="505"/>
      <c r="D39" s="438"/>
      <c r="E39" s="438"/>
      <c r="F39" s="439"/>
      <c r="G39" s="438"/>
      <c r="H39" s="438"/>
      <c r="I39" s="438"/>
      <c r="J39" s="438"/>
      <c r="K39" s="440"/>
    </row>
    <row r="40" spans="1:11" ht="20.100000000000001" customHeight="1" x14ac:dyDescent="0.25">
      <c r="A40" s="495" t="s">
        <v>420</v>
      </c>
      <c r="B40" s="506">
        <f>ROUNDDOWN((C35*B35)+(B36*C36)+(C37*B37),2)</f>
        <v>0</v>
      </c>
      <c r="C40" s="506"/>
      <c r="D40" s="438"/>
      <c r="E40" s="438"/>
      <c r="F40" s="507" t="s">
        <v>421</v>
      </c>
      <c r="G40" s="507"/>
      <c r="H40" s="507"/>
      <c r="I40" s="508">
        <v>30</v>
      </c>
      <c r="J40" s="438"/>
      <c r="K40" s="440"/>
    </row>
    <row r="41" spans="1:11" ht="20.100000000000001" customHeight="1" x14ac:dyDescent="0.25">
      <c r="A41" s="495" t="s">
        <v>422</v>
      </c>
      <c r="B41" s="506">
        <f>ROUNDDOWN(I37+I35+I36,2)</f>
        <v>0</v>
      </c>
      <c r="C41" s="506"/>
      <c r="D41" s="438"/>
      <c r="E41" s="438"/>
      <c r="F41" s="439"/>
      <c r="G41" s="438"/>
      <c r="H41" s="438"/>
      <c r="I41" s="438"/>
      <c r="J41" s="438"/>
      <c r="K41" s="440"/>
    </row>
    <row r="42" spans="1:11" ht="20.100000000000001" customHeight="1" x14ac:dyDescent="0.25">
      <c r="A42" s="495" t="s">
        <v>423</v>
      </c>
      <c r="B42" s="506">
        <f>+ROUNDDOWN(B40-B41,2)</f>
        <v>0</v>
      </c>
      <c r="C42" s="506"/>
      <c r="D42" s="438"/>
      <c r="E42" s="438"/>
      <c r="F42" s="439"/>
      <c r="G42" s="438"/>
      <c r="H42" s="438"/>
      <c r="I42" s="438"/>
      <c r="J42" s="438"/>
      <c r="K42" s="509" t="s">
        <v>424</v>
      </c>
    </row>
    <row r="43" spans="1:11" ht="5.25" customHeight="1" x14ac:dyDescent="0.25">
      <c r="A43" s="437"/>
      <c r="B43" s="438"/>
      <c r="C43" s="438"/>
      <c r="D43" s="438"/>
      <c r="E43" s="438"/>
      <c r="F43" s="439"/>
      <c r="G43" s="438"/>
      <c r="H43" s="438"/>
      <c r="I43" s="438"/>
      <c r="J43" s="438"/>
      <c r="K43" s="440"/>
    </row>
    <row r="44" spans="1:11" ht="20.100000000000001" customHeight="1" x14ac:dyDescent="0.25">
      <c r="A44" s="510" t="s">
        <v>425</v>
      </c>
      <c r="B44" s="511"/>
      <c r="C44" s="512" t="s">
        <v>426</v>
      </c>
      <c r="D44" s="511"/>
      <c r="E44" s="513" t="s">
        <v>427</v>
      </c>
      <c r="F44" s="513"/>
      <c r="G44" s="513"/>
      <c r="H44" s="513" t="s">
        <v>428</v>
      </c>
      <c r="I44" s="513"/>
      <c r="J44" s="513"/>
      <c r="K44" s="514"/>
    </row>
    <row r="45" spans="1:11" ht="20.100000000000001" customHeight="1" x14ac:dyDescent="0.25">
      <c r="A45" s="515"/>
      <c r="B45" s="516"/>
      <c r="C45" s="517"/>
      <c r="D45" s="516"/>
      <c r="E45" s="513"/>
      <c r="F45" s="513"/>
      <c r="G45" s="513"/>
      <c r="H45" s="513"/>
      <c r="I45" s="513"/>
      <c r="J45" s="513"/>
      <c r="K45" s="514"/>
    </row>
    <row r="46" spans="1:11" ht="20.100000000000001" customHeight="1" x14ac:dyDescent="0.25">
      <c r="A46" s="515"/>
      <c r="B46" s="516"/>
      <c r="C46" s="517"/>
      <c r="D46" s="516"/>
      <c r="E46" s="513"/>
      <c r="F46" s="513"/>
      <c r="G46" s="513"/>
      <c r="H46" s="513"/>
      <c r="I46" s="513"/>
      <c r="J46" s="513"/>
      <c r="K46" s="514"/>
    </row>
    <row r="47" spans="1:11" ht="20.100000000000001" customHeight="1" x14ac:dyDescent="0.25">
      <c r="A47" s="515"/>
      <c r="B47" s="516"/>
      <c r="C47" s="517"/>
      <c r="D47" s="516"/>
      <c r="E47" s="513"/>
      <c r="F47" s="513"/>
      <c r="G47" s="513"/>
      <c r="H47" s="513"/>
      <c r="I47" s="513"/>
      <c r="J47" s="513"/>
      <c r="K47" s="514"/>
    </row>
    <row r="48" spans="1:11" ht="20.100000000000001" customHeight="1" thickBot="1" x14ac:dyDescent="0.3">
      <c r="A48" s="518"/>
      <c r="B48" s="519"/>
      <c r="C48" s="520"/>
      <c r="D48" s="519"/>
      <c r="E48" s="521"/>
      <c r="F48" s="521"/>
      <c r="G48" s="521"/>
      <c r="H48" s="521"/>
      <c r="I48" s="521"/>
      <c r="J48" s="521"/>
      <c r="K48" s="522"/>
    </row>
    <row r="49" spans="1:11" ht="9" customHeight="1" thickBot="1" x14ac:dyDescent="0.3"/>
    <row r="50" spans="1:11" ht="20.100000000000001" customHeight="1" x14ac:dyDescent="0.25">
      <c r="A50" s="427"/>
      <c r="B50" s="428" t="s">
        <v>381</v>
      </c>
      <c r="C50" s="428"/>
      <c r="D50" s="428"/>
      <c r="E50" s="428"/>
      <c r="F50" s="428"/>
      <c r="G50" s="428"/>
      <c r="H50" s="428"/>
      <c r="I50" s="428"/>
      <c r="J50" s="428"/>
      <c r="K50" s="429"/>
    </row>
    <row r="51" spans="1:11" ht="20.100000000000001" customHeight="1" x14ac:dyDescent="0.25">
      <c r="A51" s="431"/>
      <c r="B51" s="432" t="s">
        <v>382</v>
      </c>
      <c r="C51" s="432"/>
      <c r="D51" s="432"/>
      <c r="E51" s="432"/>
      <c r="F51" s="432"/>
      <c r="G51" s="432"/>
      <c r="H51" s="432"/>
      <c r="I51" s="432"/>
      <c r="J51" s="432"/>
      <c r="K51" s="433"/>
    </row>
    <row r="52" spans="1:11" ht="20.100000000000001" customHeight="1" thickBot="1" x14ac:dyDescent="0.3">
      <c r="A52" s="434"/>
      <c r="B52" s="435" t="s">
        <v>429</v>
      </c>
      <c r="C52" s="435"/>
      <c r="D52" s="435"/>
      <c r="E52" s="435"/>
      <c r="F52" s="435"/>
      <c r="G52" s="435"/>
      <c r="H52" s="435"/>
      <c r="I52" s="435"/>
      <c r="J52" s="435"/>
      <c r="K52" s="436"/>
    </row>
    <row r="53" spans="1:11" ht="45.75" customHeight="1" x14ac:dyDescent="0.25">
      <c r="A53" s="437"/>
      <c r="B53" s="438"/>
      <c r="C53" s="438"/>
      <c r="D53" s="438"/>
      <c r="E53" s="438"/>
      <c r="F53" s="439"/>
      <c r="G53" s="438"/>
      <c r="H53" s="438"/>
      <c r="I53" s="438"/>
      <c r="J53" s="438"/>
      <c r="K53" s="440"/>
    </row>
    <row r="54" spans="1:11" ht="57.75" customHeight="1" x14ac:dyDescent="0.25">
      <c r="A54" s="437"/>
      <c r="B54" s="524" t="s">
        <v>408</v>
      </c>
      <c r="C54" s="525" t="s">
        <v>430</v>
      </c>
      <c r="D54" s="525"/>
      <c r="E54" s="526" t="s">
        <v>431</v>
      </c>
      <c r="F54" s="526"/>
      <c r="G54" s="526"/>
      <c r="H54" s="438"/>
      <c r="I54" s="438"/>
      <c r="J54" s="438"/>
      <c r="K54" s="440"/>
    </row>
    <row r="55" spans="1:11" ht="20.100000000000001" customHeight="1" x14ac:dyDescent="0.25">
      <c r="A55" s="437"/>
      <c r="B55" s="527" t="s">
        <v>6</v>
      </c>
      <c r="C55" s="528">
        <v>1</v>
      </c>
      <c r="D55" s="528"/>
      <c r="E55" s="529" t="s">
        <v>432</v>
      </c>
      <c r="F55" s="530"/>
      <c r="G55" s="530"/>
      <c r="H55" s="438"/>
      <c r="I55" s="438"/>
      <c r="J55" s="438"/>
      <c r="K55" s="440"/>
    </row>
    <row r="56" spans="1:11" ht="20.100000000000001" customHeight="1" x14ac:dyDescent="0.25">
      <c r="A56" s="437"/>
      <c r="B56" s="527" t="s">
        <v>8</v>
      </c>
      <c r="C56" s="528">
        <v>0.95</v>
      </c>
      <c r="D56" s="528"/>
      <c r="E56" s="529" t="s">
        <v>433</v>
      </c>
      <c r="F56" s="530"/>
      <c r="G56" s="530"/>
      <c r="H56" s="438"/>
      <c r="I56" s="438"/>
      <c r="J56" s="438"/>
      <c r="K56" s="440"/>
    </row>
    <row r="57" spans="1:11" ht="20.100000000000001" customHeight="1" x14ac:dyDescent="0.25">
      <c r="A57" s="437"/>
      <c r="B57" s="527" t="s">
        <v>11</v>
      </c>
      <c r="C57" s="528">
        <v>0.9</v>
      </c>
      <c r="D57" s="528"/>
      <c r="E57" s="529" t="s">
        <v>434</v>
      </c>
      <c r="F57" s="530"/>
      <c r="G57" s="530"/>
      <c r="H57" s="438"/>
      <c r="I57" s="438"/>
      <c r="J57" s="438"/>
      <c r="K57" s="440"/>
    </row>
    <row r="58" spans="1:11" ht="20.100000000000001" customHeight="1" x14ac:dyDescent="0.25">
      <c r="A58" s="437"/>
      <c r="B58" s="527" t="s">
        <v>13</v>
      </c>
      <c r="C58" s="528">
        <v>0.85</v>
      </c>
      <c r="D58" s="528"/>
      <c r="E58" s="529" t="s">
        <v>435</v>
      </c>
      <c r="F58" s="530"/>
      <c r="G58" s="530"/>
      <c r="H58" s="438"/>
      <c r="I58" s="438"/>
      <c r="J58" s="438"/>
      <c r="K58" s="440"/>
    </row>
    <row r="59" spans="1:11" ht="20.100000000000001" customHeight="1" x14ac:dyDescent="0.25">
      <c r="A59" s="437"/>
      <c r="B59" s="527" t="s">
        <v>34</v>
      </c>
      <c r="C59" s="528">
        <v>0.8</v>
      </c>
      <c r="D59" s="528"/>
      <c r="E59" s="529" t="s">
        <v>436</v>
      </c>
      <c r="F59" s="530"/>
      <c r="G59" s="530"/>
      <c r="H59" s="438"/>
      <c r="I59" s="438"/>
      <c r="J59" s="438"/>
      <c r="K59" s="440"/>
    </row>
    <row r="60" spans="1:11" ht="20.100000000000001" customHeight="1" x14ac:dyDescent="0.25">
      <c r="A60" s="437"/>
      <c r="B60" s="438"/>
      <c r="C60" s="438"/>
      <c r="D60" s="438"/>
      <c r="E60" s="438"/>
      <c r="F60" s="439"/>
      <c r="G60" s="438"/>
      <c r="H60" s="438"/>
      <c r="I60" s="438"/>
      <c r="J60" s="438"/>
      <c r="K60" s="440"/>
    </row>
    <row r="61" spans="1:11" ht="20.100000000000001" customHeight="1" x14ac:dyDescent="0.25">
      <c r="A61" s="531" t="s">
        <v>437</v>
      </c>
      <c r="B61" s="532"/>
      <c r="C61" s="533"/>
      <c r="D61" s="534">
        <f>+B42</f>
        <v>0</v>
      </c>
      <c r="E61" s="535"/>
      <c r="F61" s="536"/>
      <c r="G61" s="438"/>
      <c r="H61" s="438"/>
      <c r="I61" s="438"/>
      <c r="J61" s="438"/>
      <c r="K61" s="440"/>
    </row>
    <row r="62" spans="1:11" ht="20.100000000000001" customHeight="1" x14ac:dyDescent="0.25">
      <c r="A62" s="531" t="s">
        <v>438</v>
      </c>
      <c r="B62" s="532"/>
      <c r="C62" s="533"/>
      <c r="D62" s="537" t="str">
        <f>+I31</f>
        <v>E</v>
      </c>
      <c r="E62" s="538"/>
      <c r="F62" s="539"/>
      <c r="G62" s="438"/>
      <c r="H62" s="438"/>
      <c r="I62" s="438"/>
      <c r="J62" s="438"/>
      <c r="K62" s="440"/>
    </row>
    <row r="63" spans="1:11" ht="20.100000000000001" customHeight="1" x14ac:dyDescent="0.25">
      <c r="A63" s="531" t="s">
        <v>439</v>
      </c>
      <c r="B63" s="532"/>
      <c r="C63" s="533"/>
      <c r="D63" s="540">
        <f>IF(D62="A",100,(IF(D62="B",95,(IF(D62="C",90,(IF(D62="D",85,(IF(D62="E",80,"Nota Invalida")))))))))</f>
        <v>80</v>
      </c>
      <c r="E63" s="541"/>
      <c r="F63" s="542"/>
      <c r="G63" s="438"/>
      <c r="H63" s="438"/>
      <c r="I63" s="438"/>
      <c r="J63" s="438"/>
      <c r="K63" s="440"/>
    </row>
    <row r="64" spans="1:11" ht="20.100000000000001" customHeight="1" x14ac:dyDescent="0.25">
      <c r="A64" s="531" t="s">
        <v>440</v>
      </c>
      <c r="B64" s="532"/>
      <c r="C64" s="533"/>
      <c r="D64" s="543">
        <f>ROUNDDOWN(B42-D65,2)</f>
        <v>0</v>
      </c>
      <c r="E64" s="544"/>
      <c r="F64" s="545"/>
      <c r="G64" s="438"/>
      <c r="H64" s="438"/>
      <c r="I64" s="438"/>
      <c r="J64" s="438"/>
      <c r="K64" s="440"/>
    </row>
    <row r="65" spans="1:11" ht="20.100000000000001" customHeight="1" x14ac:dyDescent="0.25">
      <c r="A65" s="546" t="s">
        <v>441</v>
      </c>
      <c r="B65" s="547"/>
      <c r="C65" s="548"/>
      <c r="D65" s="549">
        <f>+ROUNDDOWN(B42*D63/100,2)</f>
        <v>0</v>
      </c>
      <c r="E65" s="550"/>
      <c r="F65" s="551"/>
      <c r="G65" s="438"/>
      <c r="H65" s="438"/>
      <c r="I65" s="438"/>
      <c r="J65" s="438"/>
      <c r="K65" s="440"/>
    </row>
    <row r="66" spans="1:11" ht="20.100000000000001" customHeight="1" x14ac:dyDescent="0.25">
      <c r="A66" s="552" t="s">
        <v>442</v>
      </c>
      <c r="B66" s="553"/>
      <c r="C66" s="553"/>
      <c r="D66" s="553"/>
      <c r="E66" s="553"/>
      <c r="F66" s="553"/>
      <c r="G66" s="553"/>
      <c r="H66" s="553"/>
      <c r="I66" s="553"/>
      <c r="J66" s="553"/>
      <c r="K66" s="554"/>
    </row>
    <row r="67" spans="1:11" ht="20.100000000000001" customHeight="1" x14ac:dyDescent="0.25">
      <c r="A67" s="555"/>
      <c r="B67" s="556"/>
      <c r="C67" s="556"/>
      <c r="D67" s="556"/>
      <c r="E67" s="556"/>
      <c r="F67" s="556"/>
      <c r="G67" s="556"/>
      <c r="H67" s="556"/>
      <c r="I67" s="556"/>
      <c r="J67" s="556"/>
      <c r="K67" s="557"/>
    </row>
    <row r="68" spans="1:11" ht="20.100000000000001" customHeight="1" x14ac:dyDescent="0.25">
      <c r="A68" s="558"/>
      <c r="B68" s="559"/>
      <c r="C68" s="559"/>
      <c r="D68" s="559"/>
      <c r="E68" s="559"/>
      <c r="F68" s="559"/>
      <c r="G68" s="559"/>
      <c r="H68" s="559"/>
      <c r="I68" s="559"/>
      <c r="J68" s="559"/>
      <c r="K68" s="560"/>
    </row>
    <row r="69" spans="1:11" ht="20.100000000000001" customHeight="1" x14ac:dyDescent="0.25">
      <c r="A69" s="558"/>
      <c r="B69" s="559"/>
      <c r="C69" s="559"/>
      <c r="D69" s="559"/>
      <c r="E69" s="559"/>
      <c r="F69" s="559"/>
      <c r="G69" s="559"/>
      <c r="H69" s="559"/>
      <c r="I69" s="559"/>
      <c r="J69" s="559"/>
      <c r="K69" s="560"/>
    </row>
    <row r="70" spans="1:11" ht="20.100000000000001" customHeight="1" x14ac:dyDescent="0.25">
      <c r="A70" s="558"/>
      <c r="B70" s="559"/>
      <c r="C70" s="559"/>
      <c r="D70" s="559"/>
      <c r="E70" s="559"/>
      <c r="F70" s="559"/>
      <c r="G70" s="559"/>
      <c r="H70" s="559"/>
      <c r="I70" s="559"/>
      <c r="J70" s="559"/>
      <c r="K70" s="560"/>
    </row>
    <row r="71" spans="1:11" ht="20.100000000000001" customHeight="1" x14ac:dyDescent="0.25">
      <c r="A71" s="558"/>
      <c r="B71" s="559"/>
      <c r="C71" s="559"/>
      <c r="D71" s="559"/>
      <c r="E71" s="559"/>
      <c r="F71" s="559"/>
      <c r="G71" s="559"/>
      <c r="H71" s="559"/>
      <c r="I71" s="559"/>
      <c r="J71" s="559"/>
      <c r="K71" s="560"/>
    </row>
    <row r="72" spans="1:11" ht="20.100000000000001" customHeight="1" x14ac:dyDescent="0.25">
      <c r="A72" s="558"/>
      <c r="B72" s="559"/>
      <c r="C72" s="559"/>
      <c r="D72" s="559"/>
      <c r="E72" s="559"/>
      <c r="F72" s="559"/>
      <c r="G72" s="559"/>
      <c r="H72" s="559"/>
      <c r="I72" s="559"/>
      <c r="J72" s="559"/>
      <c r="K72" s="560"/>
    </row>
    <row r="73" spans="1:11" ht="20.100000000000001" customHeight="1" x14ac:dyDescent="0.25">
      <c r="A73" s="558"/>
      <c r="B73" s="559"/>
      <c r="C73" s="559"/>
      <c r="D73" s="559"/>
      <c r="E73" s="559"/>
      <c r="F73" s="559"/>
      <c r="G73" s="559"/>
      <c r="H73" s="559"/>
      <c r="I73" s="559"/>
      <c r="J73" s="559"/>
      <c r="K73" s="560"/>
    </row>
    <row r="74" spans="1:11" ht="20.100000000000001" customHeight="1" x14ac:dyDescent="0.25">
      <c r="A74" s="558"/>
      <c r="B74" s="559"/>
      <c r="C74" s="559"/>
      <c r="D74" s="559"/>
      <c r="E74" s="559"/>
      <c r="F74" s="559"/>
      <c r="G74" s="559"/>
      <c r="H74" s="559"/>
      <c r="I74" s="559"/>
      <c r="J74" s="559"/>
      <c r="K74" s="560"/>
    </row>
    <row r="75" spans="1:11" ht="20.100000000000001" customHeight="1" x14ac:dyDescent="0.25">
      <c r="A75" s="558"/>
      <c r="B75" s="559"/>
      <c r="C75" s="559"/>
      <c r="D75" s="559"/>
      <c r="E75" s="559"/>
      <c r="F75" s="559"/>
      <c r="G75" s="559"/>
      <c r="H75" s="559"/>
      <c r="I75" s="559"/>
      <c r="J75" s="559"/>
      <c r="K75" s="560"/>
    </row>
    <row r="76" spans="1:11" ht="20.100000000000001" customHeight="1" x14ac:dyDescent="0.25">
      <c r="A76" s="558"/>
      <c r="B76" s="559"/>
      <c r="C76" s="559"/>
      <c r="D76" s="559"/>
      <c r="E76" s="559"/>
      <c r="F76" s="559"/>
      <c r="G76" s="559"/>
      <c r="H76" s="559"/>
      <c r="I76" s="559"/>
      <c r="J76" s="559"/>
      <c r="K76" s="560"/>
    </row>
    <row r="77" spans="1:11" ht="20.100000000000001" customHeight="1" x14ac:dyDescent="0.25">
      <c r="A77" s="558"/>
      <c r="B77" s="559"/>
      <c r="C77" s="559"/>
      <c r="D77" s="559"/>
      <c r="E77" s="559"/>
      <c r="F77" s="559"/>
      <c r="G77" s="559"/>
      <c r="H77" s="559"/>
      <c r="I77" s="559"/>
      <c r="J77" s="559"/>
      <c r="K77" s="560"/>
    </row>
    <row r="78" spans="1:11" ht="20.100000000000001" customHeight="1" x14ac:dyDescent="0.25">
      <c r="A78" s="558"/>
      <c r="B78" s="559"/>
      <c r="C78" s="559"/>
      <c r="D78" s="559"/>
      <c r="E78" s="559"/>
      <c r="F78" s="559"/>
      <c r="G78" s="559"/>
      <c r="H78" s="559"/>
      <c r="I78" s="559"/>
      <c r="J78" s="559"/>
      <c r="K78" s="560"/>
    </row>
    <row r="79" spans="1:11" ht="20.100000000000001" customHeight="1" x14ac:dyDescent="0.25">
      <c r="A79" s="558"/>
      <c r="B79" s="559"/>
      <c r="C79" s="559"/>
      <c r="D79" s="559"/>
      <c r="E79" s="559"/>
      <c r="F79" s="559"/>
      <c r="G79" s="559"/>
      <c r="H79" s="559"/>
      <c r="I79" s="559"/>
      <c r="J79" s="559"/>
      <c r="K79" s="560"/>
    </row>
    <row r="80" spans="1:11" ht="20.100000000000001" customHeight="1" x14ac:dyDescent="0.25">
      <c r="A80" s="558"/>
      <c r="B80" s="559"/>
      <c r="C80" s="559"/>
      <c r="D80" s="559"/>
      <c r="E80" s="559"/>
      <c r="F80" s="559"/>
      <c r="G80" s="559"/>
      <c r="H80" s="559"/>
      <c r="I80" s="559"/>
      <c r="J80" s="559"/>
      <c r="K80" s="560"/>
    </row>
    <row r="81" spans="1:11" ht="20.100000000000001" customHeight="1" x14ac:dyDescent="0.25">
      <c r="A81" s="558"/>
      <c r="B81" s="559"/>
      <c r="C81" s="559"/>
      <c r="D81" s="559"/>
      <c r="E81" s="559"/>
      <c r="F81" s="559"/>
      <c r="G81" s="559"/>
      <c r="H81" s="559"/>
      <c r="I81" s="559"/>
      <c r="J81" s="559"/>
      <c r="K81" s="560"/>
    </row>
    <row r="82" spans="1:11" ht="20.100000000000001" customHeight="1" x14ac:dyDescent="0.25">
      <c r="A82" s="558"/>
      <c r="B82" s="559"/>
      <c r="C82" s="559"/>
      <c r="D82" s="559"/>
      <c r="E82" s="559"/>
      <c r="F82" s="559"/>
      <c r="G82" s="559"/>
      <c r="H82" s="559"/>
      <c r="I82" s="559"/>
      <c r="J82" s="559"/>
      <c r="K82" s="560"/>
    </row>
    <row r="83" spans="1:11" ht="20.100000000000001" customHeight="1" x14ac:dyDescent="0.25">
      <c r="A83" s="558"/>
      <c r="B83" s="559"/>
      <c r="C83" s="559"/>
      <c r="D83" s="559"/>
      <c r="E83" s="559"/>
      <c r="F83" s="559"/>
      <c r="G83" s="559"/>
      <c r="H83" s="559"/>
      <c r="I83" s="559"/>
      <c r="J83" s="559"/>
      <c r="K83" s="560"/>
    </row>
    <row r="84" spans="1:11" ht="20.100000000000001" customHeight="1" x14ac:dyDescent="0.25">
      <c r="A84" s="558"/>
      <c r="B84" s="559"/>
      <c r="C84" s="559"/>
      <c r="D84" s="559"/>
      <c r="E84" s="559"/>
      <c r="F84" s="559"/>
      <c r="G84" s="559"/>
      <c r="H84" s="559"/>
      <c r="I84" s="559"/>
      <c r="J84" s="559"/>
      <c r="K84" s="560"/>
    </row>
    <row r="85" spans="1:11" ht="20.100000000000001" customHeight="1" x14ac:dyDescent="0.25">
      <c r="A85" s="558"/>
      <c r="B85" s="559"/>
      <c r="C85" s="559"/>
      <c r="D85" s="559"/>
      <c r="E85" s="559"/>
      <c r="F85" s="559"/>
      <c r="G85" s="559"/>
      <c r="H85" s="559"/>
      <c r="I85" s="559"/>
      <c r="J85" s="559"/>
      <c r="K85" s="560"/>
    </row>
    <row r="86" spans="1:11" ht="20.100000000000001" customHeight="1" x14ac:dyDescent="0.25">
      <c r="A86" s="558"/>
      <c r="B86" s="559"/>
      <c r="C86" s="559"/>
      <c r="D86" s="559"/>
      <c r="E86" s="559"/>
      <c r="F86" s="559"/>
      <c r="G86" s="559"/>
      <c r="H86" s="559"/>
      <c r="I86" s="559"/>
      <c r="J86" s="559"/>
      <c r="K86" s="560"/>
    </row>
    <row r="87" spans="1:11" ht="20.100000000000001" customHeight="1" x14ac:dyDescent="0.25">
      <c r="A87" s="558"/>
      <c r="B87" s="559"/>
      <c r="C87" s="559"/>
      <c r="D87" s="559"/>
      <c r="E87" s="559"/>
      <c r="F87" s="559"/>
      <c r="G87" s="559"/>
      <c r="H87" s="559"/>
      <c r="I87" s="559"/>
      <c r="J87" s="559"/>
      <c r="K87" s="560"/>
    </row>
    <row r="88" spans="1:11" ht="20.100000000000001" customHeight="1" x14ac:dyDescent="0.25">
      <c r="A88" s="558"/>
      <c r="B88" s="559"/>
      <c r="C88" s="559"/>
      <c r="D88" s="559"/>
      <c r="E88" s="559"/>
      <c r="F88" s="559"/>
      <c r="G88" s="559"/>
      <c r="H88" s="559"/>
      <c r="I88" s="559"/>
      <c r="J88" s="559"/>
      <c r="K88" s="560"/>
    </row>
    <row r="89" spans="1:11" ht="20.100000000000001" customHeight="1" x14ac:dyDescent="0.25">
      <c r="A89" s="558"/>
      <c r="B89" s="559"/>
      <c r="C89" s="559"/>
      <c r="D89" s="559"/>
      <c r="E89" s="559"/>
      <c r="F89" s="559"/>
      <c r="G89" s="559"/>
      <c r="H89" s="559"/>
      <c r="I89" s="559"/>
      <c r="J89" s="559"/>
      <c r="K89" s="560"/>
    </row>
    <row r="90" spans="1:11" ht="20.100000000000001" customHeight="1" x14ac:dyDescent="0.25">
      <c r="A90" s="561"/>
      <c r="B90" s="562"/>
      <c r="C90" s="562"/>
      <c r="D90" s="562"/>
      <c r="E90" s="562"/>
      <c r="F90" s="562"/>
      <c r="G90" s="562"/>
      <c r="H90" s="562"/>
      <c r="I90" s="562"/>
      <c r="J90" s="562"/>
      <c r="K90" s="563"/>
    </row>
    <row r="91" spans="1:11" ht="20.100000000000001" customHeight="1" thickBot="1" x14ac:dyDescent="0.3">
      <c r="A91" s="564"/>
      <c r="B91" s="565"/>
      <c r="C91" s="565"/>
      <c r="D91" s="565"/>
      <c r="E91" s="565"/>
      <c r="F91" s="566"/>
      <c r="G91" s="565"/>
      <c r="H91" s="565"/>
      <c r="I91" s="565"/>
      <c r="J91" s="565"/>
      <c r="K91" s="567" t="s">
        <v>443</v>
      </c>
    </row>
  </sheetData>
  <mergeCells count="82">
    <mergeCell ref="A67:K90"/>
    <mergeCell ref="D61:F61"/>
    <mergeCell ref="D62:F62"/>
    <mergeCell ref="D63:F63"/>
    <mergeCell ref="D64:F64"/>
    <mergeCell ref="D65:F65"/>
    <mergeCell ref="A66:K66"/>
    <mergeCell ref="C57:D57"/>
    <mergeCell ref="E57:G57"/>
    <mergeCell ref="C58:D58"/>
    <mergeCell ref="E58:G58"/>
    <mergeCell ref="C59:D59"/>
    <mergeCell ref="E59:G59"/>
    <mergeCell ref="C54:D54"/>
    <mergeCell ref="E54:G54"/>
    <mergeCell ref="C55:D55"/>
    <mergeCell ref="E55:G55"/>
    <mergeCell ref="C56:D56"/>
    <mergeCell ref="E56:G56"/>
    <mergeCell ref="B42:C42"/>
    <mergeCell ref="A44:B48"/>
    <mergeCell ref="C44:D48"/>
    <mergeCell ref="E44:G48"/>
    <mergeCell ref="H44:K48"/>
    <mergeCell ref="A50:A52"/>
    <mergeCell ref="B50:K50"/>
    <mergeCell ref="B51:K51"/>
    <mergeCell ref="B52:K52"/>
    <mergeCell ref="C37:D37"/>
    <mergeCell ref="I37:J37"/>
    <mergeCell ref="B39:C39"/>
    <mergeCell ref="B40:C40"/>
    <mergeCell ref="F40:H40"/>
    <mergeCell ref="B41:C41"/>
    <mergeCell ref="C34:D34"/>
    <mergeCell ref="I34:J34"/>
    <mergeCell ref="C35:D35"/>
    <mergeCell ref="I35:J35"/>
    <mergeCell ref="C36:D36"/>
    <mergeCell ref="I36:J36"/>
    <mergeCell ref="A28:E28"/>
    <mergeCell ref="I28:K28"/>
    <mergeCell ref="A29:E29"/>
    <mergeCell ref="A31:G31"/>
    <mergeCell ref="A32:E32"/>
    <mergeCell ref="E33:G33"/>
    <mergeCell ref="A25:E25"/>
    <mergeCell ref="I25:K25"/>
    <mergeCell ref="A26:E26"/>
    <mergeCell ref="I26:K26"/>
    <mergeCell ref="A27:E27"/>
    <mergeCell ref="I27:K27"/>
    <mergeCell ref="A20:E20"/>
    <mergeCell ref="I20:K20"/>
    <mergeCell ref="A21:E21"/>
    <mergeCell ref="I21:K21"/>
    <mergeCell ref="A22:E22"/>
    <mergeCell ref="A24:E24"/>
    <mergeCell ref="A15:E15"/>
    <mergeCell ref="I15:K15"/>
    <mergeCell ref="A16:E16"/>
    <mergeCell ref="I16:K16"/>
    <mergeCell ref="A17:E17"/>
    <mergeCell ref="A19:E19"/>
    <mergeCell ref="A11:D11"/>
    <mergeCell ref="E11:K11"/>
    <mergeCell ref="A12:K12"/>
    <mergeCell ref="A13:E13"/>
    <mergeCell ref="A14:E14"/>
    <mergeCell ref="I14:K14"/>
    <mergeCell ref="B7:K7"/>
    <mergeCell ref="B8:K8"/>
    <mergeCell ref="A9:B9"/>
    <mergeCell ref="C9:K9"/>
    <mergeCell ref="A10:B10"/>
    <mergeCell ref="C10:K10"/>
    <mergeCell ref="A1:A3"/>
    <mergeCell ref="B1:K1"/>
    <mergeCell ref="B2:K2"/>
    <mergeCell ref="B3:K3"/>
    <mergeCell ref="B5:C5"/>
    <mergeCell ref="J5:K5"/>
  </mergeCells>
  <conditionalFormatting sqref="I25:I28 I14:I16 I20:I21">
    <cfRule type="cellIs" dxfId="2" priority="2" stopIfTrue="1" operator="equal">
      <formula>"Avaliação Ok"</formula>
    </cfRule>
    <cfRule type="cellIs" dxfId="1" priority="3" stopIfTrue="1" operator="equal">
      <formula>"Nota Não Atribuida"</formula>
    </cfRule>
  </conditionalFormatting>
  <conditionalFormatting sqref="I25:K28 I14:K16 I20:K21">
    <cfRule type="cellIs" dxfId="0" priority="1" stopIfTrue="1" operator="equal">
      <formula>"Nota Inválida"</formula>
    </cfRule>
  </conditionalFormatting>
  <pageMargins left="0.511811024" right="0.511811024" top="0.78740157499999996" bottom="0.78740157499999996" header="0.31496062000000002" footer="0.31496062000000002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1"/>
  <sheetViews>
    <sheetView workbookViewId="0">
      <selection activeCell="L43" sqref="L43"/>
    </sheetView>
  </sheetViews>
  <sheetFormatPr defaultRowHeight="15" x14ac:dyDescent="0.25"/>
  <cols>
    <col min="1" max="1" width="14" customWidth="1"/>
    <col min="2" max="2" width="9.5703125" customWidth="1"/>
    <col min="3" max="3" width="8.140625" customWidth="1"/>
    <col min="4" max="4" width="7.140625" customWidth="1"/>
  </cols>
  <sheetData>
    <row r="1" spans="1:10" ht="18.75" x14ac:dyDescent="0.25">
      <c r="A1" s="427"/>
      <c r="B1" s="568" t="s">
        <v>381</v>
      </c>
      <c r="C1" s="428"/>
      <c r="D1" s="428"/>
      <c r="E1" s="428"/>
      <c r="F1" s="428"/>
      <c r="G1" s="428"/>
      <c r="H1" s="428"/>
      <c r="I1" s="428"/>
      <c r="J1" s="429"/>
    </row>
    <row r="2" spans="1:10" x14ac:dyDescent="0.25">
      <c r="A2" s="431"/>
      <c r="B2" s="569" t="s">
        <v>382</v>
      </c>
      <c r="C2" s="432"/>
      <c r="D2" s="432"/>
      <c r="E2" s="432"/>
      <c r="F2" s="432"/>
      <c r="G2" s="432"/>
      <c r="H2" s="432"/>
      <c r="I2" s="432"/>
      <c r="J2" s="433"/>
    </row>
    <row r="3" spans="1:10" ht="15.75" thickBot="1" x14ac:dyDescent="0.3">
      <c r="A3" s="434"/>
      <c r="B3" s="570" t="s">
        <v>444</v>
      </c>
      <c r="C3" s="571"/>
      <c r="D3" s="571"/>
      <c r="E3" s="571"/>
      <c r="F3" s="571"/>
      <c r="G3" s="571"/>
      <c r="H3" s="571"/>
      <c r="I3" s="571"/>
      <c r="J3" s="572"/>
    </row>
    <row r="5" spans="1:10" x14ac:dyDescent="0.25">
      <c r="A5" s="573" t="s">
        <v>384</v>
      </c>
      <c r="B5" s="442"/>
      <c r="C5" s="442"/>
      <c r="D5" s="438"/>
      <c r="E5" s="438"/>
      <c r="F5" s="439"/>
      <c r="G5" s="438"/>
      <c r="H5" s="438"/>
      <c r="I5" s="443" t="s">
        <v>385</v>
      </c>
      <c r="J5" s="574"/>
    </row>
    <row r="6" spans="1:10" x14ac:dyDescent="0.25">
      <c r="A6" s="438"/>
      <c r="B6" s="438"/>
      <c r="C6" s="438"/>
      <c r="D6" s="438"/>
      <c r="E6" s="438"/>
      <c r="F6" s="439"/>
      <c r="G6" s="438"/>
      <c r="H6" s="438"/>
      <c r="I6" s="438"/>
      <c r="J6" s="438"/>
    </row>
    <row r="7" spans="1:10" x14ac:dyDescent="0.25">
      <c r="A7" s="573" t="s">
        <v>387</v>
      </c>
      <c r="B7" s="446"/>
      <c r="C7" s="446"/>
      <c r="D7" s="446"/>
      <c r="E7" s="446"/>
      <c r="F7" s="446"/>
      <c r="G7" s="446"/>
      <c r="H7" s="446"/>
      <c r="I7" s="446"/>
      <c r="J7" s="446"/>
    </row>
    <row r="8" spans="1:10" x14ac:dyDescent="0.25">
      <c r="A8" s="449" t="s">
        <v>389</v>
      </c>
      <c r="B8" s="449"/>
      <c r="C8" s="446"/>
      <c r="D8" s="446"/>
      <c r="E8" s="446"/>
      <c r="F8" s="446"/>
      <c r="G8" s="446"/>
      <c r="H8" s="446"/>
      <c r="I8" s="446"/>
      <c r="J8" s="446"/>
    </row>
    <row r="9" spans="1:10" x14ac:dyDescent="0.25">
      <c r="A9" s="449" t="s">
        <v>390</v>
      </c>
      <c r="B9" s="449"/>
      <c r="C9" s="449"/>
      <c r="D9" s="449"/>
      <c r="E9" s="446"/>
      <c r="F9" s="446"/>
      <c r="G9" s="446"/>
      <c r="H9" s="446"/>
      <c r="I9" s="446"/>
      <c r="J9" s="446"/>
    </row>
    <row r="10" spans="1:10" x14ac:dyDescent="0.25">
      <c r="A10" s="573" t="s">
        <v>445</v>
      </c>
      <c r="B10" s="446"/>
      <c r="C10" s="446"/>
      <c r="D10" s="446"/>
      <c r="E10" s="446"/>
      <c r="F10" s="446"/>
      <c r="G10" s="446"/>
      <c r="H10" s="446"/>
      <c r="I10" s="446"/>
      <c r="J10" s="446"/>
    </row>
    <row r="11" spans="1:10" x14ac:dyDescent="0.25">
      <c r="A11" s="575" t="s">
        <v>446</v>
      </c>
      <c r="B11" s="575"/>
      <c r="C11" s="575"/>
      <c r="D11" s="575"/>
      <c r="E11" s="576">
        <v>20</v>
      </c>
      <c r="F11" s="576"/>
      <c r="G11" s="576"/>
      <c r="H11" s="576"/>
      <c r="I11" s="576"/>
      <c r="J11" s="576"/>
    </row>
    <row r="12" spans="1:10" x14ac:dyDescent="0.25">
      <c r="A12" s="575"/>
      <c r="B12" s="575"/>
      <c r="C12" s="575"/>
      <c r="D12" s="575"/>
      <c r="E12" s="576"/>
      <c r="F12" s="576"/>
      <c r="G12" s="576"/>
      <c r="H12" s="576"/>
      <c r="I12" s="576"/>
      <c r="J12" s="576"/>
    </row>
    <row r="13" spans="1:10" x14ac:dyDescent="0.25">
      <c r="A13" s="577" t="s">
        <v>447</v>
      </c>
      <c r="B13" s="578"/>
      <c r="C13" s="578"/>
      <c r="D13" s="578"/>
      <c r="E13" s="578"/>
      <c r="F13" s="578"/>
      <c r="G13" s="578"/>
      <c r="H13" s="578"/>
      <c r="I13" s="578"/>
      <c r="J13" s="579" t="s">
        <v>448</v>
      </c>
    </row>
    <row r="14" spans="1:10" x14ac:dyDescent="0.25">
      <c r="A14" s="573" t="s">
        <v>386</v>
      </c>
      <c r="B14" s="442"/>
      <c r="C14" s="442"/>
      <c r="D14" s="442"/>
      <c r="E14" s="442"/>
      <c r="F14" s="442"/>
      <c r="G14" s="442"/>
      <c r="H14" s="442"/>
      <c r="I14" s="442"/>
      <c r="J14" s="580"/>
    </row>
    <row r="15" spans="1:10" x14ac:dyDescent="0.25">
      <c r="A15" s="573" t="s">
        <v>386</v>
      </c>
      <c r="B15" s="442"/>
      <c r="C15" s="442"/>
      <c r="D15" s="442"/>
      <c r="E15" s="442"/>
      <c r="F15" s="442"/>
      <c r="G15" s="442"/>
      <c r="H15" s="442"/>
      <c r="I15" s="442"/>
      <c r="J15" s="580"/>
    </row>
    <row r="16" spans="1:10" x14ac:dyDescent="0.25">
      <c r="A16" s="573" t="s">
        <v>386</v>
      </c>
      <c r="B16" s="442"/>
      <c r="C16" s="442"/>
      <c r="D16" s="442"/>
      <c r="E16" s="442"/>
      <c r="F16" s="442"/>
      <c r="G16" s="442"/>
      <c r="H16" s="442"/>
      <c r="I16" s="442"/>
      <c r="J16" s="580"/>
    </row>
    <row r="17" spans="1:10" x14ac:dyDescent="0.25">
      <c r="A17" s="573" t="s">
        <v>386</v>
      </c>
      <c r="B17" s="442"/>
      <c r="C17" s="442"/>
      <c r="D17" s="442"/>
      <c r="E17" s="442"/>
      <c r="F17" s="442"/>
      <c r="G17" s="442"/>
      <c r="H17" s="442"/>
      <c r="I17" s="442"/>
      <c r="J17" s="580"/>
    </row>
    <row r="18" spans="1:10" x14ac:dyDescent="0.25">
      <c r="A18" s="573" t="s">
        <v>386</v>
      </c>
      <c r="B18" s="442"/>
      <c r="C18" s="442"/>
      <c r="D18" s="442"/>
      <c r="E18" s="442"/>
      <c r="F18" s="442"/>
      <c r="G18" s="442"/>
      <c r="H18" s="442"/>
      <c r="I18" s="442"/>
      <c r="J18" s="580"/>
    </row>
    <row r="19" spans="1:10" x14ac:dyDescent="0.25">
      <c r="A19" s="573" t="s">
        <v>386</v>
      </c>
      <c r="B19" s="442"/>
      <c r="C19" s="442"/>
      <c r="D19" s="442"/>
      <c r="E19" s="442"/>
      <c r="F19" s="442"/>
      <c r="G19" s="442"/>
      <c r="H19" s="442"/>
      <c r="I19" s="442"/>
      <c r="J19" s="580"/>
    </row>
    <row r="20" spans="1:10" x14ac:dyDescent="0.25">
      <c r="A20" s="573" t="s">
        <v>386</v>
      </c>
      <c r="B20" s="442"/>
      <c r="C20" s="442"/>
      <c r="D20" s="442"/>
      <c r="E20" s="442"/>
      <c r="F20" s="442"/>
      <c r="G20" s="442"/>
      <c r="H20" s="442"/>
      <c r="I20" s="442"/>
      <c r="J20" s="580"/>
    </row>
    <row r="21" spans="1:10" x14ac:dyDescent="0.25">
      <c r="A21" s="573" t="s">
        <v>386</v>
      </c>
      <c r="B21" s="442"/>
      <c r="C21" s="442"/>
      <c r="D21" s="442"/>
      <c r="E21" s="442"/>
      <c r="F21" s="442"/>
      <c r="G21" s="442"/>
      <c r="H21" s="442"/>
      <c r="I21" s="442"/>
      <c r="J21" s="580"/>
    </row>
    <row r="22" spans="1:10" x14ac:dyDescent="0.25">
      <c r="A22" s="573" t="s">
        <v>386</v>
      </c>
      <c r="B22" s="442"/>
      <c r="C22" s="442"/>
      <c r="D22" s="442"/>
      <c r="E22" s="442"/>
      <c r="F22" s="442"/>
      <c r="G22" s="442"/>
      <c r="H22" s="442"/>
      <c r="I22" s="442"/>
      <c r="J22" s="580"/>
    </row>
    <row r="23" spans="1:10" x14ac:dyDescent="0.25">
      <c r="A23" s="573" t="s">
        <v>386</v>
      </c>
      <c r="B23" s="442"/>
      <c r="C23" s="442"/>
      <c r="D23" s="442"/>
      <c r="E23" s="442"/>
      <c r="F23" s="442"/>
      <c r="G23" s="442"/>
      <c r="H23" s="442"/>
      <c r="I23" s="442"/>
      <c r="J23" s="580"/>
    </row>
    <row r="24" spans="1:10" x14ac:dyDescent="0.25">
      <c r="A24" s="573" t="s">
        <v>386</v>
      </c>
      <c r="B24" s="442"/>
      <c r="C24" s="442"/>
      <c r="D24" s="442"/>
      <c r="E24" s="442"/>
      <c r="F24" s="442"/>
      <c r="G24" s="442"/>
      <c r="H24" s="442"/>
      <c r="I24" s="442"/>
      <c r="J24" s="580"/>
    </row>
    <row r="25" spans="1:10" x14ac:dyDescent="0.25">
      <c r="A25" s="573" t="s">
        <v>386</v>
      </c>
      <c r="B25" s="442"/>
      <c r="C25" s="442"/>
      <c r="D25" s="442"/>
      <c r="E25" s="442"/>
      <c r="F25" s="442"/>
      <c r="G25" s="442"/>
      <c r="H25" s="442"/>
      <c r="I25" s="442"/>
      <c r="J25" s="580"/>
    </row>
    <row r="26" spans="1:10" x14ac:dyDescent="0.25">
      <c r="A26" s="573" t="s">
        <v>386</v>
      </c>
      <c r="B26" s="442"/>
      <c r="C26" s="442"/>
      <c r="D26" s="442"/>
      <c r="E26" s="442"/>
      <c r="F26" s="442"/>
      <c r="G26" s="442"/>
      <c r="H26" s="442"/>
      <c r="I26" s="442"/>
      <c r="J26" s="580"/>
    </row>
    <row r="27" spans="1:10" x14ac:dyDescent="0.25">
      <c r="A27" s="573" t="s">
        <v>386</v>
      </c>
      <c r="B27" s="442"/>
      <c r="C27" s="442"/>
      <c r="D27" s="442"/>
      <c r="E27" s="442"/>
      <c r="F27" s="442"/>
      <c r="G27" s="442"/>
      <c r="H27" s="442"/>
      <c r="I27" s="442"/>
      <c r="J27" s="580"/>
    </row>
    <row r="28" spans="1:10" x14ac:dyDescent="0.25">
      <c r="A28" s="573" t="s">
        <v>386</v>
      </c>
      <c r="B28" s="442"/>
      <c r="C28" s="442"/>
      <c r="D28" s="442"/>
      <c r="E28" s="442"/>
      <c r="F28" s="442"/>
      <c r="G28" s="442"/>
      <c r="H28" s="442"/>
      <c r="I28" s="442"/>
      <c r="J28" s="580"/>
    </row>
    <row r="29" spans="1:10" x14ac:dyDescent="0.25">
      <c r="A29" s="573" t="s">
        <v>386</v>
      </c>
      <c r="B29" s="442"/>
      <c r="C29" s="442"/>
      <c r="D29" s="442"/>
      <c r="E29" s="442"/>
      <c r="F29" s="442"/>
      <c r="G29" s="442"/>
      <c r="H29" s="442"/>
      <c r="I29" s="442"/>
      <c r="J29" s="580"/>
    </row>
    <row r="30" spans="1:10" x14ac:dyDescent="0.25">
      <c r="A30" s="573" t="s">
        <v>386</v>
      </c>
      <c r="B30" s="442"/>
      <c r="C30" s="442"/>
      <c r="D30" s="442"/>
      <c r="E30" s="442"/>
      <c r="F30" s="442"/>
      <c r="G30" s="442"/>
      <c r="H30" s="442"/>
      <c r="I30" s="442"/>
      <c r="J30" s="580"/>
    </row>
    <row r="31" spans="1:10" x14ac:dyDescent="0.25">
      <c r="A31" s="573" t="s">
        <v>386</v>
      </c>
      <c r="B31" s="442"/>
      <c r="C31" s="442"/>
      <c r="D31" s="442"/>
      <c r="E31" s="442"/>
      <c r="F31" s="442"/>
      <c r="G31" s="442"/>
      <c r="H31" s="442"/>
      <c r="I31" s="442"/>
      <c r="J31" s="580"/>
    </row>
    <row r="32" spans="1:10" x14ac:dyDescent="0.25">
      <c r="A32" s="573" t="s">
        <v>386</v>
      </c>
      <c r="B32" s="442"/>
      <c r="C32" s="442"/>
      <c r="D32" s="442"/>
      <c r="E32" s="442"/>
      <c r="F32" s="442"/>
      <c r="G32" s="442"/>
      <c r="H32" s="442"/>
      <c r="I32" s="442"/>
      <c r="J32" s="580"/>
    </row>
    <row r="33" spans="1:10" x14ac:dyDescent="0.25">
      <c r="A33" s="573" t="s">
        <v>386</v>
      </c>
      <c r="B33" s="442"/>
      <c r="C33" s="442"/>
      <c r="D33" s="442"/>
      <c r="E33" s="442"/>
      <c r="F33" s="442"/>
      <c r="G33" s="442"/>
      <c r="H33" s="442"/>
      <c r="I33" s="442"/>
      <c r="J33" s="580"/>
    </row>
    <row r="34" spans="1:10" x14ac:dyDescent="0.25">
      <c r="A34" s="581" t="s">
        <v>449</v>
      </c>
      <c r="B34" s="581"/>
      <c r="C34" s="581"/>
      <c r="D34" s="581"/>
      <c r="E34" s="581"/>
      <c r="F34" s="581"/>
      <c r="G34" s="581"/>
      <c r="H34" s="581"/>
      <c r="I34" s="581"/>
      <c r="J34" s="582">
        <f>SUM(J14:J33)/E11</f>
        <v>0</v>
      </c>
    </row>
    <row r="35" spans="1:10" x14ac:dyDescent="0.25">
      <c r="A35" s="581" t="s">
        <v>450</v>
      </c>
      <c r="B35" s="581"/>
      <c r="C35" s="581"/>
      <c r="D35" s="581"/>
      <c r="E35" s="581"/>
      <c r="F35" s="581"/>
      <c r="G35" s="581"/>
      <c r="H35" s="581"/>
      <c r="I35" s="581"/>
      <c r="J35" s="583" t="str">
        <f>IF(J34&gt;=8.1,"A",IF(J34&gt;=7.65,"B",IF(J34&gt;=6.75,"C",IF(J34&gt;=5.85,"D",IF(J34&gt;=5.4,"E","E")))))</f>
        <v>E</v>
      </c>
    </row>
    <row r="37" spans="1:10" x14ac:dyDescent="0.25">
      <c r="A37" s="524" t="s">
        <v>408</v>
      </c>
      <c r="B37" s="526" t="s">
        <v>431</v>
      </c>
      <c r="C37" s="526"/>
      <c r="D37" s="526"/>
      <c r="F37" s="584" t="s">
        <v>451</v>
      </c>
      <c r="G37" s="585"/>
      <c r="H37" s="585"/>
      <c r="I37" s="586"/>
    </row>
    <row r="38" spans="1:10" x14ac:dyDescent="0.25">
      <c r="A38" s="527" t="s">
        <v>6</v>
      </c>
      <c r="B38" s="529" t="s">
        <v>432</v>
      </c>
      <c r="C38" s="530"/>
      <c r="D38" s="530"/>
      <c r="F38" s="587" t="s">
        <v>452</v>
      </c>
      <c r="G38" s="588"/>
      <c r="H38" s="587" t="s">
        <v>453</v>
      </c>
      <c r="I38" s="588"/>
    </row>
    <row r="39" spans="1:10" x14ac:dyDescent="0.25">
      <c r="A39" s="527" t="s">
        <v>8</v>
      </c>
      <c r="B39" s="529" t="s">
        <v>433</v>
      </c>
      <c r="C39" s="530"/>
      <c r="D39" s="530"/>
      <c r="F39" s="587" t="s">
        <v>454</v>
      </c>
      <c r="G39" s="588"/>
      <c r="H39" s="587" t="s">
        <v>455</v>
      </c>
      <c r="I39" s="588"/>
    </row>
    <row r="40" spans="1:10" x14ac:dyDescent="0.25">
      <c r="A40" s="527" t="s">
        <v>11</v>
      </c>
      <c r="B40" s="529" t="s">
        <v>434</v>
      </c>
      <c r="C40" s="530"/>
      <c r="D40" s="530"/>
      <c r="F40" s="587" t="s">
        <v>456</v>
      </c>
      <c r="G40" s="588"/>
      <c r="H40" s="587" t="s">
        <v>457</v>
      </c>
      <c r="I40" s="588"/>
    </row>
    <row r="41" spans="1:10" x14ac:dyDescent="0.25">
      <c r="A41" s="527" t="s">
        <v>13</v>
      </c>
      <c r="B41" s="529" t="s">
        <v>435</v>
      </c>
      <c r="C41" s="530"/>
      <c r="D41" s="530"/>
      <c r="F41" s="587" t="s">
        <v>458</v>
      </c>
      <c r="G41" s="588"/>
      <c r="H41" s="587" t="s">
        <v>459</v>
      </c>
      <c r="I41" s="588"/>
    </row>
    <row r="42" spans="1:10" x14ac:dyDescent="0.25">
      <c r="A42" s="527" t="s">
        <v>34</v>
      </c>
      <c r="B42" s="529" t="s">
        <v>460</v>
      </c>
      <c r="C42" s="530"/>
      <c r="D42" s="530"/>
      <c r="F42" s="587" t="s">
        <v>461</v>
      </c>
      <c r="G42" s="588"/>
      <c r="H42" s="587" t="s">
        <v>462</v>
      </c>
      <c r="I42" s="588"/>
    </row>
    <row r="43" spans="1:10" x14ac:dyDescent="0.25">
      <c r="A43" s="589"/>
      <c r="B43" s="590"/>
      <c r="C43" s="591"/>
      <c r="D43" s="591"/>
      <c r="F43" s="587" t="s">
        <v>463</v>
      </c>
      <c r="G43" s="588"/>
      <c r="H43" s="587" t="s">
        <v>464</v>
      </c>
      <c r="I43" s="588"/>
    </row>
    <row r="44" spans="1:10" x14ac:dyDescent="0.25">
      <c r="A44" s="589"/>
      <c r="B44" s="592"/>
      <c r="C44" s="593"/>
      <c r="D44" s="593"/>
      <c r="F44" s="594" t="s">
        <v>465</v>
      </c>
      <c r="G44" s="595"/>
      <c r="H44" s="596"/>
      <c r="I44" s="588"/>
    </row>
    <row r="45" spans="1:10" x14ac:dyDescent="0.25">
      <c r="A45" s="527" t="s">
        <v>466</v>
      </c>
      <c r="B45" s="597"/>
      <c r="C45" s="598"/>
      <c r="D45" s="599"/>
      <c r="F45" s="600"/>
      <c r="G45" s="601"/>
      <c r="H45" s="600"/>
      <c r="I45" s="601"/>
    </row>
    <row r="46" spans="1:10" ht="12.75" customHeight="1" x14ac:dyDescent="0.25"/>
    <row r="47" spans="1:10" x14ac:dyDescent="0.25">
      <c r="A47" s="513" t="s">
        <v>426</v>
      </c>
      <c r="B47" s="513"/>
      <c r="C47" s="513"/>
      <c r="D47" s="513"/>
      <c r="E47" s="513" t="s">
        <v>427</v>
      </c>
      <c r="F47" s="513"/>
      <c r="G47" s="513"/>
      <c r="H47" s="513" t="s">
        <v>428</v>
      </c>
      <c r="I47" s="513"/>
      <c r="J47" s="513"/>
    </row>
    <row r="48" spans="1:10" x14ac:dyDescent="0.25">
      <c r="A48" s="513"/>
      <c r="B48" s="513"/>
      <c r="C48" s="513"/>
      <c r="D48" s="513"/>
      <c r="E48" s="513"/>
      <c r="F48" s="513"/>
      <c r="G48" s="513"/>
      <c r="H48" s="513"/>
      <c r="I48" s="513"/>
      <c r="J48" s="513"/>
    </row>
    <row r="49" spans="1:10" x14ac:dyDescent="0.25">
      <c r="A49" s="513"/>
      <c r="B49" s="513"/>
      <c r="C49" s="513"/>
      <c r="D49" s="513"/>
      <c r="E49" s="513"/>
      <c r="F49" s="513"/>
      <c r="G49" s="513"/>
      <c r="H49" s="513"/>
      <c r="I49" s="513"/>
      <c r="J49" s="513"/>
    </row>
    <row r="50" spans="1:10" x14ac:dyDescent="0.25">
      <c r="A50" s="513"/>
      <c r="B50" s="513"/>
      <c r="C50" s="513"/>
      <c r="D50" s="513"/>
      <c r="E50" s="513"/>
      <c r="F50" s="513"/>
      <c r="G50" s="513"/>
      <c r="H50" s="513"/>
      <c r="I50" s="513"/>
      <c r="J50" s="513"/>
    </row>
    <row r="51" spans="1:10" x14ac:dyDescent="0.25">
      <c r="A51" s="513"/>
      <c r="B51" s="513"/>
      <c r="C51" s="513"/>
      <c r="D51" s="513"/>
      <c r="E51" s="513"/>
      <c r="F51" s="513"/>
      <c r="G51" s="513"/>
      <c r="H51" s="513"/>
      <c r="I51" s="513"/>
      <c r="J51" s="513"/>
    </row>
    <row r="74" spans="1:11" x14ac:dyDescent="0.25">
      <c r="A74" s="602"/>
    </row>
    <row r="75" spans="1:11" x14ac:dyDescent="0.25">
      <c r="A75" s="602"/>
      <c r="B75" s="602"/>
      <c r="C75" s="602"/>
      <c r="D75" s="602"/>
      <c r="E75" s="602"/>
      <c r="F75" s="602"/>
      <c r="G75" s="602"/>
      <c r="H75" s="602"/>
      <c r="I75" s="602"/>
      <c r="J75" s="602"/>
      <c r="K75" s="602"/>
    </row>
    <row r="76" spans="1:11" x14ac:dyDescent="0.25">
      <c r="A76" s="601"/>
      <c r="B76" s="603"/>
      <c r="C76" s="603"/>
      <c r="D76" s="603"/>
      <c r="E76" s="603"/>
      <c r="F76" s="603"/>
      <c r="G76" s="604"/>
      <c r="H76" s="604"/>
      <c r="I76" s="604"/>
      <c r="J76" s="604"/>
      <c r="K76" s="604"/>
    </row>
    <row r="77" spans="1:11" x14ac:dyDescent="0.25">
      <c r="A77" s="605"/>
    </row>
    <row r="79" spans="1:11" x14ac:dyDescent="0.25">
      <c r="A79" s="605"/>
    </row>
    <row r="80" spans="1:11" x14ac:dyDescent="0.25">
      <c r="A80" s="602"/>
    </row>
    <row r="81" spans="1:1" x14ac:dyDescent="0.25">
      <c r="A81" s="602"/>
    </row>
  </sheetData>
  <mergeCells count="48">
    <mergeCell ref="F44:H44"/>
    <mergeCell ref="A47:D51"/>
    <mergeCell ref="E47:G51"/>
    <mergeCell ref="H47:J51"/>
    <mergeCell ref="B38:D38"/>
    <mergeCell ref="B39:D39"/>
    <mergeCell ref="B40:D40"/>
    <mergeCell ref="B41:D41"/>
    <mergeCell ref="B42:D42"/>
    <mergeCell ref="B43:D43"/>
    <mergeCell ref="B31:I31"/>
    <mergeCell ref="B32:I32"/>
    <mergeCell ref="B33:I33"/>
    <mergeCell ref="A34:I34"/>
    <mergeCell ref="A35:I35"/>
    <mergeCell ref="B37:D37"/>
    <mergeCell ref="F37:I37"/>
    <mergeCell ref="B25:I25"/>
    <mergeCell ref="B26:I26"/>
    <mergeCell ref="B27:I27"/>
    <mergeCell ref="B28:I28"/>
    <mergeCell ref="B29:I29"/>
    <mergeCell ref="B30:I30"/>
    <mergeCell ref="B19:I19"/>
    <mergeCell ref="B20:I20"/>
    <mergeCell ref="B21:I21"/>
    <mergeCell ref="B22:I22"/>
    <mergeCell ref="B23:I23"/>
    <mergeCell ref="B24:I24"/>
    <mergeCell ref="A13:I13"/>
    <mergeCell ref="B14:I14"/>
    <mergeCell ref="B15:I15"/>
    <mergeCell ref="B16:I16"/>
    <mergeCell ref="B17:I17"/>
    <mergeCell ref="B18:I18"/>
    <mergeCell ref="A8:B8"/>
    <mergeCell ref="C8:J8"/>
    <mergeCell ref="A9:D9"/>
    <mergeCell ref="E9:J9"/>
    <mergeCell ref="B10:J10"/>
    <mergeCell ref="A11:D12"/>
    <mergeCell ref="E11:J12"/>
    <mergeCell ref="A1:A3"/>
    <mergeCell ref="B1:J1"/>
    <mergeCell ref="B2:J2"/>
    <mergeCell ref="B3:J3"/>
    <mergeCell ref="B5:C5"/>
    <mergeCell ref="B7:J7"/>
  </mergeCells>
  <pageMargins left="0.511811024" right="0.511811024" top="0.78740157499999996" bottom="0.78740157499999996" header="0.31496062000000002" footer="0.3149606200000000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166"/>
  <sheetViews>
    <sheetView topLeftCell="A16" workbookViewId="0">
      <selection activeCell="D55" sqref="D54:D55"/>
    </sheetView>
  </sheetViews>
  <sheetFormatPr defaultRowHeight="12.75" x14ac:dyDescent="0.2"/>
  <cols>
    <col min="1" max="1" width="6.42578125" style="71" customWidth="1"/>
    <col min="2" max="2" width="57.7109375" style="71" customWidth="1"/>
    <col min="3" max="3" width="10.7109375" style="71" bestFit="1" customWidth="1"/>
    <col min="4" max="4" width="17.85546875" style="71" customWidth="1"/>
    <col min="5" max="5" width="13.42578125" style="71" bestFit="1" customWidth="1"/>
    <col min="6" max="16384" width="9.140625" style="71"/>
  </cols>
  <sheetData>
    <row r="1" spans="1:6" x14ac:dyDescent="0.2">
      <c r="A1" s="322" t="s">
        <v>18</v>
      </c>
      <c r="B1" s="323"/>
      <c r="C1" s="323"/>
      <c r="D1" s="324"/>
      <c r="E1" s="17"/>
      <c r="F1" s="17"/>
    </row>
    <row r="3" spans="1:6" x14ac:dyDescent="0.2">
      <c r="A3" s="299" t="s">
        <v>19</v>
      </c>
      <c r="B3" s="300"/>
      <c r="C3" s="300"/>
      <c r="D3" s="308"/>
    </row>
    <row r="4" spans="1:6" s="74" customFormat="1" ht="54.75" customHeight="1" x14ac:dyDescent="0.25">
      <c r="A4" s="198">
        <v>1</v>
      </c>
      <c r="B4" s="199" t="s">
        <v>20</v>
      </c>
      <c r="C4" s="325" t="s">
        <v>335</v>
      </c>
      <c r="D4" s="326"/>
    </row>
    <row r="5" spans="1:6" s="74" customFormat="1" x14ac:dyDescent="0.25">
      <c r="A5" s="198">
        <v>2</v>
      </c>
      <c r="B5" s="199" t="s">
        <v>21</v>
      </c>
      <c r="C5" s="327" t="str">
        <f>+Apresentacao!E25</f>
        <v>5135-05</v>
      </c>
      <c r="D5" s="328"/>
    </row>
    <row r="6" spans="1:6" s="74" customFormat="1" x14ac:dyDescent="0.25">
      <c r="A6" s="198">
        <v>3</v>
      </c>
      <c r="B6" s="199" t="s">
        <v>22</v>
      </c>
      <c r="C6" s="329">
        <f>+Apresentacao!F25</f>
        <v>0</v>
      </c>
      <c r="D6" s="329"/>
    </row>
    <row r="7" spans="1:6" s="74" customFormat="1" ht="42.75" customHeight="1" x14ac:dyDescent="0.25">
      <c r="A7" s="198">
        <v>4</v>
      </c>
      <c r="B7" s="199" t="s">
        <v>23</v>
      </c>
      <c r="C7" s="330" t="s">
        <v>24</v>
      </c>
      <c r="D7" s="331"/>
    </row>
    <row r="8" spans="1:6" s="74" customFormat="1" x14ac:dyDescent="0.25">
      <c r="A8" s="198">
        <v>5</v>
      </c>
      <c r="B8" s="199" t="s">
        <v>25</v>
      </c>
      <c r="C8" s="332">
        <v>43524</v>
      </c>
      <c r="D8" s="328"/>
    </row>
    <row r="9" spans="1:6" x14ac:dyDescent="0.2">
      <c r="D9" s="18"/>
    </row>
    <row r="10" spans="1:6" x14ac:dyDescent="0.2">
      <c r="A10" s="291" t="s">
        <v>26</v>
      </c>
      <c r="B10" s="292"/>
      <c r="C10" s="292"/>
      <c r="D10" s="292"/>
    </row>
    <row r="11" spans="1:6" x14ac:dyDescent="0.2">
      <c r="A11" s="75">
        <v>1</v>
      </c>
      <c r="B11" s="76" t="s">
        <v>27</v>
      </c>
      <c r="C11" s="19" t="s">
        <v>28</v>
      </c>
      <c r="D11" s="77" t="s">
        <v>29</v>
      </c>
    </row>
    <row r="12" spans="1:6" x14ac:dyDescent="0.2">
      <c r="A12" s="155" t="s">
        <v>6</v>
      </c>
      <c r="B12" s="289" t="s">
        <v>30</v>
      </c>
      <c r="C12" s="289"/>
      <c r="D12" s="79">
        <f>+C6</f>
        <v>0</v>
      </c>
    </row>
    <row r="13" spans="1:6" x14ac:dyDescent="0.2">
      <c r="A13" s="155" t="s">
        <v>8</v>
      </c>
      <c r="B13" s="80" t="s">
        <v>31</v>
      </c>
      <c r="C13" s="81"/>
      <c r="D13" s="79"/>
      <c r="E13" s="82"/>
    </row>
    <row r="14" spans="1:6" x14ac:dyDescent="0.2">
      <c r="A14" s="155" t="s">
        <v>11</v>
      </c>
      <c r="B14" s="80" t="s">
        <v>32</v>
      </c>
      <c r="C14" s="81"/>
      <c r="D14" s="79">
        <f>+C14*D12</f>
        <v>0</v>
      </c>
    </row>
    <row r="15" spans="1:6" x14ac:dyDescent="0.2">
      <c r="A15" s="155" t="s">
        <v>13</v>
      </c>
      <c r="B15" s="289" t="s">
        <v>33</v>
      </c>
      <c r="C15" s="289"/>
      <c r="D15" s="79"/>
    </row>
    <row r="16" spans="1:6" x14ac:dyDescent="0.2">
      <c r="A16" s="155" t="s">
        <v>34</v>
      </c>
      <c r="B16" s="289" t="s">
        <v>35</v>
      </c>
      <c r="C16" s="289"/>
      <c r="D16" s="79"/>
    </row>
    <row r="17" spans="1:6" x14ac:dyDescent="0.2">
      <c r="A17" s="155" t="s">
        <v>36</v>
      </c>
      <c r="B17" s="318" t="s">
        <v>37</v>
      </c>
      <c r="C17" s="319"/>
      <c r="D17" s="79"/>
    </row>
    <row r="18" spans="1:6" x14ac:dyDescent="0.2">
      <c r="A18" s="155" t="s">
        <v>38</v>
      </c>
      <c r="B18" s="289" t="s">
        <v>39</v>
      </c>
      <c r="C18" s="289"/>
      <c r="D18" s="79"/>
    </row>
    <row r="19" spans="1:6" x14ac:dyDescent="0.2">
      <c r="A19" s="155" t="s">
        <v>40</v>
      </c>
      <c r="B19" s="318" t="s">
        <v>41</v>
      </c>
      <c r="C19" s="319"/>
      <c r="D19" s="83"/>
    </row>
    <row r="20" spans="1:6" x14ac:dyDescent="0.2">
      <c r="A20" s="155" t="s">
        <v>42</v>
      </c>
      <c r="B20" s="80" t="s">
        <v>43</v>
      </c>
      <c r="C20" s="81"/>
      <c r="D20" s="79"/>
    </row>
    <row r="21" spans="1:6" x14ac:dyDescent="0.2">
      <c r="A21" s="155" t="s">
        <v>44</v>
      </c>
      <c r="B21" s="289" t="s">
        <v>45</v>
      </c>
      <c r="C21" s="289"/>
      <c r="D21" s="84"/>
      <c r="F21" s="85"/>
    </row>
    <row r="22" spans="1:6" x14ac:dyDescent="0.2">
      <c r="A22" s="155" t="s">
        <v>46</v>
      </c>
      <c r="B22" s="289" t="s">
        <v>47</v>
      </c>
      <c r="C22" s="289"/>
      <c r="D22" s="84"/>
    </row>
    <row r="23" spans="1:6" x14ac:dyDescent="0.2">
      <c r="A23" s="290" t="s">
        <v>48</v>
      </c>
      <c r="B23" s="290"/>
      <c r="C23" s="290"/>
      <c r="D23" s="20">
        <f>SUM(D12:D22)</f>
        <v>0</v>
      </c>
    </row>
    <row r="25" spans="1:6" x14ac:dyDescent="0.2">
      <c r="A25" s="291" t="s">
        <v>49</v>
      </c>
      <c r="B25" s="292"/>
      <c r="C25" s="292"/>
      <c r="D25" s="292"/>
    </row>
    <row r="27" spans="1:6" x14ac:dyDescent="0.2">
      <c r="A27" s="291" t="s">
        <v>50</v>
      </c>
      <c r="B27" s="292"/>
      <c r="C27" s="292"/>
      <c r="D27" s="292"/>
    </row>
    <row r="28" spans="1:6" x14ac:dyDescent="0.2">
      <c r="A28" s="21" t="s">
        <v>51</v>
      </c>
      <c r="B28" s="22" t="s">
        <v>52</v>
      </c>
      <c r="C28" s="23" t="s">
        <v>28</v>
      </c>
      <c r="D28" s="24" t="s">
        <v>29</v>
      </c>
    </row>
    <row r="29" spans="1:6" x14ac:dyDescent="0.2">
      <c r="A29" s="155" t="s">
        <v>6</v>
      </c>
      <c r="B29" s="86" t="s">
        <v>53</v>
      </c>
      <c r="C29" s="87" t="e">
        <f>ROUND(+D29/$D$23,4)</f>
        <v>#DIV/0!</v>
      </c>
      <c r="D29" s="84">
        <f>ROUND(+D23/12,2)</f>
        <v>0</v>
      </c>
    </row>
    <row r="30" spans="1:6" x14ac:dyDescent="0.2">
      <c r="A30" s="25" t="s">
        <v>8</v>
      </c>
      <c r="B30" s="88" t="s">
        <v>54</v>
      </c>
      <c r="C30" s="26" t="e">
        <f>ROUND(+D30/$D$23,4)</f>
        <v>#DIV/0!</v>
      </c>
      <c r="D30" s="27">
        <f>+D31+D32</f>
        <v>0</v>
      </c>
    </row>
    <row r="31" spans="1:6" x14ac:dyDescent="0.2">
      <c r="A31" s="155" t="s">
        <v>55</v>
      </c>
      <c r="B31" s="28" t="s">
        <v>56</v>
      </c>
      <c r="C31" s="29" t="e">
        <f>ROUND(+D31/$D$23,4)</f>
        <v>#DIV/0!</v>
      </c>
      <c r="D31" s="30">
        <f>ROUND(+D23/12,2)</f>
        <v>0</v>
      </c>
    </row>
    <row r="32" spans="1:6" x14ac:dyDescent="0.2">
      <c r="A32" s="155" t="s">
        <v>57</v>
      </c>
      <c r="B32" s="28" t="s">
        <v>58</v>
      </c>
      <c r="C32" s="29" t="e">
        <f>ROUND(+D32/$D$23,4)</f>
        <v>#DIV/0!</v>
      </c>
      <c r="D32" s="30">
        <f>ROUND(+(D23*1/3)/12,2)</f>
        <v>0</v>
      </c>
    </row>
    <row r="33" spans="1:4" x14ac:dyDescent="0.2">
      <c r="A33" s="290" t="s">
        <v>48</v>
      </c>
      <c r="B33" s="290"/>
      <c r="C33" s="290"/>
      <c r="D33" s="20">
        <f>+D30+D29</f>
        <v>0</v>
      </c>
    </row>
    <row r="35" spans="1:4" ht="26.25" customHeight="1" x14ac:dyDescent="0.2">
      <c r="A35" s="320" t="s">
        <v>59</v>
      </c>
      <c r="B35" s="321"/>
      <c r="C35" s="321"/>
      <c r="D35" s="321"/>
    </row>
    <row r="36" spans="1:4" x14ac:dyDescent="0.2">
      <c r="A36" s="21" t="s">
        <v>60</v>
      </c>
      <c r="B36" s="31" t="s">
        <v>61</v>
      </c>
      <c r="C36" s="23" t="s">
        <v>28</v>
      </c>
      <c r="D36" s="24" t="s">
        <v>29</v>
      </c>
    </row>
    <row r="37" spans="1:4" x14ac:dyDescent="0.2">
      <c r="A37" s="155" t="s">
        <v>6</v>
      </c>
      <c r="B37" s="86" t="s">
        <v>62</v>
      </c>
      <c r="C37" s="89">
        <v>0.2</v>
      </c>
      <c r="D37" s="90">
        <f>ROUND(C37*($D$23+$D$33),2)</f>
        <v>0</v>
      </c>
    </row>
    <row r="38" spans="1:4" x14ac:dyDescent="0.2">
      <c r="A38" s="155" t="s">
        <v>8</v>
      </c>
      <c r="B38" s="86" t="s">
        <v>63</v>
      </c>
      <c r="C38" s="89">
        <v>2.5000000000000001E-2</v>
      </c>
      <c r="D38" s="90">
        <f>ROUND(C38*($D$23+$D$33),2)</f>
        <v>0</v>
      </c>
    </row>
    <row r="39" spans="1:4" x14ac:dyDescent="0.2">
      <c r="A39" s="155" t="s">
        <v>11</v>
      </c>
      <c r="B39" s="86" t="s">
        <v>64</v>
      </c>
      <c r="C39" s="89">
        <f>3%</f>
        <v>0.03</v>
      </c>
      <c r="D39" s="90">
        <f t="shared" ref="D39:D43" si="0">ROUND(C39*($D$23+$D$33),2)</f>
        <v>0</v>
      </c>
    </row>
    <row r="40" spans="1:4" x14ac:dyDescent="0.2">
      <c r="A40" s="155" t="s">
        <v>13</v>
      </c>
      <c r="B40" s="86" t="s">
        <v>65</v>
      </c>
      <c r="C40" s="89">
        <v>1.4999999999999999E-2</v>
      </c>
      <c r="D40" s="90">
        <f t="shared" si="0"/>
        <v>0</v>
      </c>
    </row>
    <row r="41" spans="1:4" x14ac:dyDescent="0.2">
      <c r="A41" s="155" t="s">
        <v>34</v>
      </c>
      <c r="B41" s="86" t="s">
        <v>66</v>
      </c>
      <c r="C41" s="89">
        <v>0.01</v>
      </c>
      <c r="D41" s="90">
        <f t="shared" si="0"/>
        <v>0</v>
      </c>
    </row>
    <row r="42" spans="1:4" x14ac:dyDescent="0.2">
      <c r="A42" s="155" t="s">
        <v>36</v>
      </c>
      <c r="B42" s="86" t="s">
        <v>67</v>
      </c>
      <c r="C42" s="89">
        <v>6.0000000000000001E-3</v>
      </c>
      <c r="D42" s="90">
        <f t="shared" si="0"/>
        <v>0</v>
      </c>
    </row>
    <row r="43" spans="1:4" x14ac:dyDescent="0.2">
      <c r="A43" s="155" t="s">
        <v>38</v>
      </c>
      <c r="B43" s="86" t="s">
        <v>68</v>
      </c>
      <c r="C43" s="89">
        <v>2E-3</v>
      </c>
      <c r="D43" s="90">
        <f t="shared" si="0"/>
        <v>0</v>
      </c>
    </row>
    <row r="44" spans="1:4" x14ac:dyDescent="0.2">
      <c r="A44" s="155" t="s">
        <v>40</v>
      </c>
      <c r="B44" s="86" t="s">
        <v>69</v>
      </c>
      <c r="C44" s="89">
        <v>0.08</v>
      </c>
      <c r="D44" s="90">
        <f>ROUND(C44*($D$23+$D$33),2)</f>
        <v>0</v>
      </c>
    </row>
    <row r="45" spans="1:4" x14ac:dyDescent="0.2">
      <c r="A45" s="153" t="s">
        <v>48</v>
      </c>
      <c r="B45" s="154"/>
      <c r="C45" s="32">
        <f>SUM(C37:C44)</f>
        <v>0.36800000000000005</v>
      </c>
      <c r="D45" s="33">
        <f>SUM(D37:D44)</f>
        <v>0</v>
      </c>
    </row>
    <row r="46" spans="1:4" x14ac:dyDescent="0.2">
      <c r="A46" s="91"/>
      <c r="B46" s="91"/>
      <c r="C46" s="91"/>
      <c r="D46" s="91"/>
    </row>
    <row r="47" spans="1:4" x14ac:dyDescent="0.2">
      <c r="A47" s="320" t="s">
        <v>70</v>
      </c>
      <c r="B47" s="321"/>
      <c r="C47" s="321"/>
      <c r="D47" s="321"/>
    </row>
    <row r="48" spans="1:4" x14ac:dyDescent="0.2">
      <c r="A48" s="21" t="s">
        <v>71</v>
      </c>
      <c r="B48" s="31" t="s">
        <v>72</v>
      </c>
      <c r="C48" s="23"/>
      <c r="D48" s="24" t="s">
        <v>29</v>
      </c>
    </row>
    <row r="49" spans="1:6" x14ac:dyDescent="0.2">
      <c r="A49" s="92" t="s">
        <v>6</v>
      </c>
      <c r="B49" s="86" t="s">
        <v>73</v>
      </c>
      <c r="C49" s="93"/>
      <c r="D49" s="90">
        <f>+'Men Cal Aux Coz 44'!C16</f>
        <v>0</v>
      </c>
    </row>
    <row r="50" spans="1:6" s="97" customFormat="1" x14ac:dyDescent="0.2">
      <c r="A50" s="94" t="s">
        <v>74</v>
      </c>
      <c r="B50" s="95" t="s">
        <v>75</v>
      </c>
      <c r="C50" s="87">
        <f>+$C$131+$C$132</f>
        <v>9.2499999999999999E-2</v>
      </c>
      <c r="D50" s="96">
        <f>+(C50*D49)*-1</f>
        <v>0</v>
      </c>
      <c r="F50" s="98"/>
    </row>
    <row r="51" spans="1:6" x14ac:dyDescent="0.2">
      <c r="A51" s="92" t="s">
        <v>8</v>
      </c>
      <c r="B51" s="86" t="s">
        <v>76</v>
      </c>
      <c r="C51" s="93"/>
      <c r="D51" s="90">
        <f>+'Men Cal Aux Coz 44'!C25</f>
        <v>0</v>
      </c>
      <c r="F51" s="99"/>
    </row>
    <row r="52" spans="1:6" s="97" customFormat="1" x14ac:dyDescent="0.2">
      <c r="A52" s="94" t="s">
        <v>55</v>
      </c>
      <c r="B52" s="95" t="s">
        <v>75</v>
      </c>
      <c r="C52" s="87">
        <f>+$C$131+$C$132</f>
        <v>9.2499999999999999E-2</v>
      </c>
      <c r="D52" s="96">
        <f>+(C52*D51)*-1</f>
        <v>0</v>
      </c>
      <c r="F52" s="100"/>
    </row>
    <row r="53" spans="1:6" x14ac:dyDescent="0.2">
      <c r="A53" s="101" t="s">
        <v>11</v>
      </c>
      <c r="B53" s="101" t="s">
        <v>77</v>
      </c>
      <c r="C53" s="93"/>
      <c r="D53" s="134"/>
      <c r="F53" s="99"/>
    </row>
    <row r="54" spans="1:6" x14ac:dyDescent="0.2">
      <c r="A54" s="101" t="s">
        <v>13</v>
      </c>
      <c r="B54" s="101" t="s">
        <v>234</v>
      </c>
      <c r="C54" s="93"/>
      <c r="D54" s="134"/>
      <c r="F54" s="99"/>
    </row>
    <row r="55" spans="1:6" ht="25.5" x14ac:dyDescent="0.2">
      <c r="A55" s="101" t="s">
        <v>34</v>
      </c>
      <c r="B55" s="103" t="s">
        <v>235</v>
      </c>
      <c r="C55" s="93"/>
      <c r="D55" s="135"/>
      <c r="F55" s="104"/>
    </row>
    <row r="56" spans="1:6" x14ac:dyDescent="0.2">
      <c r="A56" s="101" t="s">
        <v>36</v>
      </c>
      <c r="B56" s="133" t="s">
        <v>80</v>
      </c>
      <c r="C56" s="93"/>
      <c r="D56" s="102"/>
    </row>
    <row r="57" spans="1:6" x14ac:dyDescent="0.2">
      <c r="A57" s="299" t="s">
        <v>48</v>
      </c>
      <c r="B57" s="308"/>
      <c r="C57" s="34"/>
      <c r="D57" s="35">
        <f>SUM(D49:D56)</f>
        <v>0</v>
      </c>
    </row>
    <row r="59" spans="1:6" x14ac:dyDescent="0.2">
      <c r="A59" s="291" t="s">
        <v>81</v>
      </c>
      <c r="B59" s="292"/>
      <c r="C59" s="292"/>
      <c r="D59" s="292"/>
    </row>
    <row r="60" spans="1:6" x14ac:dyDescent="0.2">
      <c r="A60" s="36">
        <v>2</v>
      </c>
      <c r="B60" s="315" t="s">
        <v>82</v>
      </c>
      <c r="C60" s="315"/>
      <c r="D60" s="37" t="s">
        <v>29</v>
      </c>
    </row>
    <row r="61" spans="1:6" x14ac:dyDescent="0.2">
      <c r="A61" s="95" t="s">
        <v>51</v>
      </c>
      <c r="B61" s="316" t="s">
        <v>52</v>
      </c>
      <c r="C61" s="316"/>
      <c r="D61" s="90">
        <f>+D33</f>
        <v>0</v>
      </c>
    </row>
    <row r="62" spans="1:6" x14ac:dyDescent="0.2">
      <c r="A62" s="95" t="s">
        <v>60</v>
      </c>
      <c r="B62" s="316" t="s">
        <v>61</v>
      </c>
      <c r="C62" s="316"/>
      <c r="D62" s="90">
        <f>+D45</f>
        <v>0</v>
      </c>
    </row>
    <row r="63" spans="1:6" x14ac:dyDescent="0.2">
      <c r="A63" s="95" t="s">
        <v>71</v>
      </c>
      <c r="B63" s="316" t="s">
        <v>72</v>
      </c>
      <c r="C63" s="316"/>
      <c r="D63" s="105">
        <f>+D57</f>
        <v>0</v>
      </c>
    </row>
    <row r="64" spans="1:6" x14ac:dyDescent="0.2">
      <c r="A64" s="315" t="s">
        <v>48</v>
      </c>
      <c r="B64" s="315"/>
      <c r="C64" s="315"/>
      <c r="D64" s="38">
        <f>SUM(D61:D63)</f>
        <v>0</v>
      </c>
    </row>
    <row r="66" spans="1:4" x14ac:dyDescent="0.2">
      <c r="A66" s="291" t="s">
        <v>83</v>
      </c>
      <c r="B66" s="292"/>
      <c r="C66" s="292"/>
      <c r="D66" s="292"/>
    </row>
    <row r="68" spans="1:4" x14ac:dyDescent="0.2">
      <c r="A68" s="39">
        <v>3</v>
      </c>
      <c r="B68" s="22" t="s">
        <v>84</v>
      </c>
      <c r="C68" s="19" t="s">
        <v>28</v>
      </c>
      <c r="D68" s="19" t="s">
        <v>29</v>
      </c>
    </row>
    <row r="69" spans="1:4" x14ac:dyDescent="0.2">
      <c r="A69" s="155" t="s">
        <v>6</v>
      </c>
      <c r="B69" s="95" t="s">
        <v>85</v>
      </c>
      <c r="C69" s="87" t="e">
        <f>+D69/$D$23</f>
        <v>#DIV/0!</v>
      </c>
      <c r="D69" s="106">
        <f>+'Men Cal Aux Coz 44'!C31</f>
        <v>0</v>
      </c>
    </row>
    <row r="70" spans="1:4" x14ac:dyDescent="0.2">
      <c r="A70" s="155" t="s">
        <v>8</v>
      </c>
      <c r="B70" s="86" t="s">
        <v>86</v>
      </c>
      <c r="C70" s="107"/>
      <c r="D70" s="84">
        <f>ROUND(+D69*$C$44,2)</f>
        <v>0</v>
      </c>
    </row>
    <row r="71" spans="1:4" ht="25.5" x14ac:dyDescent="0.2">
      <c r="A71" s="155" t="s">
        <v>11</v>
      </c>
      <c r="B71" s="108" t="s">
        <v>87</v>
      </c>
      <c r="C71" s="89" t="e">
        <f>+D71/$D$23</f>
        <v>#DIV/0!</v>
      </c>
      <c r="D71" s="84">
        <f>+'Men Cal Aux Coz 44'!C43</f>
        <v>0</v>
      </c>
    </row>
    <row r="72" spans="1:4" x14ac:dyDescent="0.2">
      <c r="A72" s="156" t="s">
        <v>13</v>
      </c>
      <c r="B72" s="86" t="s">
        <v>88</v>
      </c>
      <c r="C72" s="89" t="e">
        <f>+D72/$D$23</f>
        <v>#DIV/0!</v>
      </c>
      <c r="D72" s="84">
        <f>+'Men Cal Aux Coz 44'!C51</f>
        <v>0</v>
      </c>
    </row>
    <row r="73" spans="1:4" ht="25.5" x14ac:dyDescent="0.2">
      <c r="A73" s="156" t="s">
        <v>34</v>
      </c>
      <c r="B73" s="108" t="s">
        <v>89</v>
      </c>
      <c r="C73" s="107"/>
      <c r="D73" s="110"/>
    </row>
    <row r="74" spans="1:4" ht="25.5" x14ac:dyDescent="0.2">
      <c r="A74" s="156" t="s">
        <v>36</v>
      </c>
      <c r="B74" s="108" t="s">
        <v>90</v>
      </c>
      <c r="C74" s="89" t="e">
        <f>+D74/$D$23</f>
        <v>#DIV/0!</v>
      </c>
      <c r="D74" s="90">
        <f>+'Men Cal Aux Coz 44'!C63</f>
        <v>0</v>
      </c>
    </row>
    <row r="75" spans="1:4" x14ac:dyDescent="0.2">
      <c r="A75" s="299" t="s">
        <v>48</v>
      </c>
      <c r="B75" s="300"/>
      <c r="C75" s="308"/>
      <c r="D75" s="40">
        <f>SUM(D69:D74)</f>
        <v>0</v>
      </c>
    </row>
    <row r="77" spans="1:4" x14ac:dyDescent="0.2">
      <c r="A77" s="291" t="s">
        <v>91</v>
      </c>
      <c r="B77" s="292"/>
      <c r="C77" s="292"/>
      <c r="D77" s="292"/>
    </row>
    <row r="79" spans="1:4" x14ac:dyDescent="0.2">
      <c r="A79" s="317" t="s">
        <v>92</v>
      </c>
      <c r="B79" s="317"/>
      <c r="C79" s="317"/>
      <c r="D79" s="317"/>
    </row>
    <row r="80" spans="1:4" x14ac:dyDescent="0.2">
      <c r="A80" s="39" t="s">
        <v>93</v>
      </c>
      <c r="B80" s="299" t="s">
        <v>94</v>
      </c>
      <c r="C80" s="308"/>
      <c r="D80" s="19" t="s">
        <v>29</v>
      </c>
    </row>
    <row r="81" spans="1:4" x14ac:dyDescent="0.2">
      <c r="A81" s="86" t="s">
        <v>6</v>
      </c>
      <c r="B81" s="303" t="s">
        <v>95</v>
      </c>
      <c r="C81" s="304"/>
      <c r="D81" s="84"/>
    </row>
    <row r="82" spans="1:4" x14ac:dyDescent="0.2">
      <c r="A82" s="95" t="s">
        <v>8</v>
      </c>
      <c r="B82" s="309" t="s">
        <v>94</v>
      </c>
      <c r="C82" s="310"/>
      <c r="D82" s="111">
        <f>+'Men Cal Aux Coz 44'!C76</f>
        <v>0</v>
      </c>
    </row>
    <row r="83" spans="1:4" s="97" customFormat="1" x14ac:dyDescent="0.2">
      <c r="A83" s="95" t="s">
        <v>11</v>
      </c>
      <c r="B83" s="309" t="s">
        <v>96</v>
      </c>
      <c r="C83" s="310"/>
      <c r="D83" s="111">
        <f>+'Men Cal Aux Coz 44'!C85</f>
        <v>0</v>
      </c>
    </row>
    <row r="84" spans="1:4" s="97" customFormat="1" x14ac:dyDescent="0.2">
      <c r="A84" s="95" t="s">
        <v>13</v>
      </c>
      <c r="B84" s="309" t="s">
        <v>97</v>
      </c>
      <c r="C84" s="310"/>
      <c r="D84" s="111">
        <f>+'Men Cal Aux Coz 44'!C93</f>
        <v>0</v>
      </c>
    </row>
    <row r="85" spans="1:4" s="97" customFormat="1" ht="14.25" x14ac:dyDescent="0.2">
      <c r="A85" s="95" t="s">
        <v>34</v>
      </c>
      <c r="B85" s="309" t="s">
        <v>233</v>
      </c>
      <c r="C85" s="310"/>
      <c r="D85" s="111"/>
    </row>
    <row r="86" spans="1:4" s="97" customFormat="1" x14ac:dyDescent="0.2">
      <c r="A86" s="95" t="s">
        <v>36</v>
      </c>
      <c r="B86" s="309" t="s">
        <v>98</v>
      </c>
      <c r="C86" s="310"/>
      <c r="D86" s="111">
        <f>+'Men Cal Aux Coz 44'!C101</f>
        <v>0</v>
      </c>
    </row>
    <row r="87" spans="1:4" x14ac:dyDescent="0.2">
      <c r="A87" s="86" t="s">
        <v>38</v>
      </c>
      <c r="B87" s="303" t="s">
        <v>47</v>
      </c>
      <c r="C87" s="304"/>
      <c r="D87" s="84"/>
    </row>
    <row r="88" spans="1:4" x14ac:dyDescent="0.2">
      <c r="A88" s="86" t="s">
        <v>40</v>
      </c>
      <c r="B88" s="303" t="s">
        <v>99</v>
      </c>
      <c r="C88" s="304"/>
      <c r="D88" s="110"/>
    </row>
    <row r="89" spans="1:4" x14ac:dyDescent="0.2">
      <c r="A89" s="290" t="s">
        <v>48</v>
      </c>
      <c r="B89" s="290"/>
      <c r="C89" s="290"/>
      <c r="D89" s="20">
        <f>SUM(D81:D88)</f>
        <v>0</v>
      </c>
    </row>
    <row r="90" spans="1:4" x14ac:dyDescent="0.2">
      <c r="D90" s="112"/>
    </row>
    <row r="91" spans="1:4" x14ac:dyDescent="0.2">
      <c r="A91" s="39" t="s">
        <v>100</v>
      </c>
      <c r="B91" s="299" t="s">
        <v>101</v>
      </c>
      <c r="C91" s="308"/>
      <c r="D91" s="19" t="s">
        <v>29</v>
      </c>
    </row>
    <row r="92" spans="1:4" s="97" customFormat="1" x14ac:dyDescent="0.2">
      <c r="A92" s="95" t="s">
        <v>6</v>
      </c>
      <c r="B92" s="311" t="s">
        <v>102</v>
      </c>
      <c r="C92" s="312"/>
      <c r="D92" s="111">
        <f>+'Men Cal Aux Coz 44'!C112</f>
        <v>0</v>
      </c>
    </row>
    <row r="93" spans="1:4" s="97" customFormat="1" ht="28.5" customHeight="1" x14ac:dyDescent="0.2">
      <c r="A93" s="95" t="s">
        <v>8</v>
      </c>
      <c r="B93" s="313" t="s">
        <v>103</v>
      </c>
      <c r="C93" s="314"/>
      <c r="D93" s="110"/>
    </row>
    <row r="94" spans="1:4" s="97" customFormat="1" ht="31.5" customHeight="1" x14ac:dyDescent="0.2">
      <c r="A94" s="95" t="s">
        <v>11</v>
      </c>
      <c r="B94" s="313" t="s">
        <v>104</v>
      </c>
      <c r="C94" s="314"/>
      <c r="D94" s="110"/>
    </row>
    <row r="95" spans="1:4" x14ac:dyDescent="0.2">
      <c r="A95" s="86" t="s">
        <v>13</v>
      </c>
      <c r="B95" s="303" t="s">
        <v>47</v>
      </c>
      <c r="C95" s="304"/>
      <c r="D95" s="84"/>
    </row>
    <row r="96" spans="1:4" x14ac:dyDescent="0.2">
      <c r="A96" s="290" t="s">
        <v>48</v>
      </c>
      <c r="B96" s="290"/>
      <c r="C96" s="290"/>
      <c r="D96" s="20">
        <f>SUM(D92:D95)</f>
        <v>0</v>
      </c>
    </row>
    <row r="97" spans="1:4" x14ac:dyDescent="0.2">
      <c r="D97" s="112"/>
    </row>
    <row r="98" spans="1:4" x14ac:dyDescent="0.2">
      <c r="A98" s="39" t="s">
        <v>105</v>
      </c>
      <c r="B98" s="290" t="s">
        <v>106</v>
      </c>
      <c r="C98" s="290"/>
      <c r="D98" s="19" t="s">
        <v>29</v>
      </c>
    </row>
    <row r="99" spans="1:4" s="114" customFormat="1" x14ac:dyDescent="0.25">
      <c r="A99" s="156" t="s">
        <v>6</v>
      </c>
      <c r="B99" s="302" t="s">
        <v>107</v>
      </c>
      <c r="C99" s="302"/>
      <c r="D99" s="113"/>
    </row>
    <row r="100" spans="1:4" x14ac:dyDescent="0.2">
      <c r="A100" s="290" t="s">
        <v>48</v>
      </c>
      <c r="B100" s="290"/>
      <c r="C100" s="290"/>
      <c r="D100" s="20">
        <f>SUM(D99:D99)</f>
        <v>0</v>
      </c>
    </row>
    <row r="102" spans="1:4" x14ac:dyDescent="0.2">
      <c r="A102" s="157" t="s">
        <v>108</v>
      </c>
      <c r="B102" s="157"/>
      <c r="C102" s="157"/>
      <c r="D102" s="157"/>
    </row>
    <row r="103" spans="1:4" x14ac:dyDescent="0.2">
      <c r="A103" s="86" t="s">
        <v>93</v>
      </c>
      <c r="B103" s="303" t="s">
        <v>94</v>
      </c>
      <c r="C103" s="304"/>
      <c r="D103" s="90">
        <f>+D89</f>
        <v>0</v>
      </c>
    </row>
    <row r="104" spans="1:4" x14ac:dyDescent="0.2">
      <c r="A104" s="86" t="s">
        <v>100</v>
      </c>
      <c r="B104" s="303" t="s">
        <v>101</v>
      </c>
      <c r="C104" s="304"/>
      <c r="D104" s="90">
        <f>+D96</f>
        <v>0</v>
      </c>
    </row>
    <row r="105" spans="1:4" x14ac:dyDescent="0.2">
      <c r="A105" s="115"/>
      <c r="B105" s="305" t="s">
        <v>109</v>
      </c>
      <c r="C105" s="306"/>
      <c r="D105" s="41">
        <f>+D104+D103</f>
        <v>0</v>
      </c>
    </row>
    <row r="106" spans="1:4" x14ac:dyDescent="0.2">
      <c r="A106" s="86" t="s">
        <v>105</v>
      </c>
      <c r="B106" s="303" t="s">
        <v>106</v>
      </c>
      <c r="C106" s="304"/>
      <c r="D106" s="90">
        <f>+D100</f>
        <v>0</v>
      </c>
    </row>
    <row r="107" spans="1:4" x14ac:dyDescent="0.2">
      <c r="A107" s="307" t="s">
        <v>48</v>
      </c>
      <c r="B107" s="307"/>
      <c r="C107" s="307"/>
      <c r="D107" s="42">
        <f>+D106+D105</f>
        <v>0</v>
      </c>
    </row>
    <row r="109" spans="1:4" x14ac:dyDescent="0.2">
      <c r="A109" s="291" t="s">
        <v>110</v>
      </c>
      <c r="B109" s="292"/>
      <c r="C109" s="292"/>
      <c r="D109" s="292"/>
    </row>
    <row r="111" spans="1:4" x14ac:dyDescent="0.2">
      <c r="A111" s="39">
        <v>5</v>
      </c>
      <c r="B111" s="299" t="s">
        <v>111</v>
      </c>
      <c r="C111" s="308"/>
      <c r="D111" s="19" t="s">
        <v>29</v>
      </c>
    </row>
    <row r="112" spans="1:4" x14ac:dyDescent="0.2">
      <c r="A112" s="86" t="s">
        <v>6</v>
      </c>
      <c r="B112" s="289" t="s">
        <v>112</v>
      </c>
      <c r="C112" s="289"/>
      <c r="D112" s="84">
        <f>+Uniforme!E12</f>
        <v>0</v>
      </c>
    </row>
    <row r="113" spans="1:4" x14ac:dyDescent="0.2">
      <c r="A113" s="86" t="s">
        <v>74</v>
      </c>
      <c r="B113" s="95" t="s">
        <v>75</v>
      </c>
      <c r="C113" s="87">
        <f>+$C$131+$C$132</f>
        <v>9.2499999999999999E-2</v>
      </c>
      <c r="D113" s="96">
        <f>+(C113*D112)*-1</f>
        <v>0</v>
      </c>
    </row>
    <row r="114" spans="1:4" x14ac:dyDescent="0.2">
      <c r="A114" s="86" t="s">
        <v>8</v>
      </c>
      <c r="B114" s="289" t="s">
        <v>113</v>
      </c>
      <c r="C114" s="289"/>
      <c r="D114" s="84"/>
    </row>
    <row r="115" spans="1:4" x14ac:dyDescent="0.2">
      <c r="A115" s="86" t="s">
        <v>55</v>
      </c>
      <c r="B115" s="95" t="s">
        <v>75</v>
      </c>
      <c r="C115" s="87">
        <f>+$C$131+$C$132</f>
        <v>9.2499999999999999E-2</v>
      </c>
      <c r="D115" s="96">
        <f>+(C115*D114)*-1</f>
        <v>0</v>
      </c>
    </row>
    <row r="116" spans="1:4" x14ac:dyDescent="0.2">
      <c r="A116" s="86" t="s">
        <v>11</v>
      </c>
      <c r="B116" s="289" t="s">
        <v>114</v>
      </c>
      <c r="C116" s="289"/>
      <c r="D116" s="84"/>
    </row>
    <row r="117" spans="1:4" x14ac:dyDescent="0.2">
      <c r="A117" s="86" t="s">
        <v>78</v>
      </c>
      <c r="B117" s="95" t="s">
        <v>75</v>
      </c>
      <c r="C117" s="87">
        <f>+$C$131+$C$132</f>
        <v>9.2499999999999999E-2</v>
      </c>
      <c r="D117" s="96">
        <f>+(C117*D116)*-1</f>
        <v>0</v>
      </c>
    </row>
    <row r="118" spans="1:4" x14ac:dyDescent="0.2">
      <c r="A118" s="86" t="s">
        <v>13</v>
      </c>
      <c r="B118" s="289" t="s">
        <v>47</v>
      </c>
      <c r="C118" s="289"/>
      <c r="D118" s="84"/>
    </row>
    <row r="119" spans="1:4" x14ac:dyDescent="0.2">
      <c r="A119" s="86" t="s">
        <v>79</v>
      </c>
      <c r="B119" s="95" t="s">
        <v>75</v>
      </c>
      <c r="C119" s="87">
        <f>+$C$131+$C$132</f>
        <v>9.2499999999999999E-2</v>
      </c>
      <c r="D119" s="96">
        <f>+(C119*D118)*-1</f>
        <v>0</v>
      </c>
    </row>
    <row r="120" spans="1:4" x14ac:dyDescent="0.2">
      <c r="A120" s="290" t="s">
        <v>48</v>
      </c>
      <c r="B120" s="290"/>
      <c r="C120" s="290"/>
      <c r="D120" s="20">
        <f>SUM(D112:D118)</f>
        <v>0</v>
      </c>
    </row>
    <row r="122" spans="1:4" x14ac:dyDescent="0.2">
      <c r="A122" s="291" t="s">
        <v>115</v>
      </c>
      <c r="B122" s="292"/>
      <c r="C122" s="292"/>
      <c r="D122" s="292"/>
    </row>
    <row r="124" spans="1:4" x14ac:dyDescent="0.2">
      <c r="A124" s="39">
        <v>6</v>
      </c>
      <c r="B124" s="22" t="s">
        <v>116</v>
      </c>
      <c r="C124" s="152" t="s">
        <v>28</v>
      </c>
      <c r="D124" s="19" t="s">
        <v>29</v>
      </c>
    </row>
    <row r="125" spans="1:4" x14ac:dyDescent="0.2">
      <c r="A125" s="101" t="s">
        <v>6</v>
      </c>
      <c r="B125" s="101" t="s">
        <v>117</v>
      </c>
      <c r="C125" s="116">
        <v>0.03</v>
      </c>
      <c r="D125" s="102">
        <f>($D$120+$D$107+$D$75+$D$64+$D$23)*C125</f>
        <v>0</v>
      </c>
    </row>
    <row r="126" spans="1:4" x14ac:dyDescent="0.2">
      <c r="A126" s="101" t="s">
        <v>8</v>
      </c>
      <c r="B126" s="101" t="s">
        <v>118</v>
      </c>
      <c r="C126" s="116">
        <v>0.03</v>
      </c>
      <c r="D126" s="102">
        <f>($D$120+$D$107+$D$75+$D$64+$D$23+D125)*C126</f>
        <v>0</v>
      </c>
    </row>
    <row r="127" spans="1:4" s="44" customFormat="1" x14ac:dyDescent="0.25">
      <c r="A127" s="293" t="s">
        <v>119</v>
      </c>
      <c r="B127" s="294"/>
      <c r="C127" s="295"/>
      <c r="D127" s="43">
        <f>++D126+D125+D120+D107+D75+D64+D23</f>
        <v>0</v>
      </c>
    </row>
    <row r="128" spans="1:4" s="44" customFormat="1" ht="33" customHeight="1" x14ac:dyDescent="0.25">
      <c r="A128" s="296" t="s">
        <v>120</v>
      </c>
      <c r="B128" s="297"/>
      <c r="C128" s="298"/>
      <c r="D128" s="43">
        <f>ROUND(D127/(1-(C131+C132+C134+C136+C137)),2)</f>
        <v>0</v>
      </c>
    </row>
    <row r="129" spans="1:7" x14ac:dyDescent="0.2">
      <c r="A129" s="86" t="s">
        <v>11</v>
      </c>
      <c r="B129" s="86" t="s">
        <v>121</v>
      </c>
      <c r="C129" s="89"/>
      <c r="D129" s="86"/>
    </row>
    <row r="130" spans="1:7" x14ac:dyDescent="0.2">
      <c r="A130" s="86" t="s">
        <v>78</v>
      </c>
      <c r="B130" s="86" t="s">
        <v>122</v>
      </c>
      <c r="C130" s="89"/>
      <c r="D130" s="86"/>
    </row>
    <row r="131" spans="1:7" x14ac:dyDescent="0.2">
      <c r="A131" s="101" t="s">
        <v>123</v>
      </c>
      <c r="B131" s="101" t="s">
        <v>124</v>
      </c>
      <c r="C131" s="116">
        <v>1.6500000000000001E-2</v>
      </c>
      <c r="D131" s="102">
        <f>ROUND(C131*$D$128,2)</f>
        <v>0</v>
      </c>
      <c r="G131" s="117"/>
    </row>
    <row r="132" spans="1:7" x14ac:dyDescent="0.2">
      <c r="A132" s="101" t="s">
        <v>125</v>
      </c>
      <c r="B132" s="101" t="s">
        <v>126</v>
      </c>
      <c r="C132" s="116">
        <v>7.5999999999999998E-2</v>
      </c>
      <c r="D132" s="102">
        <f>ROUND(C132*$D$128,2)</f>
        <v>0</v>
      </c>
      <c r="G132" s="117"/>
    </row>
    <row r="133" spans="1:7" x14ac:dyDescent="0.2">
      <c r="A133" s="86" t="s">
        <v>127</v>
      </c>
      <c r="B133" s="86" t="s">
        <v>128</v>
      </c>
      <c r="C133" s="89"/>
      <c r="D133" s="90"/>
      <c r="G133" s="117"/>
    </row>
    <row r="134" spans="1:7" x14ac:dyDescent="0.2">
      <c r="A134" s="86" t="s">
        <v>129</v>
      </c>
      <c r="B134" s="86" t="s">
        <v>130</v>
      </c>
      <c r="C134" s="89"/>
      <c r="D134" s="86"/>
      <c r="G134" s="117"/>
    </row>
    <row r="135" spans="1:7" x14ac:dyDescent="0.2">
      <c r="A135" s="86" t="s">
        <v>131</v>
      </c>
      <c r="B135" s="86" t="s">
        <v>132</v>
      </c>
      <c r="C135" s="89"/>
      <c r="D135" s="86"/>
    </row>
    <row r="136" spans="1:7" x14ac:dyDescent="0.2">
      <c r="A136" s="101" t="s">
        <v>133</v>
      </c>
      <c r="B136" s="101" t="s">
        <v>134</v>
      </c>
      <c r="C136" s="116">
        <v>0.05</v>
      </c>
      <c r="D136" s="102">
        <f>ROUND(C136*$D$128,2)</f>
        <v>0</v>
      </c>
    </row>
    <row r="137" spans="1:7" x14ac:dyDescent="0.2">
      <c r="A137" s="86" t="s">
        <v>135</v>
      </c>
      <c r="B137" s="86" t="s">
        <v>136</v>
      </c>
      <c r="C137" s="89"/>
      <c r="D137" s="86"/>
    </row>
    <row r="138" spans="1:7" x14ac:dyDescent="0.2">
      <c r="A138" s="86" t="s">
        <v>13</v>
      </c>
      <c r="B138" s="86" t="s">
        <v>248</v>
      </c>
      <c r="C138" s="143"/>
      <c r="D138" s="86"/>
    </row>
    <row r="139" spans="1:7" ht="14.25" x14ac:dyDescent="0.2">
      <c r="A139" s="86" t="s">
        <v>249</v>
      </c>
      <c r="B139" s="86" t="s">
        <v>250</v>
      </c>
      <c r="C139" s="143"/>
      <c r="D139" s="144">
        <f>+D157</f>
        <v>47.08</v>
      </c>
    </row>
    <row r="140" spans="1:7" x14ac:dyDescent="0.2">
      <c r="A140" s="86" t="s">
        <v>251</v>
      </c>
      <c r="B140" s="86" t="s">
        <v>252</v>
      </c>
      <c r="C140" s="143"/>
      <c r="D140" s="144">
        <f>+D158</f>
        <v>126</v>
      </c>
    </row>
    <row r="141" spans="1:7" x14ac:dyDescent="0.2">
      <c r="A141" s="299" t="s">
        <v>48</v>
      </c>
      <c r="B141" s="300"/>
      <c r="C141" s="45">
        <f>+C137+C136+C134+C132+C131+C126+C125</f>
        <v>0.20250000000000001</v>
      </c>
      <c r="D141" s="20">
        <f>+D136+D134+D132+D131+D126+D125+D139+D140</f>
        <v>173.07999999999998</v>
      </c>
    </row>
    <row r="143" spans="1:7" x14ac:dyDescent="0.2">
      <c r="A143" s="301" t="s">
        <v>137</v>
      </c>
      <c r="B143" s="301"/>
      <c r="C143" s="301"/>
      <c r="D143" s="301"/>
    </row>
    <row r="144" spans="1:7" x14ac:dyDescent="0.2">
      <c r="A144" s="86" t="s">
        <v>6</v>
      </c>
      <c r="B144" s="286" t="s">
        <v>138</v>
      </c>
      <c r="C144" s="286"/>
      <c r="D144" s="84">
        <f>+D23</f>
        <v>0</v>
      </c>
    </row>
    <row r="145" spans="1:5" x14ac:dyDescent="0.2">
      <c r="A145" s="86" t="s">
        <v>139</v>
      </c>
      <c r="B145" s="286" t="s">
        <v>140</v>
      </c>
      <c r="C145" s="286"/>
      <c r="D145" s="84">
        <f>+D64</f>
        <v>0</v>
      </c>
    </row>
    <row r="146" spans="1:5" x14ac:dyDescent="0.2">
      <c r="A146" s="86" t="s">
        <v>11</v>
      </c>
      <c r="B146" s="286" t="s">
        <v>141</v>
      </c>
      <c r="C146" s="286"/>
      <c r="D146" s="84">
        <f>+D75</f>
        <v>0</v>
      </c>
    </row>
    <row r="147" spans="1:5" x14ac:dyDescent="0.2">
      <c r="A147" s="86" t="s">
        <v>13</v>
      </c>
      <c r="B147" s="286" t="s">
        <v>142</v>
      </c>
      <c r="C147" s="286"/>
      <c r="D147" s="84">
        <f>+D107</f>
        <v>0</v>
      </c>
    </row>
    <row r="148" spans="1:5" x14ac:dyDescent="0.2">
      <c r="A148" s="86" t="s">
        <v>34</v>
      </c>
      <c r="B148" s="286" t="s">
        <v>143</v>
      </c>
      <c r="C148" s="286"/>
      <c r="D148" s="84">
        <f>+D120</f>
        <v>0</v>
      </c>
    </row>
    <row r="149" spans="1:5" x14ac:dyDescent="0.2">
      <c r="B149" s="287" t="s">
        <v>144</v>
      </c>
      <c r="C149" s="287"/>
      <c r="D149" s="46">
        <f>SUM(D144:D148)</f>
        <v>0</v>
      </c>
    </row>
    <row r="150" spans="1:5" x14ac:dyDescent="0.2">
      <c r="A150" s="86" t="s">
        <v>36</v>
      </c>
      <c r="B150" s="286" t="s">
        <v>145</v>
      </c>
      <c r="C150" s="286"/>
      <c r="D150" s="84">
        <f>+D141</f>
        <v>173.07999999999998</v>
      </c>
    </row>
    <row r="152" spans="1:5" x14ac:dyDescent="0.2">
      <c r="A152" s="288" t="s">
        <v>146</v>
      </c>
      <c r="B152" s="288"/>
      <c r="C152" s="288"/>
      <c r="D152" s="47">
        <f>ROUND(+D150+D149,2)</f>
        <v>173.08</v>
      </c>
    </row>
    <row r="154" spans="1:5" ht="35.25" customHeight="1" x14ac:dyDescent="0.2">
      <c r="A154" s="252" t="s">
        <v>242</v>
      </c>
      <c r="B154" s="252"/>
      <c r="C154" s="252"/>
      <c r="D154" s="252"/>
    </row>
    <row r="155" spans="1:5" x14ac:dyDescent="0.2">
      <c r="A155" s="285" t="s">
        <v>243</v>
      </c>
      <c r="B155" s="285"/>
      <c r="C155" s="285"/>
      <c r="D155" s="285"/>
      <c r="E155" s="118"/>
    </row>
    <row r="156" spans="1:5" ht="22.5" x14ac:dyDescent="0.25">
      <c r="A156" s="2"/>
      <c r="B156" s="138"/>
      <c r="C156" s="139" t="s">
        <v>244</v>
      </c>
      <c r="D156" s="140" t="s">
        <v>245</v>
      </c>
      <c r="E156" s="118"/>
    </row>
    <row r="157" spans="1:5" x14ac:dyDescent="0.2">
      <c r="A157" s="141" t="s">
        <v>246</v>
      </c>
      <c r="B157" s="141"/>
      <c r="C157" s="142">
        <f>ROUND((565/12),2)</f>
        <v>47.08</v>
      </c>
      <c r="D157" s="142">
        <f>ROUND(+C157/+(+Apresentacao!$E$50),2)</f>
        <v>47.08</v>
      </c>
      <c r="E157" s="118"/>
    </row>
    <row r="158" spans="1:5" x14ac:dyDescent="0.2">
      <c r="A158" s="141" t="s">
        <v>247</v>
      </c>
      <c r="B158" s="141"/>
      <c r="C158" s="142">
        <v>126</v>
      </c>
      <c r="D158" s="142">
        <f>ROUND(+C158/+(+Apresentacao!$E$50),2)</f>
        <v>126</v>
      </c>
      <c r="E158" s="118"/>
    </row>
    <row r="159" spans="1:5" x14ac:dyDescent="0.2">
      <c r="A159" s="118"/>
      <c r="B159" s="118"/>
      <c r="C159" s="118"/>
      <c r="D159" s="118"/>
      <c r="E159" s="118"/>
    </row>
    <row r="160" spans="1:5" x14ac:dyDescent="0.2">
      <c r="A160" s="118"/>
      <c r="B160" s="118"/>
      <c r="C160" s="118"/>
      <c r="D160" s="118"/>
      <c r="E160" s="118"/>
    </row>
    <row r="161" spans="1:5" x14ac:dyDescent="0.2">
      <c r="A161" s="118"/>
      <c r="B161" s="118"/>
      <c r="C161" s="118"/>
      <c r="D161" s="118"/>
      <c r="E161" s="118"/>
    </row>
    <row r="162" spans="1:5" x14ac:dyDescent="0.2">
      <c r="A162" s="118"/>
      <c r="B162" s="118"/>
      <c r="C162" s="118"/>
      <c r="D162" s="118"/>
      <c r="E162" s="118"/>
    </row>
    <row r="163" spans="1:5" x14ac:dyDescent="0.2">
      <c r="A163" s="118"/>
      <c r="B163" s="118"/>
      <c r="C163" s="118"/>
      <c r="D163" s="118"/>
      <c r="E163" s="118"/>
    </row>
    <row r="164" spans="1:5" x14ac:dyDescent="0.2">
      <c r="A164" s="118"/>
      <c r="B164" s="118"/>
      <c r="C164" s="118"/>
      <c r="D164" s="118"/>
      <c r="E164" s="118"/>
    </row>
    <row r="165" spans="1:5" x14ac:dyDescent="0.2">
      <c r="A165" s="118"/>
      <c r="B165" s="118"/>
      <c r="C165" s="118"/>
      <c r="D165" s="118"/>
      <c r="E165" s="118"/>
    </row>
    <row r="166" spans="1:5" x14ac:dyDescent="0.2">
      <c r="A166" s="118"/>
      <c r="B166" s="118"/>
      <c r="C166" s="118"/>
      <c r="D166" s="118"/>
      <c r="E166" s="118"/>
    </row>
  </sheetData>
  <mergeCells count="79">
    <mergeCell ref="B17:C17"/>
    <mergeCell ref="A1:D1"/>
    <mergeCell ref="A3:D3"/>
    <mergeCell ref="C4:D4"/>
    <mergeCell ref="C5:D5"/>
    <mergeCell ref="C6:D6"/>
    <mergeCell ref="C7:D7"/>
    <mergeCell ref="C8:D8"/>
    <mergeCell ref="A10:D10"/>
    <mergeCell ref="B12:C12"/>
    <mergeCell ref="B15:C15"/>
    <mergeCell ref="B16:C16"/>
    <mergeCell ref="A59:D59"/>
    <mergeCell ref="B18:C18"/>
    <mergeCell ref="B19:C19"/>
    <mergeCell ref="B21:C21"/>
    <mergeCell ref="B22:C22"/>
    <mergeCell ref="A23:C23"/>
    <mergeCell ref="A25:D25"/>
    <mergeCell ref="A27:D27"/>
    <mergeCell ref="A33:C33"/>
    <mergeCell ref="A35:D35"/>
    <mergeCell ref="A47:D47"/>
    <mergeCell ref="A57:B57"/>
    <mergeCell ref="B82:C82"/>
    <mergeCell ref="B60:C60"/>
    <mergeCell ref="B61:C61"/>
    <mergeCell ref="B62:C62"/>
    <mergeCell ref="B63:C63"/>
    <mergeCell ref="A64:C64"/>
    <mergeCell ref="A66:D66"/>
    <mergeCell ref="A75:C75"/>
    <mergeCell ref="A77:D77"/>
    <mergeCell ref="A79:D79"/>
    <mergeCell ref="B80:C80"/>
    <mergeCell ref="B81:C81"/>
    <mergeCell ref="B95:C95"/>
    <mergeCell ref="B83:C83"/>
    <mergeCell ref="B84:C84"/>
    <mergeCell ref="B85:C85"/>
    <mergeCell ref="B86:C86"/>
    <mergeCell ref="B87:C87"/>
    <mergeCell ref="B88:C88"/>
    <mergeCell ref="A89:C89"/>
    <mergeCell ref="B91:C91"/>
    <mergeCell ref="B92:C92"/>
    <mergeCell ref="B93:C93"/>
    <mergeCell ref="B94:C94"/>
    <mergeCell ref="B112:C112"/>
    <mergeCell ref="A96:C96"/>
    <mergeCell ref="B98:C98"/>
    <mergeCell ref="B99:C99"/>
    <mergeCell ref="A100:C100"/>
    <mergeCell ref="B103:C103"/>
    <mergeCell ref="B104:C104"/>
    <mergeCell ref="B105:C105"/>
    <mergeCell ref="B106:C106"/>
    <mergeCell ref="A107:C107"/>
    <mergeCell ref="A109:D109"/>
    <mergeCell ref="B111:C111"/>
    <mergeCell ref="B146:C146"/>
    <mergeCell ref="B114:C114"/>
    <mergeCell ref="B116:C116"/>
    <mergeCell ref="B118:C118"/>
    <mergeCell ref="A120:C120"/>
    <mergeCell ref="A122:D122"/>
    <mergeCell ref="A127:C127"/>
    <mergeCell ref="A128:C128"/>
    <mergeCell ref="A141:B141"/>
    <mergeCell ref="A143:D143"/>
    <mergeCell ref="B144:C144"/>
    <mergeCell ref="B145:C145"/>
    <mergeCell ref="A155:D155"/>
    <mergeCell ref="B147:C147"/>
    <mergeCell ref="B148:C148"/>
    <mergeCell ref="B149:C149"/>
    <mergeCell ref="B150:C150"/>
    <mergeCell ref="A152:C152"/>
    <mergeCell ref="A154:D154"/>
  </mergeCells>
  <pageMargins left="0.51181102362204722" right="0.51181102362204722" top="0.35433070866141736" bottom="0.51181102362204722" header="0.31496062992125984" footer="0.31496062992125984"/>
  <pageSetup paperSize="9" scale="70" orientation="portrait" r:id="rId1"/>
  <headerFooter>
    <oddFooter>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127"/>
  <sheetViews>
    <sheetView topLeftCell="A79" workbookViewId="0">
      <selection activeCell="B110" sqref="B110:B111"/>
    </sheetView>
  </sheetViews>
  <sheetFormatPr defaultRowHeight="12.75" x14ac:dyDescent="0.2"/>
  <cols>
    <col min="1" max="1" width="73.7109375" style="71" customWidth="1"/>
    <col min="2" max="2" width="16.42578125" style="71" bestFit="1" customWidth="1"/>
    <col min="3" max="3" width="13.85546875" style="71" bestFit="1" customWidth="1"/>
    <col min="4" max="4" width="10.7109375" style="71" bestFit="1" customWidth="1"/>
    <col min="5" max="5" width="79" style="71" customWidth="1"/>
    <col min="6" max="16384" width="9.140625" style="71"/>
  </cols>
  <sheetData>
    <row r="1" spans="1:3" ht="33" customHeight="1" x14ac:dyDescent="0.2">
      <c r="A1" s="352" t="s">
        <v>336</v>
      </c>
      <c r="B1" s="352"/>
      <c r="C1" s="352"/>
    </row>
    <row r="3" spans="1:3" x14ac:dyDescent="0.2">
      <c r="A3" s="86" t="s">
        <v>147</v>
      </c>
      <c r="B3" s="86">
        <v>220</v>
      </c>
    </row>
    <row r="4" spans="1:3" x14ac:dyDescent="0.2">
      <c r="A4" s="86" t="s">
        <v>148</v>
      </c>
      <c r="B4" s="86">
        <v>365.25</v>
      </c>
    </row>
    <row r="5" spans="1:3" x14ac:dyDescent="0.2">
      <c r="A5" s="86" t="s">
        <v>149</v>
      </c>
      <c r="B5" s="49">
        <f>(365.25/12)/(7/5)</f>
        <v>21.741071428571431</v>
      </c>
    </row>
    <row r="6" spans="1:3" x14ac:dyDescent="0.2">
      <c r="A6" s="95" t="s">
        <v>30</v>
      </c>
      <c r="B6" s="90">
        <f>+'Aux Coz 44'!D12</f>
        <v>0</v>
      </c>
    </row>
    <row r="7" spans="1:3" x14ac:dyDescent="0.2">
      <c r="A7" s="95" t="s">
        <v>150</v>
      </c>
      <c r="B7" s="90">
        <f>+'Aux Coz 44'!D23</f>
        <v>0</v>
      </c>
    </row>
    <row r="9" spans="1:3" x14ac:dyDescent="0.2">
      <c r="A9" s="353" t="s">
        <v>151</v>
      </c>
      <c r="B9" s="354"/>
      <c r="C9" s="355"/>
    </row>
    <row r="10" spans="1:3" x14ac:dyDescent="0.2">
      <c r="A10" s="86" t="s">
        <v>152</v>
      </c>
      <c r="B10" s="86">
        <f>+$B$4</f>
        <v>365.25</v>
      </c>
      <c r="C10" s="107"/>
    </row>
    <row r="11" spans="1:3" x14ac:dyDescent="0.2">
      <c r="A11" s="86" t="s">
        <v>153</v>
      </c>
      <c r="B11" s="95">
        <v>12</v>
      </c>
      <c r="C11" s="107"/>
    </row>
    <row r="12" spans="1:3" x14ac:dyDescent="0.2">
      <c r="A12" s="86" t="s">
        <v>154</v>
      </c>
      <c r="B12" s="89">
        <v>1</v>
      </c>
      <c r="C12" s="107"/>
    </row>
    <row r="13" spans="1:3" x14ac:dyDescent="0.2">
      <c r="A13" s="95" t="s">
        <v>155</v>
      </c>
      <c r="B13" s="119">
        <f>+B5</f>
        <v>21.741071428571431</v>
      </c>
      <c r="C13" s="107"/>
    </row>
    <row r="14" spans="1:3" x14ac:dyDescent="0.2">
      <c r="A14" s="101" t="s">
        <v>156</v>
      </c>
      <c r="B14" s="120"/>
      <c r="C14" s="107"/>
    </row>
    <row r="15" spans="1:3" x14ac:dyDescent="0.2">
      <c r="A15" s="86" t="s">
        <v>157</v>
      </c>
      <c r="B15" s="89">
        <v>0.06</v>
      </c>
      <c r="C15" s="107"/>
    </row>
    <row r="16" spans="1:3" x14ac:dyDescent="0.2">
      <c r="A16" s="334" t="s">
        <v>158</v>
      </c>
      <c r="B16" s="335"/>
      <c r="C16" s="48">
        <f>ROUND((B13*(B14*2)-($B$6*B15)),2)</f>
        <v>0</v>
      </c>
    </row>
    <row r="18" spans="1:3" x14ac:dyDescent="0.2">
      <c r="A18" s="353" t="s">
        <v>159</v>
      </c>
      <c r="B18" s="354"/>
      <c r="C18" s="355"/>
    </row>
    <row r="19" spans="1:3" x14ac:dyDescent="0.2">
      <c r="A19" s="86" t="s">
        <v>152</v>
      </c>
      <c r="B19" s="86">
        <f>+$B$4</f>
        <v>365.25</v>
      </c>
      <c r="C19" s="107"/>
    </row>
    <row r="20" spans="1:3" x14ac:dyDescent="0.2">
      <c r="A20" s="86" t="s">
        <v>153</v>
      </c>
      <c r="B20" s="95">
        <v>12</v>
      </c>
      <c r="C20" s="107"/>
    </row>
    <row r="21" spans="1:3" x14ac:dyDescent="0.2">
      <c r="A21" s="86" t="s">
        <v>154</v>
      </c>
      <c r="B21" s="89">
        <v>1</v>
      </c>
      <c r="C21" s="107"/>
    </row>
    <row r="22" spans="1:3" x14ac:dyDescent="0.2">
      <c r="A22" s="95" t="s">
        <v>155</v>
      </c>
      <c r="B22" s="119">
        <f>+B5</f>
        <v>21.741071428571431</v>
      </c>
      <c r="C22" s="107"/>
    </row>
    <row r="23" spans="1:3" x14ac:dyDescent="0.2">
      <c r="A23" s="101" t="s">
        <v>160</v>
      </c>
      <c r="B23" s="120"/>
      <c r="C23" s="107"/>
    </row>
    <row r="24" spans="1:3" x14ac:dyDescent="0.2">
      <c r="A24" s="86" t="s">
        <v>161</v>
      </c>
      <c r="B24" s="89">
        <v>0.1</v>
      </c>
      <c r="C24" s="107"/>
    </row>
    <row r="25" spans="1:3" x14ac:dyDescent="0.2">
      <c r="A25" s="334" t="s">
        <v>160</v>
      </c>
      <c r="B25" s="335"/>
      <c r="C25" s="48">
        <f>ROUND((B22*(B23)-((B22*B23)*B24)),2)</f>
        <v>0</v>
      </c>
    </row>
    <row r="27" spans="1:3" x14ac:dyDescent="0.2">
      <c r="A27" s="353" t="s">
        <v>162</v>
      </c>
      <c r="B27" s="354"/>
      <c r="C27" s="355"/>
    </row>
    <row r="28" spans="1:3" x14ac:dyDescent="0.2">
      <c r="A28" s="86" t="s">
        <v>163</v>
      </c>
      <c r="B28" s="90">
        <f>+B7</f>
        <v>0</v>
      </c>
      <c r="C28" s="107"/>
    </row>
    <row r="29" spans="1:3" x14ac:dyDescent="0.2">
      <c r="A29" s="86" t="s">
        <v>164</v>
      </c>
      <c r="B29" s="86">
        <v>12</v>
      </c>
      <c r="C29" s="107"/>
    </row>
    <row r="30" spans="1:3" x14ac:dyDescent="0.2">
      <c r="A30" s="101" t="s">
        <v>165</v>
      </c>
      <c r="B30" s="116"/>
      <c r="C30" s="107"/>
    </row>
    <row r="31" spans="1:3" x14ac:dyDescent="0.2">
      <c r="A31" s="334" t="s">
        <v>166</v>
      </c>
      <c r="B31" s="335"/>
      <c r="C31" s="48">
        <f>ROUND(+(B28/B29)*B30,2)</f>
        <v>0</v>
      </c>
    </row>
    <row r="33" spans="1:3" x14ac:dyDescent="0.2">
      <c r="A33" s="336" t="s">
        <v>167</v>
      </c>
      <c r="B33" s="337"/>
      <c r="C33" s="338"/>
    </row>
    <row r="34" spans="1:3" s="97" customFormat="1" x14ac:dyDescent="0.2">
      <c r="A34" s="121" t="s">
        <v>168</v>
      </c>
      <c r="B34" s="116">
        <f>+B30</f>
        <v>0</v>
      </c>
      <c r="C34" s="107"/>
    </row>
    <row r="35" spans="1:3" x14ac:dyDescent="0.2">
      <c r="A35" s="86" t="s">
        <v>169</v>
      </c>
      <c r="B35" s="90">
        <f>+'Aux Coz 44'!$D$23</f>
        <v>0</v>
      </c>
      <c r="C35" s="107"/>
    </row>
    <row r="36" spans="1:3" x14ac:dyDescent="0.2">
      <c r="A36" s="86" t="s">
        <v>53</v>
      </c>
      <c r="B36" s="90">
        <f>+'Aux Coz 44'!$D$29</f>
        <v>0</v>
      </c>
      <c r="C36" s="107"/>
    </row>
    <row r="37" spans="1:3" x14ac:dyDescent="0.2">
      <c r="A37" s="86" t="s">
        <v>56</v>
      </c>
      <c r="B37" s="90">
        <f>+'Aux Coz 44'!$D$31</f>
        <v>0</v>
      </c>
      <c r="C37" s="107"/>
    </row>
    <row r="38" spans="1:3" x14ac:dyDescent="0.2">
      <c r="A38" s="86" t="s">
        <v>58</v>
      </c>
      <c r="B38" s="90">
        <f>+'Aux Coz 44'!$D$32</f>
        <v>0</v>
      </c>
      <c r="C38" s="107"/>
    </row>
    <row r="39" spans="1:3" x14ac:dyDescent="0.2">
      <c r="A39" s="50" t="s">
        <v>170</v>
      </c>
      <c r="B39" s="51">
        <f>SUM(B35:B38)</f>
        <v>0</v>
      </c>
      <c r="C39" s="107"/>
    </row>
    <row r="40" spans="1:3" x14ac:dyDescent="0.2">
      <c r="A40" s="95" t="s">
        <v>171</v>
      </c>
      <c r="B40" s="89">
        <v>0.4</v>
      </c>
      <c r="C40" s="107"/>
    </row>
    <row r="41" spans="1:3" x14ac:dyDescent="0.2">
      <c r="A41" s="95" t="s">
        <v>172</v>
      </c>
      <c r="B41" s="89">
        <f>+'Aux Coz 44'!$C$44</f>
        <v>0.08</v>
      </c>
      <c r="C41" s="107"/>
    </row>
    <row r="42" spans="1:3" x14ac:dyDescent="0.2">
      <c r="A42" s="305" t="s">
        <v>173</v>
      </c>
      <c r="B42" s="306"/>
      <c r="C42" s="41">
        <f>ROUND(+B39*B40*B41*B34,2)</f>
        <v>0</v>
      </c>
    </row>
    <row r="43" spans="1:3" x14ac:dyDescent="0.2">
      <c r="A43" s="334" t="s">
        <v>174</v>
      </c>
      <c r="B43" s="335"/>
      <c r="C43" s="42">
        <f>+C42</f>
        <v>0</v>
      </c>
    </row>
    <row r="45" spans="1:3" x14ac:dyDescent="0.2">
      <c r="A45" s="353" t="s">
        <v>175</v>
      </c>
      <c r="B45" s="354"/>
      <c r="C45" s="355"/>
    </row>
    <row r="46" spans="1:3" x14ac:dyDescent="0.2">
      <c r="A46" s="86" t="s">
        <v>163</v>
      </c>
      <c r="B46" s="90">
        <f>+B7</f>
        <v>0</v>
      </c>
      <c r="C46" s="107"/>
    </row>
    <row r="47" spans="1:3" x14ac:dyDescent="0.2">
      <c r="A47" s="86" t="s">
        <v>176</v>
      </c>
      <c r="B47" s="122">
        <v>30</v>
      </c>
      <c r="C47" s="107"/>
    </row>
    <row r="48" spans="1:3" x14ac:dyDescent="0.2">
      <c r="A48" s="86" t="s">
        <v>164</v>
      </c>
      <c r="B48" s="86">
        <v>12</v>
      </c>
      <c r="C48" s="107"/>
    </row>
    <row r="49" spans="1:3" x14ac:dyDescent="0.2">
      <c r="A49" s="86" t="s">
        <v>177</v>
      </c>
      <c r="B49" s="86">
        <v>7</v>
      </c>
      <c r="C49" s="107"/>
    </row>
    <row r="50" spans="1:3" x14ac:dyDescent="0.2">
      <c r="A50" s="101" t="s">
        <v>178</v>
      </c>
      <c r="B50" s="116"/>
      <c r="C50" s="107"/>
    </row>
    <row r="51" spans="1:3" x14ac:dyDescent="0.2">
      <c r="A51" s="334" t="s">
        <v>179</v>
      </c>
      <c r="B51" s="335"/>
      <c r="C51" s="48">
        <f>+ROUND(((B46/B47/B48)*B49)*B50,2)</f>
        <v>0</v>
      </c>
    </row>
    <row r="53" spans="1:3" x14ac:dyDescent="0.2">
      <c r="A53" s="336" t="s">
        <v>180</v>
      </c>
      <c r="B53" s="337"/>
      <c r="C53" s="338"/>
    </row>
    <row r="54" spans="1:3" x14ac:dyDescent="0.2">
      <c r="A54" s="121" t="s">
        <v>181</v>
      </c>
      <c r="B54" s="116">
        <f>+B50</f>
        <v>0</v>
      </c>
      <c r="C54" s="107"/>
    </row>
    <row r="55" spans="1:3" x14ac:dyDescent="0.2">
      <c r="A55" s="86" t="s">
        <v>169</v>
      </c>
      <c r="B55" s="90">
        <f>+'Aux Coz 44'!$D$23</f>
        <v>0</v>
      </c>
      <c r="C55" s="107"/>
    </row>
    <row r="56" spans="1:3" x14ac:dyDescent="0.2">
      <c r="A56" s="86" t="s">
        <v>53</v>
      </c>
      <c r="B56" s="90">
        <f>+'Aux Coz 44'!$D$29</f>
        <v>0</v>
      </c>
      <c r="C56" s="107"/>
    </row>
    <row r="57" spans="1:3" x14ac:dyDescent="0.2">
      <c r="A57" s="86" t="s">
        <v>56</v>
      </c>
      <c r="B57" s="90">
        <f>+'Aux Coz 44'!$D$31</f>
        <v>0</v>
      </c>
      <c r="C57" s="107"/>
    </row>
    <row r="58" spans="1:3" x14ac:dyDescent="0.2">
      <c r="A58" s="86" t="s">
        <v>58</v>
      </c>
      <c r="B58" s="90">
        <f>+'Aux Coz 44'!$D$32</f>
        <v>0</v>
      </c>
      <c r="C58" s="107"/>
    </row>
    <row r="59" spans="1:3" x14ac:dyDescent="0.2">
      <c r="A59" s="50" t="s">
        <v>170</v>
      </c>
      <c r="B59" s="51">
        <f>SUM(B55:B58)</f>
        <v>0</v>
      </c>
      <c r="C59" s="107"/>
    </row>
    <row r="60" spans="1:3" x14ac:dyDescent="0.2">
      <c r="A60" s="95" t="s">
        <v>171</v>
      </c>
      <c r="B60" s="89">
        <v>0.4</v>
      </c>
      <c r="C60" s="107"/>
    </row>
    <row r="61" spans="1:3" x14ac:dyDescent="0.2">
      <c r="A61" s="95" t="s">
        <v>172</v>
      </c>
      <c r="B61" s="89">
        <f>+'Aux Coz 44'!$C$44</f>
        <v>0.08</v>
      </c>
      <c r="C61" s="107"/>
    </row>
    <row r="62" spans="1:3" x14ac:dyDescent="0.2">
      <c r="A62" s="305" t="s">
        <v>173</v>
      </c>
      <c r="B62" s="306"/>
      <c r="C62" s="41">
        <f>ROUND(+B59*B60*B61*B54,2)</f>
        <v>0</v>
      </c>
    </row>
    <row r="63" spans="1:3" x14ac:dyDescent="0.2">
      <c r="A63" s="334" t="s">
        <v>182</v>
      </c>
      <c r="B63" s="335"/>
      <c r="C63" s="42">
        <f>+C62</f>
        <v>0</v>
      </c>
    </row>
    <row r="65" spans="1:3" x14ac:dyDescent="0.2">
      <c r="A65" s="336" t="s">
        <v>183</v>
      </c>
      <c r="B65" s="337"/>
      <c r="C65" s="338"/>
    </row>
    <row r="66" spans="1:3" x14ac:dyDescent="0.2">
      <c r="A66" s="343" t="s">
        <v>184</v>
      </c>
      <c r="B66" s="344"/>
      <c r="C66" s="345"/>
    </row>
    <row r="67" spans="1:3" x14ac:dyDescent="0.2">
      <c r="A67" s="346"/>
      <c r="B67" s="347"/>
      <c r="C67" s="348"/>
    </row>
    <row r="68" spans="1:3" x14ac:dyDescent="0.2">
      <c r="A68" s="346"/>
      <c r="B68" s="347"/>
      <c r="C68" s="348"/>
    </row>
    <row r="69" spans="1:3" x14ac:dyDescent="0.2">
      <c r="A69" s="349"/>
      <c r="B69" s="350"/>
      <c r="C69" s="351"/>
    </row>
    <row r="70" spans="1:3" x14ac:dyDescent="0.2">
      <c r="A70" s="123"/>
      <c r="B70" s="123"/>
      <c r="C70" s="123"/>
    </row>
    <row r="71" spans="1:3" x14ac:dyDescent="0.2">
      <c r="A71" s="336" t="s">
        <v>185</v>
      </c>
      <c r="B71" s="337"/>
      <c r="C71" s="338"/>
    </row>
    <row r="72" spans="1:3" x14ac:dyDescent="0.2">
      <c r="A72" s="86" t="s">
        <v>186</v>
      </c>
      <c r="B72" s="90">
        <f>+$B$7</f>
        <v>0</v>
      </c>
      <c r="C72" s="107"/>
    </row>
    <row r="73" spans="1:3" x14ac:dyDescent="0.2">
      <c r="A73" s="86" t="s">
        <v>153</v>
      </c>
      <c r="B73" s="86">
        <v>30</v>
      </c>
      <c r="C73" s="107"/>
    </row>
    <row r="74" spans="1:3" x14ac:dyDescent="0.2">
      <c r="A74" s="86" t="s">
        <v>187</v>
      </c>
      <c r="B74" s="86">
        <v>12</v>
      </c>
      <c r="C74" s="107"/>
    </row>
    <row r="75" spans="1:3" x14ac:dyDescent="0.2">
      <c r="A75" s="101" t="s">
        <v>188</v>
      </c>
      <c r="B75" s="101"/>
      <c r="C75" s="107"/>
    </row>
    <row r="76" spans="1:3" x14ac:dyDescent="0.2">
      <c r="A76" s="334" t="s">
        <v>189</v>
      </c>
      <c r="B76" s="335"/>
      <c r="C76" s="36">
        <f>+ROUND((B72/B73/B74)*B75,2)</f>
        <v>0</v>
      </c>
    </row>
    <row r="78" spans="1:3" x14ac:dyDescent="0.2">
      <c r="A78" s="336" t="s">
        <v>190</v>
      </c>
      <c r="B78" s="337"/>
      <c r="C78" s="338"/>
    </row>
    <row r="79" spans="1:3" x14ac:dyDescent="0.2">
      <c r="A79" s="86" t="s">
        <v>186</v>
      </c>
      <c r="B79" s="90">
        <f>+$B$7</f>
        <v>0</v>
      </c>
      <c r="C79" s="107"/>
    </row>
    <row r="80" spans="1:3" x14ac:dyDescent="0.2">
      <c r="A80" s="86" t="s">
        <v>153</v>
      </c>
      <c r="B80" s="86">
        <v>30</v>
      </c>
      <c r="C80" s="107"/>
    </row>
    <row r="81" spans="1:3" x14ac:dyDescent="0.2">
      <c r="A81" s="86" t="s">
        <v>187</v>
      </c>
      <c r="B81" s="86">
        <v>12</v>
      </c>
      <c r="C81" s="107"/>
    </row>
    <row r="82" spans="1:3" x14ac:dyDescent="0.2">
      <c r="A82" s="95" t="s">
        <v>191</v>
      </c>
      <c r="B82" s="86">
        <v>5</v>
      </c>
      <c r="C82" s="107"/>
    </row>
    <row r="83" spans="1:3" x14ac:dyDescent="0.2">
      <c r="A83" s="101" t="s">
        <v>192</v>
      </c>
      <c r="B83" s="116"/>
      <c r="C83" s="107"/>
    </row>
    <row r="84" spans="1:3" x14ac:dyDescent="0.2">
      <c r="A84" s="101" t="s">
        <v>193</v>
      </c>
      <c r="B84" s="116"/>
      <c r="C84" s="107"/>
    </row>
    <row r="85" spans="1:3" x14ac:dyDescent="0.2">
      <c r="A85" s="334" t="s">
        <v>194</v>
      </c>
      <c r="B85" s="335"/>
      <c r="C85" s="48">
        <f>ROUND(+B79/B80/B81*B82*B83*B84,2)</f>
        <v>0</v>
      </c>
    </row>
    <row r="87" spans="1:3" x14ac:dyDescent="0.2">
      <c r="A87" s="336" t="s">
        <v>195</v>
      </c>
      <c r="B87" s="337"/>
      <c r="C87" s="338"/>
    </row>
    <row r="88" spans="1:3" x14ac:dyDescent="0.2">
      <c r="A88" s="86" t="s">
        <v>186</v>
      </c>
      <c r="B88" s="90">
        <f>+$B$7</f>
        <v>0</v>
      </c>
      <c r="C88" s="107"/>
    </row>
    <row r="89" spans="1:3" x14ac:dyDescent="0.2">
      <c r="A89" s="86" t="s">
        <v>153</v>
      </c>
      <c r="B89" s="86">
        <v>30</v>
      </c>
      <c r="C89" s="107"/>
    </row>
    <row r="90" spans="1:3" x14ac:dyDescent="0.2">
      <c r="A90" s="86" t="s">
        <v>187</v>
      </c>
      <c r="B90" s="86">
        <v>12</v>
      </c>
      <c r="C90" s="107"/>
    </row>
    <row r="91" spans="1:3" x14ac:dyDescent="0.2">
      <c r="A91" s="95" t="s">
        <v>196</v>
      </c>
      <c r="B91" s="86">
        <v>15</v>
      </c>
      <c r="C91" s="107"/>
    </row>
    <row r="92" spans="1:3" x14ac:dyDescent="0.2">
      <c r="A92" s="101" t="s">
        <v>197</v>
      </c>
      <c r="B92" s="116"/>
      <c r="C92" s="107"/>
    </row>
    <row r="93" spans="1:3" x14ac:dyDescent="0.2">
      <c r="A93" s="334" t="s">
        <v>198</v>
      </c>
      <c r="B93" s="335"/>
      <c r="C93" s="48">
        <f>ROUND(+B88/B89/B90*B91*B92,2)</f>
        <v>0</v>
      </c>
    </row>
    <row r="95" spans="1:3" x14ac:dyDescent="0.2">
      <c r="A95" s="336" t="s">
        <v>199</v>
      </c>
      <c r="B95" s="337"/>
      <c r="C95" s="338"/>
    </row>
    <row r="96" spans="1:3" x14ac:dyDescent="0.2">
      <c r="A96" s="86" t="s">
        <v>186</v>
      </c>
      <c r="B96" s="90">
        <f>+$B$7</f>
        <v>0</v>
      </c>
      <c r="C96" s="107"/>
    </row>
    <row r="97" spans="1:3" x14ac:dyDescent="0.2">
      <c r="A97" s="86" t="s">
        <v>153</v>
      </c>
      <c r="B97" s="86">
        <v>30</v>
      </c>
      <c r="C97" s="107"/>
    </row>
    <row r="98" spans="1:3" x14ac:dyDescent="0.2">
      <c r="A98" s="86" t="s">
        <v>187</v>
      </c>
      <c r="B98" s="86">
        <v>12</v>
      </c>
      <c r="C98" s="107"/>
    </row>
    <row r="99" spans="1:3" x14ac:dyDescent="0.2">
      <c r="A99" s="95" t="s">
        <v>196</v>
      </c>
      <c r="B99" s="86">
        <v>5</v>
      </c>
      <c r="C99" s="107"/>
    </row>
    <row r="100" spans="1:3" x14ac:dyDescent="0.2">
      <c r="A100" s="101" t="s">
        <v>200</v>
      </c>
      <c r="B100" s="116"/>
      <c r="C100" s="107"/>
    </row>
    <row r="101" spans="1:3" x14ac:dyDescent="0.2">
      <c r="A101" s="334" t="s">
        <v>201</v>
      </c>
      <c r="B101" s="335"/>
      <c r="C101" s="48">
        <f>ROUND(+B96/B97/B98*B99*B100,2)</f>
        <v>0</v>
      </c>
    </row>
    <row r="103" spans="1:3" x14ac:dyDescent="0.2">
      <c r="A103" s="336" t="s">
        <v>202</v>
      </c>
      <c r="B103" s="337"/>
      <c r="C103" s="338"/>
    </row>
    <row r="104" spans="1:3" x14ac:dyDescent="0.2">
      <c r="A104" s="339" t="s">
        <v>203</v>
      </c>
      <c r="B104" s="340"/>
      <c r="C104" s="341"/>
    </row>
    <row r="105" spans="1:3" x14ac:dyDescent="0.2">
      <c r="A105" s="86" t="s">
        <v>186</v>
      </c>
      <c r="B105" s="90">
        <f>+$B$7</f>
        <v>0</v>
      </c>
      <c r="C105" s="107"/>
    </row>
    <row r="106" spans="1:3" x14ac:dyDescent="0.2">
      <c r="A106" s="86" t="s">
        <v>204</v>
      </c>
      <c r="B106" s="90">
        <f>+B105*(1/3)</f>
        <v>0</v>
      </c>
      <c r="C106" s="107"/>
    </row>
    <row r="107" spans="1:3" x14ac:dyDescent="0.2">
      <c r="A107" s="50" t="s">
        <v>170</v>
      </c>
      <c r="B107" s="51">
        <f>SUM(B105:B106)</f>
        <v>0</v>
      </c>
      <c r="C107" s="107"/>
    </row>
    <row r="108" spans="1:3" x14ac:dyDescent="0.2">
      <c r="A108" s="86" t="s">
        <v>205</v>
      </c>
      <c r="B108" s="86">
        <v>4</v>
      </c>
      <c r="C108" s="107"/>
    </row>
    <row r="109" spans="1:3" x14ac:dyDescent="0.2">
      <c r="A109" s="86" t="s">
        <v>187</v>
      </c>
      <c r="B109" s="86">
        <v>12</v>
      </c>
      <c r="C109" s="107"/>
    </row>
    <row r="110" spans="1:3" x14ac:dyDescent="0.2">
      <c r="A110" s="101" t="s">
        <v>206</v>
      </c>
      <c r="B110" s="116"/>
      <c r="C110" s="107"/>
    </row>
    <row r="111" spans="1:3" x14ac:dyDescent="0.2">
      <c r="A111" s="101" t="s">
        <v>207</v>
      </c>
      <c r="B111" s="116"/>
      <c r="C111" s="107"/>
    </row>
    <row r="112" spans="1:3" x14ac:dyDescent="0.2">
      <c r="A112" s="334" t="s">
        <v>208</v>
      </c>
      <c r="B112" s="335"/>
      <c r="C112" s="48">
        <f>ROUND((((+B107*(B108/B109)/B109)*B110)*B111),2)</f>
        <v>0</v>
      </c>
    </row>
    <row r="113" spans="1:3" x14ac:dyDescent="0.2">
      <c r="A113" s="334" t="s">
        <v>209</v>
      </c>
      <c r="B113" s="342"/>
      <c r="C113" s="335"/>
    </row>
    <row r="114" spans="1:3" x14ac:dyDescent="0.2">
      <c r="A114" s="86" t="s">
        <v>186</v>
      </c>
      <c r="B114" s="90">
        <f>+'Aux Coz 44'!D23</f>
        <v>0</v>
      </c>
      <c r="C114" s="107"/>
    </row>
    <row r="115" spans="1:3" x14ac:dyDescent="0.2">
      <c r="A115" s="86" t="s">
        <v>53</v>
      </c>
      <c r="B115" s="90">
        <f>+'Aux Coz 44'!D29</f>
        <v>0</v>
      </c>
      <c r="C115" s="107"/>
    </row>
    <row r="116" spans="1:3" x14ac:dyDescent="0.2">
      <c r="A116" s="50" t="s">
        <v>170</v>
      </c>
      <c r="B116" s="51">
        <f>SUM(B114:B115)</f>
        <v>0</v>
      </c>
      <c r="C116" s="107"/>
    </row>
    <row r="117" spans="1:3" x14ac:dyDescent="0.2">
      <c r="A117" s="86" t="s">
        <v>205</v>
      </c>
      <c r="B117" s="86">
        <v>4</v>
      </c>
      <c r="C117" s="107"/>
    </row>
    <row r="118" spans="1:3" x14ac:dyDescent="0.2">
      <c r="A118" s="86" t="s">
        <v>187</v>
      </c>
      <c r="B118" s="86">
        <v>12</v>
      </c>
      <c r="C118" s="107"/>
    </row>
    <row r="119" spans="1:3" x14ac:dyDescent="0.2">
      <c r="A119" s="101" t="s">
        <v>206</v>
      </c>
      <c r="B119" s="116">
        <f>+B110</f>
        <v>0</v>
      </c>
      <c r="C119" s="107"/>
    </row>
    <row r="120" spans="1:3" x14ac:dyDescent="0.2">
      <c r="A120" s="101" t="s">
        <v>207</v>
      </c>
      <c r="B120" s="116">
        <f>+B111</f>
        <v>0</v>
      </c>
      <c r="C120" s="107"/>
    </row>
    <row r="121" spans="1:3" x14ac:dyDescent="0.2">
      <c r="A121" s="95" t="s">
        <v>210</v>
      </c>
      <c r="B121" s="89">
        <f>+'Aux Coz 44'!C45</f>
        <v>0.36800000000000005</v>
      </c>
      <c r="C121" s="107"/>
    </row>
    <row r="122" spans="1:3" x14ac:dyDescent="0.2">
      <c r="A122" s="334" t="s">
        <v>211</v>
      </c>
      <c r="B122" s="335"/>
      <c r="C122" s="42">
        <f>ROUND((((B116*(B117/B118)*B119)*B120)*B121),2)</f>
        <v>0</v>
      </c>
    </row>
    <row r="124" spans="1:3" ht="30.75" customHeight="1" x14ac:dyDescent="0.2">
      <c r="A124" s="333" t="s">
        <v>337</v>
      </c>
      <c r="B124" s="333"/>
      <c r="C124" s="333"/>
    </row>
    <row r="125" spans="1:3" x14ac:dyDescent="0.2">
      <c r="C125" s="124"/>
    </row>
    <row r="126" spans="1:3" x14ac:dyDescent="0.2">
      <c r="C126" s="112"/>
    </row>
    <row r="127" spans="1:3" x14ac:dyDescent="0.2">
      <c r="C127" s="112"/>
    </row>
  </sheetData>
  <mergeCells count="31">
    <mergeCell ref="A51:B51"/>
    <mergeCell ref="A1:C1"/>
    <mergeCell ref="A9:C9"/>
    <mergeCell ref="A16:B16"/>
    <mergeCell ref="A18:C18"/>
    <mergeCell ref="A25:B25"/>
    <mergeCell ref="A27:C27"/>
    <mergeCell ref="A31:B31"/>
    <mergeCell ref="A33:C33"/>
    <mergeCell ref="A42:B42"/>
    <mergeCell ref="A43:B43"/>
    <mergeCell ref="A45:C45"/>
    <mergeCell ref="A95:C95"/>
    <mergeCell ref="A53:C53"/>
    <mergeCell ref="A62:B62"/>
    <mergeCell ref="A63:B63"/>
    <mergeCell ref="A65:C65"/>
    <mergeCell ref="A66:C69"/>
    <mergeCell ref="A71:C71"/>
    <mergeCell ref="A76:B76"/>
    <mergeCell ref="A78:C78"/>
    <mergeCell ref="A85:B85"/>
    <mergeCell ref="A87:C87"/>
    <mergeCell ref="A93:B93"/>
    <mergeCell ref="A124:C124"/>
    <mergeCell ref="A101:B101"/>
    <mergeCell ref="A103:C103"/>
    <mergeCell ref="A104:C104"/>
    <mergeCell ref="A112:B112"/>
    <mergeCell ref="A113:C113"/>
    <mergeCell ref="A122:B122"/>
  </mergeCells>
  <pageMargins left="0.51181102362204722" right="0.51181102362204722" top="0.78740157480314965" bottom="0.78740157480314965" header="0.31496062992125984" footer="0.31496062992125984"/>
  <pageSetup paperSize="9" scale="70" orientation="portrait" r:id="rId1"/>
  <headerFooter>
    <oddFooter>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G166"/>
  <sheetViews>
    <sheetView topLeftCell="A43" workbookViewId="0">
      <selection activeCell="D88" sqref="D88:D89"/>
    </sheetView>
  </sheetViews>
  <sheetFormatPr defaultRowHeight="12.75" x14ac:dyDescent="0.2"/>
  <cols>
    <col min="1" max="1" width="6.42578125" style="71" customWidth="1"/>
    <col min="2" max="2" width="57.7109375" style="71" customWidth="1"/>
    <col min="3" max="3" width="10.7109375" style="71" bestFit="1" customWidth="1"/>
    <col min="4" max="4" width="17.85546875" style="71" customWidth="1"/>
    <col min="5" max="5" width="13.42578125" style="71" bestFit="1" customWidth="1"/>
    <col min="6" max="16384" width="9.140625" style="71"/>
  </cols>
  <sheetData>
    <row r="1" spans="1:6" x14ac:dyDescent="0.2">
      <c r="A1" s="322" t="s">
        <v>18</v>
      </c>
      <c r="B1" s="323"/>
      <c r="C1" s="323"/>
      <c r="D1" s="324"/>
      <c r="E1" s="17"/>
      <c r="F1" s="17"/>
    </row>
    <row r="3" spans="1:6" x14ac:dyDescent="0.2">
      <c r="A3" s="299" t="s">
        <v>19</v>
      </c>
      <c r="B3" s="300"/>
      <c r="C3" s="300"/>
      <c r="D3" s="308"/>
    </row>
    <row r="4" spans="1:6" s="74" customFormat="1" ht="54.75" customHeight="1" x14ac:dyDescent="0.25">
      <c r="A4" s="194">
        <v>1</v>
      </c>
      <c r="B4" s="195" t="s">
        <v>20</v>
      </c>
      <c r="C4" s="356" t="s">
        <v>328</v>
      </c>
      <c r="D4" s="357"/>
    </row>
    <row r="5" spans="1:6" s="74" customFormat="1" x14ac:dyDescent="0.25">
      <c r="A5" s="194">
        <v>2</v>
      </c>
      <c r="B5" s="195" t="s">
        <v>21</v>
      </c>
      <c r="C5" s="358" t="str">
        <f>+Apresentacao!E24</f>
        <v>5133-15</v>
      </c>
      <c r="D5" s="359"/>
    </row>
    <row r="6" spans="1:6" s="74" customFormat="1" x14ac:dyDescent="0.25">
      <c r="A6" s="194">
        <v>3</v>
      </c>
      <c r="B6" s="195" t="s">
        <v>22</v>
      </c>
      <c r="C6" s="360">
        <f>+Apresentacao!F24</f>
        <v>0</v>
      </c>
      <c r="D6" s="360"/>
    </row>
    <row r="7" spans="1:6" s="74" customFormat="1" ht="42.75" customHeight="1" x14ac:dyDescent="0.25">
      <c r="A7" s="194">
        <v>4</v>
      </c>
      <c r="B7" s="195" t="s">
        <v>23</v>
      </c>
      <c r="C7" s="361" t="s">
        <v>24</v>
      </c>
      <c r="D7" s="362"/>
    </row>
    <row r="8" spans="1:6" s="74" customFormat="1" x14ac:dyDescent="0.25">
      <c r="A8" s="194">
        <v>5</v>
      </c>
      <c r="B8" s="195" t="s">
        <v>25</v>
      </c>
      <c r="C8" s="363">
        <v>43524</v>
      </c>
      <c r="D8" s="359"/>
    </row>
    <row r="9" spans="1:6" x14ac:dyDescent="0.2">
      <c r="D9" s="18"/>
    </row>
    <row r="10" spans="1:6" x14ac:dyDescent="0.2">
      <c r="A10" s="291" t="s">
        <v>26</v>
      </c>
      <c r="B10" s="292"/>
      <c r="C10" s="292"/>
      <c r="D10" s="292"/>
    </row>
    <row r="11" spans="1:6" x14ac:dyDescent="0.2">
      <c r="A11" s="75">
        <v>1</v>
      </c>
      <c r="B11" s="76" t="s">
        <v>27</v>
      </c>
      <c r="C11" s="19" t="s">
        <v>28</v>
      </c>
      <c r="D11" s="77" t="s">
        <v>29</v>
      </c>
    </row>
    <row r="12" spans="1:6" x14ac:dyDescent="0.2">
      <c r="A12" s="155" t="s">
        <v>6</v>
      </c>
      <c r="B12" s="289" t="s">
        <v>30</v>
      </c>
      <c r="C12" s="289"/>
      <c r="D12" s="79">
        <f>+C6</f>
        <v>0</v>
      </c>
    </row>
    <row r="13" spans="1:6" x14ac:dyDescent="0.2">
      <c r="A13" s="155" t="s">
        <v>8</v>
      </c>
      <c r="B13" s="80" t="s">
        <v>31</v>
      </c>
      <c r="C13" s="81"/>
      <c r="D13" s="79"/>
      <c r="E13" s="82"/>
    </row>
    <row r="14" spans="1:6" x14ac:dyDescent="0.2">
      <c r="A14" s="155" t="s">
        <v>11</v>
      </c>
      <c r="B14" s="80" t="s">
        <v>32</v>
      </c>
      <c r="C14" s="81"/>
      <c r="D14" s="79">
        <f>+C14*D12</f>
        <v>0</v>
      </c>
    </row>
    <row r="15" spans="1:6" x14ac:dyDescent="0.2">
      <c r="A15" s="155" t="s">
        <v>13</v>
      </c>
      <c r="B15" s="289" t="s">
        <v>33</v>
      </c>
      <c r="C15" s="289"/>
      <c r="D15" s="79"/>
    </row>
    <row r="16" spans="1:6" x14ac:dyDescent="0.2">
      <c r="A16" s="155" t="s">
        <v>34</v>
      </c>
      <c r="B16" s="289" t="s">
        <v>35</v>
      </c>
      <c r="C16" s="289"/>
      <c r="D16" s="79"/>
    </row>
    <row r="17" spans="1:6" x14ac:dyDescent="0.2">
      <c r="A17" s="155" t="s">
        <v>36</v>
      </c>
      <c r="B17" s="318" t="s">
        <v>37</v>
      </c>
      <c r="C17" s="319"/>
      <c r="D17" s="79"/>
    </row>
    <row r="18" spans="1:6" x14ac:dyDescent="0.2">
      <c r="A18" s="155" t="s">
        <v>38</v>
      </c>
      <c r="B18" s="289" t="s">
        <v>39</v>
      </c>
      <c r="C18" s="289"/>
      <c r="D18" s="79"/>
    </row>
    <row r="19" spans="1:6" x14ac:dyDescent="0.2">
      <c r="A19" s="155" t="s">
        <v>40</v>
      </c>
      <c r="B19" s="318" t="s">
        <v>41</v>
      </c>
      <c r="C19" s="319"/>
      <c r="D19" s="83"/>
    </row>
    <row r="20" spans="1:6" x14ac:dyDescent="0.2">
      <c r="A20" s="155" t="s">
        <v>42</v>
      </c>
      <c r="B20" s="80" t="s">
        <v>43</v>
      </c>
      <c r="C20" s="81"/>
      <c r="D20" s="79"/>
    </row>
    <row r="21" spans="1:6" x14ac:dyDescent="0.2">
      <c r="A21" s="155" t="s">
        <v>44</v>
      </c>
      <c r="B21" s="289" t="s">
        <v>45</v>
      </c>
      <c r="C21" s="289"/>
      <c r="D21" s="84"/>
      <c r="F21" s="85"/>
    </row>
    <row r="22" spans="1:6" x14ac:dyDescent="0.2">
      <c r="A22" s="155" t="s">
        <v>46</v>
      </c>
      <c r="B22" s="289" t="s">
        <v>47</v>
      </c>
      <c r="C22" s="289"/>
      <c r="D22" s="84"/>
    </row>
    <row r="23" spans="1:6" x14ac:dyDescent="0.2">
      <c r="A23" s="290" t="s">
        <v>48</v>
      </c>
      <c r="B23" s="290"/>
      <c r="C23" s="290"/>
      <c r="D23" s="20">
        <f>SUM(D12:D22)</f>
        <v>0</v>
      </c>
    </row>
    <row r="25" spans="1:6" x14ac:dyDescent="0.2">
      <c r="A25" s="291" t="s">
        <v>49</v>
      </c>
      <c r="B25" s="292"/>
      <c r="C25" s="292"/>
      <c r="D25" s="292"/>
    </row>
    <row r="27" spans="1:6" x14ac:dyDescent="0.2">
      <c r="A27" s="291" t="s">
        <v>50</v>
      </c>
      <c r="B27" s="292"/>
      <c r="C27" s="292"/>
      <c r="D27" s="292"/>
    </row>
    <row r="28" spans="1:6" x14ac:dyDescent="0.2">
      <c r="A28" s="21" t="s">
        <v>51</v>
      </c>
      <c r="B28" s="22" t="s">
        <v>52</v>
      </c>
      <c r="C28" s="23" t="s">
        <v>28</v>
      </c>
      <c r="D28" s="24" t="s">
        <v>29</v>
      </c>
    </row>
    <row r="29" spans="1:6" x14ac:dyDescent="0.2">
      <c r="A29" s="155" t="s">
        <v>6</v>
      </c>
      <c r="B29" s="86" t="s">
        <v>53</v>
      </c>
      <c r="C29" s="87" t="e">
        <f>ROUND(+D29/$D$23,4)</f>
        <v>#DIV/0!</v>
      </c>
      <c r="D29" s="84">
        <f>ROUND(+D23/12,2)</f>
        <v>0</v>
      </c>
    </row>
    <row r="30" spans="1:6" x14ac:dyDescent="0.2">
      <c r="A30" s="25" t="s">
        <v>8</v>
      </c>
      <c r="B30" s="88" t="s">
        <v>54</v>
      </c>
      <c r="C30" s="26" t="e">
        <f>ROUND(+D30/$D$23,4)</f>
        <v>#DIV/0!</v>
      </c>
      <c r="D30" s="27">
        <f>+D31+D32</f>
        <v>0</v>
      </c>
    </row>
    <row r="31" spans="1:6" x14ac:dyDescent="0.2">
      <c r="A31" s="155" t="s">
        <v>55</v>
      </c>
      <c r="B31" s="28" t="s">
        <v>56</v>
      </c>
      <c r="C31" s="29" t="e">
        <f>ROUND(+D31/$D$23,4)</f>
        <v>#DIV/0!</v>
      </c>
      <c r="D31" s="30">
        <f>ROUND(+D23/12,2)</f>
        <v>0</v>
      </c>
    </row>
    <row r="32" spans="1:6" x14ac:dyDescent="0.2">
      <c r="A32" s="155" t="s">
        <v>57</v>
      </c>
      <c r="B32" s="28" t="s">
        <v>58</v>
      </c>
      <c r="C32" s="29" t="e">
        <f>ROUND(+D32/$D$23,4)</f>
        <v>#DIV/0!</v>
      </c>
      <c r="D32" s="30">
        <f>ROUND(+(D23*1/3)/12,2)</f>
        <v>0</v>
      </c>
    </row>
    <row r="33" spans="1:4" x14ac:dyDescent="0.2">
      <c r="A33" s="290" t="s">
        <v>48</v>
      </c>
      <c r="B33" s="290"/>
      <c r="C33" s="290"/>
      <c r="D33" s="20">
        <f>+D30+D29</f>
        <v>0</v>
      </c>
    </row>
    <row r="35" spans="1:4" ht="26.25" customHeight="1" x14ac:dyDescent="0.2">
      <c r="A35" s="320" t="s">
        <v>59</v>
      </c>
      <c r="B35" s="321"/>
      <c r="C35" s="321"/>
      <c r="D35" s="321"/>
    </row>
    <row r="36" spans="1:4" x14ac:dyDescent="0.2">
      <c r="A36" s="21" t="s">
        <v>60</v>
      </c>
      <c r="B36" s="31" t="s">
        <v>61</v>
      </c>
      <c r="C36" s="23" t="s">
        <v>28</v>
      </c>
      <c r="D36" s="24" t="s">
        <v>29</v>
      </c>
    </row>
    <row r="37" spans="1:4" x14ac:dyDescent="0.2">
      <c r="A37" s="155" t="s">
        <v>6</v>
      </c>
      <c r="B37" s="86" t="s">
        <v>62</v>
      </c>
      <c r="C37" s="89">
        <v>0.2</v>
      </c>
      <c r="D37" s="90">
        <f>ROUND(C37*($D$23+$D$33),2)</f>
        <v>0</v>
      </c>
    </row>
    <row r="38" spans="1:4" x14ac:dyDescent="0.2">
      <c r="A38" s="155" t="s">
        <v>8</v>
      </c>
      <c r="B38" s="86" t="s">
        <v>63</v>
      </c>
      <c r="C38" s="89">
        <v>2.5000000000000001E-2</v>
      </c>
      <c r="D38" s="90">
        <f>ROUND(C38*($D$23+$D$33),2)</f>
        <v>0</v>
      </c>
    </row>
    <row r="39" spans="1:4" x14ac:dyDescent="0.2">
      <c r="A39" s="155" t="s">
        <v>11</v>
      </c>
      <c r="B39" s="86" t="s">
        <v>64</v>
      </c>
      <c r="C39" s="89">
        <f>3%</f>
        <v>0.03</v>
      </c>
      <c r="D39" s="90">
        <f t="shared" ref="D39:D43" si="0">ROUND(C39*($D$23+$D$33),2)</f>
        <v>0</v>
      </c>
    </row>
    <row r="40" spans="1:4" x14ac:dyDescent="0.2">
      <c r="A40" s="155" t="s">
        <v>13</v>
      </c>
      <c r="B40" s="86" t="s">
        <v>65</v>
      </c>
      <c r="C40" s="89">
        <v>1.4999999999999999E-2</v>
      </c>
      <c r="D40" s="90">
        <f t="shared" si="0"/>
        <v>0</v>
      </c>
    </row>
    <row r="41" spans="1:4" x14ac:dyDescent="0.2">
      <c r="A41" s="155" t="s">
        <v>34</v>
      </c>
      <c r="B41" s="86" t="s">
        <v>66</v>
      </c>
      <c r="C41" s="89">
        <v>0.01</v>
      </c>
      <c r="D41" s="90">
        <f t="shared" si="0"/>
        <v>0</v>
      </c>
    </row>
    <row r="42" spans="1:4" x14ac:dyDescent="0.2">
      <c r="A42" s="155" t="s">
        <v>36</v>
      </c>
      <c r="B42" s="86" t="s">
        <v>67</v>
      </c>
      <c r="C42" s="89">
        <v>6.0000000000000001E-3</v>
      </c>
      <c r="D42" s="90">
        <f t="shared" si="0"/>
        <v>0</v>
      </c>
    </row>
    <row r="43" spans="1:4" x14ac:dyDescent="0.2">
      <c r="A43" s="155" t="s">
        <v>38</v>
      </c>
      <c r="B43" s="86" t="s">
        <v>68</v>
      </c>
      <c r="C43" s="89">
        <v>2E-3</v>
      </c>
      <c r="D43" s="90">
        <f t="shared" si="0"/>
        <v>0</v>
      </c>
    </row>
    <row r="44" spans="1:4" x14ac:dyDescent="0.2">
      <c r="A44" s="155" t="s">
        <v>40</v>
      </c>
      <c r="B44" s="86" t="s">
        <v>69</v>
      </c>
      <c r="C44" s="89">
        <v>0.08</v>
      </c>
      <c r="D44" s="90">
        <f>ROUND(C44*($D$23+$D$33),2)</f>
        <v>0</v>
      </c>
    </row>
    <row r="45" spans="1:4" x14ac:dyDescent="0.2">
      <c r="A45" s="153" t="s">
        <v>48</v>
      </c>
      <c r="B45" s="154"/>
      <c r="C45" s="32">
        <f>SUM(C37:C44)</f>
        <v>0.36800000000000005</v>
      </c>
      <c r="D45" s="33">
        <f>SUM(D37:D44)</f>
        <v>0</v>
      </c>
    </row>
    <row r="46" spans="1:4" x14ac:dyDescent="0.2">
      <c r="A46" s="91"/>
      <c r="B46" s="91"/>
      <c r="C46" s="91"/>
      <c r="D46" s="91"/>
    </row>
    <row r="47" spans="1:4" x14ac:dyDescent="0.2">
      <c r="A47" s="320" t="s">
        <v>70</v>
      </c>
      <c r="B47" s="321"/>
      <c r="C47" s="321"/>
      <c r="D47" s="321"/>
    </row>
    <row r="48" spans="1:4" x14ac:dyDescent="0.2">
      <c r="A48" s="21" t="s">
        <v>71</v>
      </c>
      <c r="B48" s="31" t="s">
        <v>72</v>
      </c>
      <c r="C48" s="23"/>
      <c r="D48" s="24" t="s">
        <v>29</v>
      </c>
    </row>
    <row r="49" spans="1:6" x14ac:dyDescent="0.2">
      <c r="A49" s="92" t="s">
        <v>6</v>
      </c>
      <c r="B49" s="86" t="s">
        <v>73</v>
      </c>
      <c r="C49" s="93"/>
      <c r="D49" s="90">
        <f>+'Men Cal Camareiro 44'!C16</f>
        <v>0</v>
      </c>
    </row>
    <row r="50" spans="1:6" s="97" customFormat="1" x14ac:dyDescent="0.2">
      <c r="A50" s="94" t="s">
        <v>74</v>
      </c>
      <c r="B50" s="95" t="s">
        <v>75</v>
      </c>
      <c r="C50" s="87">
        <f>+$C$131+$C$132</f>
        <v>9.2499999999999999E-2</v>
      </c>
      <c r="D50" s="96">
        <f>+(C50*D49)*-1</f>
        <v>0</v>
      </c>
      <c r="F50" s="98"/>
    </row>
    <row r="51" spans="1:6" x14ac:dyDescent="0.2">
      <c r="A51" s="92" t="s">
        <v>8</v>
      </c>
      <c r="B51" s="86" t="s">
        <v>76</v>
      </c>
      <c r="C51" s="93"/>
      <c r="D51" s="90">
        <f>+'Men Cal Camareiro 44'!C25</f>
        <v>0</v>
      </c>
      <c r="F51" s="99"/>
    </row>
    <row r="52" spans="1:6" s="97" customFormat="1" x14ac:dyDescent="0.2">
      <c r="A52" s="94" t="s">
        <v>55</v>
      </c>
      <c r="B52" s="95" t="s">
        <v>75</v>
      </c>
      <c r="C52" s="87">
        <f>+$C$131+$C$132</f>
        <v>9.2499999999999999E-2</v>
      </c>
      <c r="D52" s="96">
        <f>+(C52*D51)*-1</f>
        <v>0</v>
      </c>
      <c r="F52" s="100"/>
    </row>
    <row r="53" spans="1:6" x14ac:dyDescent="0.2">
      <c r="A53" s="101" t="s">
        <v>11</v>
      </c>
      <c r="B53" s="101" t="s">
        <v>77</v>
      </c>
      <c r="C53" s="93"/>
      <c r="D53" s="134"/>
      <c r="F53" s="99"/>
    </row>
    <row r="54" spans="1:6" x14ac:dyDescent="0.2">
      <c r="A54" s="101" t="s">
        <v>13</v>
      </c>
      <c r="B54" s="101" t="s">
        <v>234</v>
      </c>
      <c r="C54" s="93"/>
      <c r="D54" s="134"/>
      <c r="F54" s="99"/>
    </row>
    <row r="55" spans="1:6" ht="25.5" x14ac:dyDescent="0.2">
      <c r="A55" s="101" t="s">
        <v>34</v>
      </c>
      <c r="B55" s="103" t="s">
        <v>235</v>
      </c>
      <c r="C55" s="93"/>
      <c r="D55" s="135"/>
      <c r="F55" s="104"/>
    </row>
    <row r="56" spans="1:6" x14ac:dyDescent="0.2">
      <c r="A56" s="101" t="s">
        <v>36</v>
      </c>
      <c r="B56" s="133" t="s">
        <v>80</v>
      </c>
      <c r="C56" s="93"/>
      <c r="D56" s="102"/>
    </row>
    <row r="57" spans="1:6" x14ac:dyDescent="0.2">
      <c r="A57" s="299" t="s">
        <v>48</v>
      </c>
      <c r="B57" s="308"/>
      <c r="C57" s="34"/>
      <c r="D57" s="35">
        <f>SUM(D49:D56)</f>
        <v>0</v>
      </c>
    </row>
    <row r="59" spans="1:6" x14ac:dyDescent="0.2">
      <c r="A59" s="291" t="s">
        <v>81</v>
      </c>
      <c r="B59" s="292"/>
      <c r="C59" s="292"/>
      <c r="D59" s="292"/>
    </row>
    <row r="60" spans="1:6" x14ac:dyDescent="0.2">
      <c r="A60" s="36">
        <v>2</v>
      </c>
      <c r="B60" s="315" t="s">
        <v>82</v>
      </c>
      <c r="C60" s="315"/>
      <c r="D60" s="37" t="s">
        <v>29</v>
      </c>
    </row>
    <row r="61" spans="1:6" x14ac:dyDescent="0.2">
      <c r="A61" s="95" t="s">
        <v>51</v>
      </c>
      <c r="B61" s="316" t="s">
        <v>52</v>
      </c>
      <c r="C61" s="316"/>
      <c r="D61" s="90">
        <f>+D33</f>
        <v>0</v>
      </c>
    </row>
    <row r="62" spans="1:6" x14ac:dyDescent="0.2">
      <c r="A62" s="95" t="s">
        <v>60</v>
      </c>
      <c r="B62" s="316" t="s">
        <v>61</v>
      </c>
      <c r="C62" s="316"/>
      <c r="D62" s="90">
        <f>+D45</f>
        <v>0</v>
      </c>
    </row>
    <row r="63" spans="1:6" x14ac:dyDescent="0.2">
      <c r="A63" s="95" t="s">
        <v>71</v>
      </c>
      <c r="B63" s="316" t="s">
        <v>72</v>
      </c>
      <c r="C63" s="316"/>
      <c r="D63" s="105">
        <f>+D57</f>
        <v>0</v>
      </c>
    </row>
    <row r="64" spans="1:6" x14ac:dyDescent="0.2">
      <c r="A64" s="315" t="s">
        <v>48</v>
      </c>
      <c r="B64" s="315"/>
      <c r="C64" s="315"/>
      <c r="D64" s="38">
        <f>SUM(D61:D63)</f>
        <v>0</v>
      </c>
    </row>
    <row r="66" spans="1:4" x14ac:dyDescent="0.2">
      <c r="A66" s="291" t="s">
        <v>83</v>
      </c>
      <c r="B66" s="292"/>
      <c r="C66" s="292"/>
      <c r="D66" s="292"/>
    </row>
    <row r="68" spans="1:4" x14ac:dyDescent="0.2">
      <c r="A68" s="39">
        <v>3</v>
      </c>
      <c r="B68" s="22" t="s">
        <v>84</v>
      </c>
      <c r="C68" s="19" t="s">
        <v>28</v>
      </c>
      <c r="D68" s="19" t="s">
        <v>29</v>
      </c>
    </row>
    <row r="69" spans="1:4" x14ac:dyDescent="0.2">
      <c r="A69" s="155" t="s">
        <v>6</v>
      </c>
      <c r="B69" s="95" t="s">
        <v>85</v>
      </c>
      <c r="C69" s="87" t="e">
        <f>+D69/$D$23</f>
        <v>#DIV/0!</v>
      </c>
      <c r="D69" s="106">
        <f>+'Men Cal Camareiro 44'!C31</f>
        <v>0</v>
      </c>
    </row>
    <row r="70" spans="1:4" x14ac:dyDescent="0.2">
      <c r="A70" s="155" t="s">
        <v>8</v>
      </c>
      <c r="B70" s="86" t="s">
        <v>86</v>
      </c>
      <c r="C70" s="107"/>
      <c r="D70" s="84">
        <f>ROUND(+D69*$C$44,2)</f>
        <v>0</v>
      </c>
    </row>
    <row r="71" spans="1:4" ht="25.5" x14ac:dyDescent="0.2">
      <c r="A71" s="155" t="s">
        <v>11</v>
      </c>
      <c r="B71" s="108" t="s">
        <v>87</v>
      </c>
      <c r="C71" s="89" t="e">
        <f>+D71/$D$23</f>
        <v>#DIV/0!</v>
      </c>
      <c r="D71" s="84">
        <f>+'Men Cal Camareiro 44'!C43</f>
        <v>0</v>
      </c>
    </row>
    <row r="72" spans="1:4" x14ac:dyDescent="0.2">
      <c r="A72" s="156" t="s">
        <v>13</v>
      </c>
      <c r="B72" s="86" t="s">
        <v>88</v>
      </c>
      <c r="C72" s="89" t="e">
        <f>+D72/$D$23</f>
        <v>#DIV/0!</v>
      </c>
      <c r="D72" s="84">
        <f>+'Men Cal Camareiro 44'!C51</f>
        <v>0</v>
      </c>
    </row>
    <row r="73" spans="1:4" ht="25.5" x14ac:dyDescent="0.2">
      <c r="A73" s="156" t="s">
        <v>34</v>
      </c>
      <c r="B73" s="108" t="s">
        <v>89</v>
      </c>
      <c r="C73" s="107"/>
      <c r="D73" s="110"/>
    </row>
    <row r="74" spans="1:4" ht="25.5" x14ac:dyDescent="0.2">
      <c r="A74" s="156" t="s">
        <v>36</v>
      </c>
      <c r="B74" s="108" t="s">
        <v>90</v>
      </c>
      <c r="C74" s="89" t="e">
        <f>+D74/$D$23</f>
        <v>#DIV/0!</v>
      </c>
      <c r="D74" s="90">
        <f>+'Men Cal Camareiro 44'!C63</f>
        <v>0</v>
      </c>
    </row>
    <row r="75" spans="1:4" x14ac:dyDescent="0.2">
      <c r="A75" s="299" t="s">
        <v>48</v>
      </c>
      <c r="B75" s="300"/>
      <c r="C75" s="308"/>
      <c r="D75" s="40">
        <f>SUM(D69:D74)</f>
        <v>0</v>
      </c>
    </row>
    <row r="77" spans="1:4" x14ac:dyDescent="0.2">
      <c r="A77" s="291" t="s">
        <v>91</v>
      </c>
      <c r="B77" s="292"/>
      <c r="C77" s="292"/>
      <c r="D77" s="292"/>
    </row>
    <row r="79" spans="1:4" x14ac:dyDescent="0.2">
      <c r="A79" s="317" t="s">
        <v>92</v>
      </c>
      <c r="B79" s="317"/>
      <c r="C79" s="317"/>
      <c r="D79" s="317"/>
    </row>
    <row r="80" spans="1:4" x14ac:dyDescent="0.2">
      <c r="A80" s="39" t="s">
        <v>93</v>
      </c>
      <c r="B80" s="299" t="s">
        <v>94</v>
      </c>
      <c r="C80" s="308"/>
      <c r="D80" s="19" t="s">
        <v>29</v>
      </c>
    </row>
    <row r="81" spans="1:4" x14ac:dyDescent="0.2">
      <c r="A81" s="86" t="s">
        <v>6</v>
      </c>
      <c r="B81" s="303" t="s">
        <v>95</v>
      </c>
      <c r="C81" s="304"/>
      <c r="D81" s="84"/>
    </row>
    <row r="82" spans="1:4" x14ac:dyDescent="0.2">
      <c r="A82" s="95" t="s">
        <v>8</v>
      </c>
      <c r="B82" s="309" t="s">
        <v>94</v>
      </c>
      <c r="C82" s="310"/>
      <c r="D82" s="111">
        <f>+'Men Cal Camareiro 44'!C76</f>
        <v>0</v>
      </c>
    </row>
    <row r="83" spans="1:4" s="97" customFormat="1" x14ac:dyDescent="0.2">
      <c r="A83" s="95" t="s">
        <v>11</v>
      </c>
      <c r="B83" s="309" t="s">
        <v>96</v>
      </c>
      <c r="C83" s="310"/>
      <c r="D83" s="111">
        <f>+'Men Cal Camareiro 44'!C85</f>
        <v>0</v>
      </c>
    </row>
    <row r="84" spans="1:4" s="97" customFormat="1" x14ac:dyDescent="0.2">
      <c r="A84" s="95" t="s">
        <v>13</v>
      </c>
      <c r="B84" s="309" t="s">
        <v>97</v>
      </c>
      <c r="C84" s="310"/>
      <c r="D84" s="111">
        <f>+'Men Cal Camareiro 44'!C93</f>
        <v>0</v>
      </c>
    </row>
    <row r="85" spans="1:4" s="97" customFormat="1" ht="14.25" x14ac:dyDescent="0.2">
      <c r="A85" s="95" t="s">
        <v>34</v>
      </c>
      <c r="B85" s="309" t="s">
        <v>233</v>
      </c>
      <c r="C85" s="310"/>
      <c r="D85" s="111"/>
    </row>
    <row r="86" spans="1:4" s="97" customFormat="1" x14ac:dyDescent="0.2">
      <c r="A86" s="95" t="s">
        <v>36</v>
      </c>
      <c r="B86" s="309" t="s">
        <v>98</v>
      </c>
      <c r="C86" s="310"/>
      <c r="D86" s="111">
        <f>+'Men Cal Camareiro 44'!C101</f>
        <v>0</v>
      </c>
    </row>
    <row r="87" spans="1:4" x14ac:dyDescent="0.2">
      <c r="A87" s="86" t="s">
        <v>38</v>
      </c>
      <c r="B87" s="303" t="s">
        <v>47</v>
      </c>
      <c r="C87" s="304"/>
      <c r="D87" s="84"/>
    </row>
    <row r="88" spans="1:4" x14ac:dyDescent="0.2">
      <c r="A88" s="86" t="s">
        <v>40</v>
      </c>
      <c r="B88" s="303" t="s">
        <v>99</v>
      </c>
      <c r="C88" s="304"/>
      <c r="D88" s="110"/>
    </row>
    <row r="89" spans="1:4" x14ac:dyDescent="0.2">
      <c r="A89" s="290" t="s">
        <v>48</v>
      </c>
      <c r="B89" s="290"/>
      <c r="C89" s="290"/>
      <c r="D89" s="20">
        <f>SUM(D81:D88)</f>
        <v>0</v>
      </c>
    </row>
    <row r="90" spans="1:4" x14ac:dyDescent="0.2">
      <c r="D90" s="112"/>
    </row>
    <row r="91" spans="1:4" x14ac:dyDescent="0.2">
      <c r="A91" s="39" t="s">
        <v>100</v>
      </c>
      <c r="B91" s="299" t="s">
        <v>101</v>
      </c>
      <c r="C91" s="308"/>
      <c r="D91" s="19" t="s">
        <v>29</v>
      </c>
    </row>
    <row r="92" spans="1:4" s="97" customFormat="1" x14ac:dyDescent="0.2">
      <c r="A92" s="95" t="s">
        <v>6</v>
      </c>
      <c r="B92" s="311" t="s">
        <v>102</v>
      </c>
      <c r="C92" s="312"/>
      <c r="D92" s="111">
        <f>+'Men Cal Camareiro 44'!C112</f>
        <v>0</v>
      </c>
    </row>
    <row r="93" spans="1:4" s="97" customFormat="1" ht="28.5" customHeight="1" x14ac:dyDescent="0.2">
      <c r="A93" s="95" t="s">
        <v>8</v>
      </c>
      <c r="B93" s="313" t="s">
        <v>103</v>
      </c>
      <c r="C93" s="314"/>
      <c r="D93" s="110"/>
    </row>
    <row r="94" spans="1:4" s="97" customFormat="1" ht="31.5" customHeight="1" x14ac:dyDescent="0.2">
      <c r="A94" s="95" t="s">
        <v>11</v>
      </c>
      <c r="B94" s="313" t="s">
        <v>104</v>
      </c>
      <c r="C94" s="314"/>
      <c r="D94" s="110"/>
    </row>
    <row r="95" spans="1:4" x14ac:dyDescent="0.2">
      <c r="A95" s="86" t="s">
        <v>13</v>
      </c>
      <c r="B95" s="303" t="s">
        <v>47</v>
      </c>
      <c r="C95" s="304"/>
      <c r="D95" s="84"/>
    </row>
    <row r="96" spans="1:4" x14ac:dyDescent="0.2">
      <c r="A96" s="290" t="s">
        <v>48</v>
      </c>
      <c r="B96" s="290"/>
      <c r="C96" s="290"/>
      <c r="D96" s="20">
        <f>SUM(D92:D95)</f>
        <v>0</v>
      </c>
    </row>
    <row r="97" spans="1:4" x14ac:dyDescent="0.2">
      <c r="D97" s="112"/>
    </row>
    <row r="98" spans="1:4" x14ac:dyDescent="0.2">
      <c r="A98" s="39" t="s">
        <v>105</v>
      </c>
      <c r="B98" s="290" t="s">
        <v>106</v>
      </c>
      <c r="C98" s="290"/>
      <c r="D98" s="19" t="s">
        <v>29</v>
      </c>
    </row>
    <row r="99" spans="1:4" s="114" customFormat="1" x14ac:dyDescent="0.25">
      <c r="A99" s="156" t="s">
        <v>6</v>
      </c>
      <c r="B99" s="302" t="s">
        <v>107</v>
      </c>
      <c r="C99" s="302"/>
      <c r="D99" s="113"/>
    </row>
    <row r="100" spans="1:4" x14ac:dyDescent="0.2">
      <c r="A100" s="290" t="s">
        <v>48</v>
      </c>
      <c r="B100" s="290"/>
      <c r="C100" s="290"/>
      <c r="D100" s="20">
        <f>SUM(D99:D99)</f>
        <v>0</v>
      </c>
    </row>
    <row r="102" spans="1:4" x14ac:dyDescent="0.2">
      <c r="A102" s="157" t="s">
        <v>108</v>
      </c>
      <c r="B102" s="157"/>
      <c r="C102" s="157"/>
      <c r="D102" s="157"/>
    </row>
    <row r="103" spans="1:4" x14ac:dyDescent="0.2">
      <c r="A103" s="86" t="s">
        <v>93</v>
      </c>
      <c r="B103" s="303" t="s">
        <v>94</v>
      </c>
      <c r="C103" s="304"/>
      <c r="D103" s="90">
        <f>+D89</f>
        <v>0</v>
      </c>
    </row>
    <row r="104" spans="1:4" x14ac:dyDescent="0.2">
      <c r="A104" s="86" t="s">
        <v>100</v>
      </c>
      <c r="B104" s="303" t="s">
        <v>101</v>
      </c>
      <c r="C104" s="304"/>
      <c r="D104" s="90">
        <f>+D96</f>
        <v>0</v>
      </c>
    </row>
    <row r="105" spans="1:4" x14ac:dyDescent="0.2">
      <c r="A105" s="115"/>
      <c r="B105" s="305" t="s">
        <v>109</v>
      </c>
      <c r="C105" s="306"/>
      <c r="D105" s="41">
        <f>+D104+D103</f>
        <v>0</v>
      </c>
    </row>
    <row r="106" spans="1:4" x14ac:dyDescent="0.2">
      <c r="A106" s="86" t="s">
        <v>105</v>
      </c>
      <c r="B106" s="303" t="s">
        <v>106</v>
      </c>
      <c r="C106" s="304"/>
      <c r="D106" s="90">
        <f>+D100</f>
        <v>0</v>
      </c>
    </row>
    <row r="107" spans="1:4" x14ac:dyDescent="0.2">
      <c r="A107" s="307" t="s">
        <v>48</v>
      </c>
      <c r="B107" s="307"/>
      <c r="C107" s="307"/>
      <c r="D107" s="42">
        <f>+D106+D105</f>
        <v>0</v>
      </c>
    </row>
    <row r="109" spans="1:4" x14ac:dyDescent="0.2">
      <c r="A109" s="291" t="s">
        <v>110</v>
      </c>
      <c r="B109" s="292"/>
      <c r="C109" s="292"/>
      <c r="D109" s="292"/>
    </row>
    <row r="111" spans="1:4" x14ac:dyDescent="0.2">
      <c r="A111" s="39">
        <v>5</v>
      </c>
      <c r="B111" s="299" t="s">
        <v>111</v>
      </c>
      <c r="C111" s="308"/>
      <c r="D111" s="19" t="s">
        <v>29</v>
      </c>
    </row>
    <row r="112" spans="1:4" x14ac:dyDescent="0.2">
      <c r="A112" s="86" t="s">
        <v>6</v>
      </c>
      <c r="B112" s="289" t="s">
        <v>112</v>
      </c>
      <c r="C112" s="289"/>
      <c r="D112" s="84">
        <f>+Uniforme!E36</f>
        <v>0</v>
      </c>
    </row>
    <row r="113" spans="1:4" x14ac:dyDescent="0.2">
      <c r="A113" s="86" t="s">
        <v>74</v>
      </c>
      <c r="B113" s="95" t="s">
        <v>75</v>
      </c>
      <c r="C113" s="87">
        <f>+$C$131+$C$132</f>
        <v>9.2499999999999999E-2</v>
      </c>
      <c r="D113" s="96">
        <f>+(C113*D112)*-1</f>
        <v>0</v>
      </c>
    </row>
    <row r="114" spans="1:4" x14ac:dyDescent="0.2">
      <c r="A114" s="86" t="s">
        <v>8</v>
      </c>
      <c r="B114" s="289" t="s">
        <v>113</v>
      </c>
      <c r="C114" s="289"/>
      <c r="D114" s="84"/>
    </row>
    <row r="115" spans="1:4" x14ac:dyDescent="0.2">
      <c r="A115" s="86" t="s">
        <v>55</v>
      </c>
      <c r="B115" s="95" t="s">
        <v>75</v>
      </c>
      <c r="C115" s="87">
        <f>+$C$131+$C$132</f>
        <v>9.2499999999999999E-2</v>
      </c>
      <c r="D115" s="96">
        <f>+(C115*D114)*-1</f>
        <v>0</v>
      </c>
    </row>
    <row r="116" spans="1:4" x14ac:dyDescent="0.2">
      <c r="A116" s="86" t="s">
        <v>11</v>
      </c>
      <c r="B116" s="289" t="s">
        <v>114</v>
      </c>
      <c r="C116" s="289"/>
      <c r="D116" s="84"/>
    </row>
    <row r="117" spans="1:4" x14ac:dyDescent="0.2">
      <c r="A117" s="86" t="s">
        <v>78</v>
      </c>
      <c r="B117" s="95" t="s">
        <v>75</v>
      </c>
      <c r="C117" s="87">
        <f>+$C$131+$C$132</f>
        <v>9.2499999999999999E-2</v>
      </c>
      <c r="D117" s="96">
        <f>+(C117*D116)*-1</f>
        <v>0</v>
      </c>
    </row>
    <row r="118" spans="1:4" x14ac:dyDescent="0.2">
      <c r="A118" s="86" t="s">
        <v>13</v>
      </c>
      <c r="B118" s="289" t="s">
        <v>47</v>
      </c>
      <c r="C118" s="289"/>
      <c r="D118" s="84"/>
    </row>
    <row r="119" spans="1:4" x14ac:dyDescent="0.2">
      <c r="A119" s="86" t="s">
        <v>79</v>
      </c>
      <c r="B119" s="95" t="s">
        <v>75</v>
      </c>
      <c r="C119" s="87">
        <f>+$C$131+$C$132</f>
        <v>9.2499999999999999E-2</v>
      </c>
      <c r="D119" s="96">
        <f>+(C119*D118)*-1</f>
        <v>0</v>
      </c>
    </row>
    <row r="120" spans="1:4" x14ac:dyDescent="0.2">
      <c r="A120" s="290" t="s">
        <v>48</v>
      </c>
      <c r="B120" s="290"/>
      <c r="C120" s="290"/>
      <c r="D120" s="20">
        <f>SUM(D112:D118)</f>
        <v>0</v>
      </c>
    </row>
    <row r="122" spans="1:4" x14ac:dyDescent="0.2">
      <c r="A122" s="291" t="s">
        <v>115</v>
      </c>
      <c r="B122" s="292"/>
      <c r="C122" s="292"/>
      <c r="D122" s="292"/>
    </row>
    <row r="124" spans="1:4" x14ac:dyDescent="0.2">
      <c r="A124" s="39">
        <v>6</v>
      </c>
      <c r="B124" s="22" t="s">
        <v>116</v>
      </c>
      <c r="C124" s="152" t="s">
        <v>28</v>
      </c>
      <c r="D124" s="19" t="s">
        <v>29</v>
      </c>
    </row>
    <row r="125" spans="1:4" x14ac:dyDescent="0.2">
      <c r="A125" s="101" t="s">
        <v>6</v>
      </c>
      <c r="B125" s="101" t="s">
        <v>117</v>
      </c>
      <c r="C125" s="116">
        <v>0.03</v>
      </c>
      <c r="D125" s="102">
        <f>($D$120+$D$107+$D$75+$D$64+$D$23)*C125</f>
        <v>0</v>
      </c>
    </row>
    <row r="126" spans="1:4" x14ac:dyDescent="0.2">
      <c r="A126" s="101" t="s">
        <v>8</v>
      </c>
      <c r="B126" s="101" t="s">
        <v>118</v>
      </c>
      <c r="C126" s="116">
        <v>0.03</v>
      </c>
      <c r="D126" s="102">
        <f>($D$120+$D$107+$D$75+$D$64+$D$23+D125)*C126</f>
        <v>0</v>
      </c>
    </row>
    <row r="127" spans="1:4" s="44" customFormat="1" x14ac:dyDescent="0.25">
      <c r="A127" s="293" t="s">
        <v>119</v>
      </c>
      <c r="B127" s="294"/>
      <c r="C127" s="295"/>
      <c r="D127" s="43">
        <f>++D126+D125+D120+D107+D75+D64+D23</f>
        <v>0</v>
      </c>
    </row>
    <row r="128" spans="1:4" s="44" customFormat="1" ht="33" customHeight="1" x14ac:dyDescent="0.25">
      <c r="A128" s="296" t="s">
        <v>120</v>
      </c>
      <c r="B128" s="297"/>
      <c r="C128" s="298"/>
      <c r="D128" s="43">
        <f>ROUND(D127/(1-(C131+C132+C134+C136+C137)),2)</f>
        <v>0</v>
      </c>
    </row>
    <row r="129" spans="1:7" x14ac:dyDescent="0.2">
      <c r="A129" s="86" t="s">
        <v>11</v>
      </c>
      <c r="B129" s="86" t="s">
        <v>121</v>
      </c>
      <c r="C129" s="89"/>
      <c r="D129" s="86"/>
    </row>
    <row r="130" spans="1:7" x14ac:dyDescent="0.2">
      <c r="A130" s="86" t="s">
        <v>78</v>
      </c>
      <c r="B130" s="86" t="s">
        <v>122</v>
      </c>
      <c r="C130" s="89"/>
      <c r="D130" s="86"/>
    </row>
    <row r="131" spans="1:7" x14ac:dyDescent="0.2">
      <c r="A131" s="101" t="s">
        <v>123</v>
      </c>
      <c r="B131" s="101" t="s">
        <v>124</v>
      </c>
      <c r="C131" s="116">
        <v>1.6500000000000001E-2</v>
      </c>
      <c r="D131" s="102">
        <f>ROUND(C131*$D$128,2)</f>
        <v>0</v>
      </c>
      <c r="G131" s="117"/>
    </row>
    <row r="132" spans="1:7" x14ac:dyDescent="0.2">
      <c r="A132" s="101" t="s">
        <v>125</v>
      </c>
      <c r="B132" s="101" t="s">
        <v>126</v>
      </c>
      <c r="C132" s="116">
        <v>7.5999999999999998E-2</v>
      </c>
      <c r="D132" s="102">
        <f>ROUND(C132*$D$128,2)</f>
        <v>0</v>
      </c>
      <c r="G132" s="117"/>
    </row>
    <row r="133" spans="1:7" x14ac:dyDescent="0.2">
      <c r="A133" s="86" t="s">
        <v>127</v>
      </c>
      <c r="B133" s="86" t="s">
        <v>128</v>
      </c>
      <c r="C133" s="89"/>
      <c r="D133" s="90"/>
      <c r="G133" s="117"/>
    </row>
    <row r="134" spans="1:7" x14ac:dyDescent="0.2">
      <c r="A134" s="86" t="s">
        <v>129</v>
      </c>
      <c r="B134" s="86" t="s">
        <v>130</v>
      </c>
      <c r="C134" s="89"/>
      <c r="D134" s="86"/>
      <c r="G134" s="117"/>
    </row>
    <row r="135" spans="1:7" x14ac:dyDescent="0.2">
      <c r="A135" s="86" t="s">
        <v>131</v>
      </c>
      <c r="B135" s="86" t="s">
        <v>132</v>
      </c>
      <c r="C135" s="89"/>
      <c r="D135" s="86"/>
    </row>
    <row r="136" spans="1:7" x14ac:dyDescent="0.2">
      <c r="A136" s="101" t="s">
        <v>133</v>
      </c>
      <c r="B136" s="101" t="s">
        <v>134</v>
      </c>
      <c r="C136" s="116">
        <v>0.05</v>
      </c>
      <c r="D136" s="102">
        <f>ROUND(C136*$D$128,2)</f>
        <v>0</v>
      </c>
    </row>
    <row r="137" spans="1:7" x14ac:dyDescent="0.2">
      <c r="A137" s="86" t="s">
        <v>135</v>
      </c>
      <c r="B137" s="86" t="s">
        <v>136</v>
      </c>
      <c r="C137" s="89"/>
      <c r="D137" s="86"/>
    </row>
    <row r="138" spans="1:7" x14ac:dyDescent="0.2">
      <c r="A138" s="86" t="s">
        <v>13</v>
      </c>
      <c r="B138" s="86" t="s">
        <v>248</v>
      </c>
      <c r="C138" s="143"/>
      <c r="D138" s="86"/>
    </row>
    <row r="139" spans="1:7" ht="14.25" x14ac:dyDescent="0.2">
      <c r="A139" s="86" t="s">
        <v>249</v>
      </c>
      <c r="B139" s="86" t="s">
        <v>250</v>
      </c>
      <c r="C139" s="143"/>
      <c r="D139" s="144">
        <f>+D157</f>
        <v>15.69</v>
      </c>
    </row>
    <row r="140" spans="1:7" x14ac:dyDescent="0.2">
      <c r="A140" s="86" t="s">
        <v>251</v>
      </c>
      <c r="B140" s="86" t="s">
        <v>252</v>
      </c>
      <c r="C140" s="143"/>
      <c r="D140" s="144">
        <f>+D158</f>
        <v>42</v>
      </c>
    </row>
    <row r="141" spans="1:7" x14ac:dyDescent="0.2">
      <c r="A141" s="299" t="s">
        <v>48</v>
      </c>
      <c r="B141" s="300"/>
      <c r="C141" s="45">
        <f>+C137+C136+C134+C132+C131+C126+C125</f>
        <v>0.20250000000000001</v>
      </c>
      <c r="D141" s="20">
        <f>+D136+D134+D132+D131+D126+D125+D139+D140</f>
        <v>57.69</v>
      </c>
    </row>
    <row r="143" spans="1:7" x14ac:dyDescent="0.2">
      <c r="A143" s="301" t="s">
        <v>137</v>
      </c>
      <c r="B143" s="301"/>
      <c r="C143" s="301"/>
      <c r="D143" s="301"/>
    </row>
    <row r="144" spans="1:7" x14ac:dyDescent="0.2">
      <c r="A144" s="86" t="s">
        <v>6</v>
      </c>
      <c r="B144" s="286" t="s">
        <v>138</v>
      </c>
      <c r="C144" s="286"/>
      <c r="D144" s="84">
        <f>+D23</f>
        <v>0</v>
      </c>
    </row>
    <row r="145" spans="1:5" x14ac:dyDescent="0.2">
      <c r="A145" s="86" t="s">
        <v>139</v>
      </c>
      <c r="B145" s="286" t="s">
        <v>140</v>
      </c>
      <c r="C145" s="286"/>
      <c r="D145" s="84">
        <f>+D64</f>
        <v>0</v>
      </c>
    </row>
    <row r="146" spans="1:5" x14ac:dyDescent="0.2">
      <c r="A146" s="86" t="s">
        <v>11</v>
      </c>
      <c r="B146" s="286" t="s">
        <v>141</v>
      </c>
      <c r="C146" s="286"/>
      <c r="D146" s="84">
        <f>+D75</f>
        <v>0</v>
      </c>
    </row>
    <row r="147" spans="1:5" x14ac:dyDescent="0.2">
      <c r="A147" s="86" t="s">
        <v>13</v>
      </c>
      <c r="B147" s="286" t="s">
        <v>142</v>
      </c>
      <c r="C147" s="286"/>
      <c r="D147" s="84">
        <f>+D107</f>
        <v>0</v>
      </c>
    </row>
    <row r="148" spans="1:5" x14ac:dyDescent="0.2">
      <c r="A148" s="86" t="s">
        <v>34</v>
      </c>
      <c r="B148" s="286" t="s">
        <v>143</v>
      </c>
      <c r="C148" s="286"/>
      <c r="D148" s="84">
        <f>+D120</f>
        <v>0</v>
      </c>
    </row>
    <row r="149" spans="1:5" x14ac:dyDescent="0.2">
      <c r="B149" s="287" t="s">
        <v>144</v>
      </c>
      <c r="C149" s="287"/>
      <c r="D149" s="46">
        <f>SUM(D144:D148)</f>
        <v>0</v>
      </c>
    </row>
    <row r="150" spans="1:5" x14ac:dyDescent="0.2">
      <c r="A150" s="86" t="s">
        <v>36</v>
      </c>
      <c r="B150" s="286" t="s">
        <v>145</v>
      </c>
      <c r="C150" s="286"/>
      <c r="D150" s="84">
        <f>+D141</f>
        <v>57.69</v>
      </c>
    </row>
    <row r="152" spans="1:5" x14ac:dyDescent="0.2">
      <c r="A152" s="288" t="s">
        <v>146</v>
      </c>
      <c r="B152" s="288"/>
      <c r="C152" s="288"/>
      <c r="D152" s="47">
        <f>ROUND(+D150+D149,2)</f>
        <v>57.69</v>
      </c>
    </row>
    <row r="154" spans="1:5" ht="35.25" customHeight="1" x14ac:dyDescent="0.2">
      <c r="A154" s="252" t="s">
        <v>242</v>
      </c>
      <c r="B154" s="252"/>
      <c r="C154" s="252"/>
      <c r="D154" s="252"/>
    </row>
    <row r="155" spans="1:5" x14ac:dyDescent="0.2">
      <c r="A155" s="285" t="s">
        <v>243</v>
      </c>
      <c r="B155" s="285"/>
      <c r="C155" s="285"/>
      <c r="D155" s="285"/>
      <c r="E155" s="118"/>
    </row>
    <row r="156" spans="1:5" ht="22.5" x14ac:dyDescent="0.25">
      <c r="A156" s="2"/>
      <c r="B156" s="138"/>
      <c r="C156" s="139" t="s">
        <v>244</v>
      </c>
      <c r="D156" s="140" t="s">
        <v>245</v>
      </c>
      <c r="E156" s="118"/>
    </row>
    <row r="157" spans="1:5" x14ac:dyDescent="0.2">
      <c r="A157" s="141" t="s">
        <v>246</v>
      </c>
      <c r="B157" s="141"/>
      <c r="C157" s="142">
        <f>ROUND((565/12),2)</f>
        <v>47.08</v>
      </c>
      <c r="D157" s="142">
        <f>ROUND(+C157/+(+Apresentacao!$E$45+Apresentacao!$E$46),2)</f>
        <v>15.69</v>
      </c>
      <c r="E157" s="118"/>
    </row>
    <row r="158" spans="1:5" x14ac:dyDescent="0.2">
      <c r="A158" s="141" t="s">
        <v>247</v>
      </c>
      <c r="B158" s="141"/>
      <c r="C158" s="142">
        <v>126</v>
      </c>
      <c r="D158" s="142">
        <f>ROUND(+C158/+(+Apresentacao!$E$45+Apresentacao!$E$46),2)</f>
        <v>42</v>
      </c>
      <c r="E158" s="118"/>
    </row>
    <row r="159" spans="1:5" x14ac:dyDescent="0.2">
      <c r="A159" s="118"/>
      <c r="B159" s="118"/>
      <c r="C159" s="118"/>
      <c r="D159" s="118"/>
      <c r="E159" s="118"/>
    </row>
    <row r="160" spans="1:5" x14ac:dyDescent="0.2">
      <c r="A160" s="118"/>
      <c r="B160" s="118"/>
      <c r="C160" s="118"/>
      <c r="D160" s="118"/>
      <c r="E160" s="118"/>
    </row>
    <row r="161" spans="1:5" x14ac:dyDescent="0.2">
      <c r="A161" s="118"/>
      <c r="B161" s="118"/>
      <c r="C161" s="118"/>
      <c r="D161" s="118"/>
      <c r="E161" s="118"/>
    </row>
    <row r="162" spans="1:5" x14ac:dyDescent="0.2">
      <c r="A162" s="118"/>
      <c r="B162" s="118"/>
      <c r="C162" s="118"/>
      <c r="D162" s="118"/>
      <c r="E162" s="118"/>
    </row>
    <row r="163" spans="1:5" x14ac:dyDescent="0.2">
      <c r="A163" s="118"/>
      <c r="B163" s="118"/>
      <c r="C163" s="118"/>
      <c r="D163" s="118"/>
      <c r="E163" s="118"/>
    </row>
    <row r="164" spans="1:5" x14ac:dyDescent="0.2">
      <c r="A164" s="118"/>
      <c r="B164" s="118"/>
      <c r="C164" s="118"/>
      <c r="D164" s="118"/>
      <c r="E164" s="118"/>
    </row>
    <row r="165" spans="1:5" x14ac:dyDescent="0.2">
      <c r="A165" s="118"/>
      <c r="B165" s="118"/>
      <c r="C165" s="118"/>
      <c r="D165" s="118"/>
      <c r="E165" s="118"/>
    </row>
    <row r="166" spans="1:5" x14ac:dyDescent="0.2">
      <c r="A166" s="118"/>
      <c r="B166" s="118"/>
      <c r="C166" s="118"/>
      <c r="D166" s="118"/>
      <c r="E166" s="118"/>
    </row>
  </sheetData>
  <mergeCells count="79">
    <mergeCell ref="B17:C17"/>
    <mergeCell ref="A1:D1"/>
    <mergeCell ref="A3:D3"/>
    <mergeCell ref="C4:D4"/>
    <mergeCell ref="C5:D5"/>
    <mergeCell ref="C6:D6"/>
    <mergeCell ref="C7:D7"/>
    <mergeCell ref="C8:D8"/>
    <mergeCell ref="A10:D10"/>
    <mergeCell ref="B12:C12"/>
    <mergeCell ref="B15:C15"/>
    <mergeCell ref="B16:C16"/>
    <mergeCell ref="A59:D59"/>
    <mergeCell ref="B18:C18"/>
    <mergeCell ref="B19:C19"/>
    <mergeCell ref="B21:C21"/>
    <mergeCell ref="B22:C22"/>
    <mergeCell ref="A23:C23"/>
    <mergeCell ref="A25:D25"/>
    <mergeCell ref="A27:D27"/>
    <mergeCell ref="A33:C33"/>
    <mergeCell ref="A35:D35"/>
    <mergeCell ref="A47:D47"/>
    <mergeCell ref="A57:B57"/>
    <mergeCell ref="B82:C82"/>
    <mergeCell ref="B60:C60"/>
    <mergeCell ref="B61:C61"/>
    <mergeCell ref="B62:C62"/>
    <mergeCell ref="B63:C63"/>
    <mergeCell ref="A64:C64"/>
    <mergeCell ref="A66:D66"/>
    <mergeCell ref="A75:C75"/>
    <mergeCell ref="A77:D77"/>
    <mergeCell ref="A79:D79"/>
    <mergeCell ref="B80:C80"/>
    <mergeCell ref="B81:C81"/>
    <mergeCell ref="B95:C95"/>
    <mergeCell ref="B83:C83"/>
    <mergeCell ref="B84:C84"/>
    <mergeCell ref="B85:C85"/>
    <mergeCell ref="B86:C86"/>
    <mergeCell ref="B87:C87"/>
    <mergeCell ref="B88:C88"/>
    <mergeCell ref="A89:C89"/>
    <mergeCell ref="B91:C91"/>
    <mergeCell ref="B92:C92"/>
    <mergeCell ref="B93:C93"/>
    <mergeCell ref="B94:C94"/>
    <mergeCell ref="B112:C112"/>
    <mergeCell ref="A96:C96"/>
    <mergeCell ref="B98:C98"/>
    <mergeCell ref="B99:C99"/>
    <mergeCell ref="A100:C100"/>
    <mergeCell ref="B103:C103"/>
    <mergeCell ref="B104:C104"/>
    <mergeCell ref="B105:C105"/>
    <mergeCell ref="B106:C106"/>
    <mergeCell ref="A107:C107"/>
    <mergeCell ref="A109:D109"/>
    <mergeCell ref="B111:C111"/>
    <mergeCell ref="B146:C146"/>
    <mergeCell ref="B114:C114"/>
    <mergeCell ref="B116:C116"/>
    <mergeCell ref="B118:C118"/>
    <mergeCell ref="A120:C120"/>
    <mergeCell ref="A122:D122"/>
    <mergeCell ref="A127:C127"/>
    <mergeCell ref="A128:C128"/>
    <mergeCell ref="A141:B141"/>
    <mergeCell ref="A143:D143"/>
    <mergeCell ref="B144:C144"/>
    <mergeCell ref="B145:C145"/>
    <mergeCell ref="A155:D155"/>
    <mergeCell ref="B147:C147"/>
    <mergeCell ref="B148:C148"/>
    <mergeCell ref="B149:C149"/>
    <mergeCell ref="B150:C150"/>
    <mergeCell ref="A152:C152"/>
    <mergeCell ref="A154:D154"/>
  </mergeCells>
  <pageMargins left="0.51181102362204722" right="0.51181102362204722" top="0.35" bottom="0.78740157480314965" header="0.31496062992125984" footer="0.31496062992125984"/>
  <pageSetup paperSize="9" scale="70" orientation="portrait" r:id="rId1"/>
  <headerFooter>
    <oddFooter>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C127"/>
  <sheetViews>
    <sheetView workbookViewId="0">
      <selection activeCell="B8" sqref="B8"/>
    </sheetView>
  </sheetViews>
  <sheetFormatPr defaultRowHeight="12.75" x14ac:dyDescent="0.2"/>
  <cols>
    <col min="1" max="1" width="73.7109375" style="71" customWidth="1"/>
    <col min="2" max="2" width="16.42578125" style="71" bestFit="1" customWidth="1"/>
    <col min="3" max="3" width="13.85546875" style="71" bestFit="1" customWidth="1"/>
    <col min="4" max="4" width="10.7109375" style="71" bestFit="1" customWidth="1"/>
    <col min="5" max="5" width="79" style="71" customWidth="1"/>
    <col min="6" max="16384" width="9.140625" style="71"/>
  </cols>
  <sheetData>
    <row r="1" spans="1:3" ht="33" customHeight="1" x14ac:dyDescent="0.2">
      <c r="A1" s="364" t="s">
        <v>327</v>
      </c>
      <c r="B1" s="364"/>
      <c r="C1" s="364"/>
    </row>
    <row r="3" spans="1:3" x14ac:dyDescent="0.2">
      <c r="A3" s="86" t="s">
        <v>147</v>
      </c>
      <c r="B3" s="86">
        <v>220</v>
      </c>
    </row>
    <row r="4" spans="1:3" x14ac:dyDescent="0.2">
      <c r="A4" s="86" t="s">
        <v>148</v>
      </c>
      <c r="B4" s="86">
        <v>365.25</v>
      </c>
    </row>
    <row r="5" spans="1:3" x14ac:dyDescent="0.2">
      <c r="A5" s="86" t="s">
        <v>149</v>
      </c>
      <c r="B5" s="49">
        <f>(365.25/12)/(7/5)</f>
        <v>21.741071428571431</v>
      </c>
    </row>
    <row r="6" spans="1:3" x14ac:dyDescent="0.2">
      <c r="A6" s="95" t="s">
        <v>30</v>
      </c>
      <c r="B6" s="90">
        <f>+'Camareiro 44h'!D12</f>
        <v>0</v>
      </c>
    </row>
    <row r="7" spans="1:3" x14ac:dyDescent="0.2">
      <c r="A7" s="95" t="s">
        <v>150</v>
      </c>
      <c r="B7" s="90">
        <f>+'Camareiro 44h'!D23</f>
        <v>0</v>
      </c>
    </row>
    <row r="9" spans="1:3" x14ac:dyDescent="0.2">
      <c r="A9" s="353" t="s">
        <v>151</v>
      </c>
      <c r="B9" s="354"/>
      <c r="C9" s="355"/>
    </row>
    <row r="10" spans="1:3" x14ac:dyDescent="0.2">
      <c r="A10" s="86" t="s">
        <v>152</v>
      </c>
      <c r="B10" s="86">
        <f>+$B$4</f>
        <v>365.25</v>
      </c>
      <c r="C10" s="107"/>
    </row>
    <row r="11" spans="1:3" x14ac:dyDescent="0.2">
      <c r="A11" s="86" t="s">
        <v>153</v>
      </c>
      <c r="B11" s="95">
        <v>12</v>
      </c>
      <c r="C11" s="107"/>
    </row>
    <row r="12" spans="1:3" x14ac:dyDescent="0.2">
      <c r="A12" s="86" t="s">
        <v>154</v>
      </c>
      <c r="B12" s="89">
        <v>1</v>
      </c>
      <c r="C12" s="107"/>
    </row>
    <row r="13" spans="1:3" x14ac:dyDescent="0.2">
      <c r="A13" s="95" t="s">
        <v>155</v>
      </c>
      <c r="B13" s="119">
        <f>+B5</f>
        <v>21.741071428571431</v>
      </c>
      <c r="C13" s="107"/>
    </row>
    <row r="14" spans="1:3" x14ac:dyDescent="0.2">
      <c r="A14" s="101" t="s">
        <v>156</v>
      </c>
      <c r="B14" s="120"/>
      <c r="C14" s="107"/>
    </row>
    <row r="15" spans="1:3" x14ac:dyDescent="0.2">
      <c r="A15" s="86" t="s">
        <v>157</v>
      </c>
      <c r="B15" s="89">
        <v>0.06</v>
      </c>
      <c r="C15" s="107"/>
    </row>
    <row r="16" spans="1:3" x14ac:dyDescent="0.2">
      <c r="A16" s="334" t="s">
        <v>158</v>
      </c>
      <c r="B16" s="335"/>
      <c r="C16" s="48">
        <f>ROUND((B13*(B14*2)-($B$6*B15)),2)</f>
        <v>0</v>
      </c>
    </row>
    <row r="18" spans="1:3" x14ac:dyDescent="0.2">
      <c r="A18" s="353" t="s">
        <v>159</v>
      </c>
      <c r="B18" s="354"/>
      <c r="C18" s="355"/>
    </row>
    <row r="19" spans="1:3" x14ac:dyDescent="0.2">
      <c r="A19" s="86" t="s">
        <v>152</v>
      </c>
      <c r="B19" s="86">
        <f>+$B$4</f>
        <v>365.25</v>
      </c>
      <c r="C19" s="107"/>
    </row>
    <row r="20" spans="1:3" x14ac:dyDescent="0.2">
      <c r="A20" s="86" t="s">
        <v>153</v>
      </c>
      <c r="B20" s="95">
        <v>12</v>
      </c>
      <c r="C20" s="107"/>
    </row>
    <row r="21" spans="1:3" x14ac:dyDescent="0.2">
      <c r="A21" s="86" t="s">
        <v>154</v>
      </c>
      <c r="B21" s="89">
        <v>1</v>
      </c>
      <c r="C21" s="107"/>
    </row>
    <row r="22" spans="1:3" x14ac:dyDescent="0.2">
      <c r="A22" s="95" t="s">
        <v>155</v>
      </c>
      <c r="B22" s="119">
        <f>+B5</f>
        <v>21.741071428571431</v>
      </c>
      <c r="C22" s="107"/>
    </row>
    <row r="23" spans="1:3" x14ac:dyDescent="0.2">
      <c r="A23" s="101" t="s">
        <v>160</v>
      </c>
      <c r="B23" s="120"/>
      <c r="C23" s="107"/>
    </row>
    <row r="24" spans="1:3" x14ac:dyDescent="0.2">
      <c r="A24" s="86" t="s">
        <v>161</v>
      </c>
      <c r="B24" s="89">
        <v>0.1</v>
      </c>
      <c r="C24" s="107"/>
    </row>
    <row r="25" spans="1:3" x14ac:dyDescent="0.2">
      <c r="A25" s="334" t="s">
        <v>160</v>
      </c>
      <c r="B25" s="335"/>
      <c r="C25" s="48">
        <f>ROUND((B22*(B23)-((B22*B23)*B24)),2)</f>
        <v>0</v>
      </c>
    </row>
    <row r="27" spans="1:3" x14ac:dyDescent="0.2">
      <c r="A27" s="353" t="s">
        <v>162</v>
      </c>
      <c r="B27" s="354"/>
      <c r="C27" s="355"/>
    </row>
    <row r="28" spans="1:3" x14ac:dyDescent="0.2">
      <c r="A28" s="86" t="s">
        <v>163</v>
      </c>
      <c r="B28" s="90">
        <f>+B7</f>
        <v>0</v>
      </c>
      <c r="C28" s="107"/>
    </row>
    <row r="29" spans="1:3" x14ac:dyDescent="0.2">
      <c r="A29" s="86" t="s">
        <v>164</v>
      </c>
      <c r="B29" s="86">
        <v>12</v>
      </c>
      <c r="C29" s="107"/>
    </row>
    <row r="30" spans="1:3" x14ac:dyDescent="0.2">
      <c r="A30" s="101" t="s">
        <v>165</v>
      </c>
      <c r="B30" s="116"/>
      <c r="C30" s="107"/>
    </row>
    <row r="31" spans="1:3" x14ac:dyDescent="0.2">
      <c r="A31" s="334" t="s">
        <v>166</v>
      </c>
      <c r="B31" s="335"/>
      <c r="C31" s="48">
        <f>ROUND(+(B28/B29)*B30,2)</f>
        <v>0</v>
      </c>
    </row>
    <row r="33" spans="1:3" x14ac:dyDescent="0.2">
      <c r="A33" s="336" t="s">
        <v>167</v>
      </c>
      <c r="B33" s="337"/>
      <c r="C33" s="338"/>
    </row>
    <row r="34" spans="1:3" s="97" customFormat="1" x14ac:dyDescent="0.2">
      <c r="A34" s="121" t="s">
        <v>168</v>
      </c>
      <c r="B34" s="116">
        <f>+B30</f>
        <v>0</v>
      </c>
      <c r="C34" s="107"/>
    </row>
    <row r="35" spans="1:3" x14ac:dyDescent="0.2">
      <c r="A35" s="86" t="s">
        <v>169</v>
      </c>
      <c r="B35" s="90">
        <f>+'Camareiro 44h'!$D$23</f>
        <v>0</v>
      </c>
      <c r="C35" s="107"/>
    </row>
    <row r="36" spans="1:3" x14ac:dyDescent="0.2">
      <c r="A36" s="86" t="s">
        <v>53</v>
      </c>
      <c r="B36" s="90">
        <f>+'Camareiro 44h'!$D$29</f>
        <v>0</v>
      </c>
      <c r="C36" s="107"/>
    </row>
    <row r="37" spans="1:3" x14ac:dyDescent="0.2">
      <c r="A37" s="86" t="s">
        <v>56</v>
      </c>
      <c r="B37" s="90">
        <f>+'Camareiro 44h'!$D$31</f>
        <v>0</v>
      </c>
      <c r="C37" s="107"/>
    </row>
    <row r="38" spans="1:3" x14ac:dyDescent="0.2">
      <c r="A38" s="86" t="s">
        <v>58</v>
      </c>
      <c r="B38" s="90">
        <f>+'Camareiro 44h'!$D$32</f>
        <v>0</v>
      </c>
      <c r="C38" s="107"/>
    </row>
    <row r="39" spans="1:3" x14ac:dyDescent="0.2">
      <c r="A39" s="50" t="s">
        <v>170</v>
      </c>
      <c r="B39" s="51">
        <f>SUM(B35:B38)</f>
        <v>0</v>
      </c>
      <c r="C39" s="107"/>
    </row>
    <row r="40" spans="1:3" x14ac:dyDescent="0.2">
      <c r="A40" s="95" t="s">
        <v>171</v>
      </c>
      <c r="B40" s="89">
        <v>0.4</v>
      </c>
      <c r="C40" s="107"/>
    </row>
    <row r="41" spans="1:3" x14ac:dyDescent="0.2">
      <c r="A41" s="95" t="s">
        <v>172</v>
      </c>
      <c r="B41" s="89">
        <f>+'Camareiro 44h'!$C$44</f>
        <v>0.08</v>
      </c>
      <c r="C41" s="107"/>
    </row>
    <row r="42" spans="1:3" x14ac:dyDescent="0.2">
      <c r="A42" s="305" t="s">
        <v>173</v>
      </c>
      <c r="B42" s="306"/>
      <c r="C42" s="41">
        <f>ROUND(+B39*B40*B41*B34,2)</f>
        <v>0</v>
      </c>
    </row>
    <row r="43" spans="1:3" x14ac:dyDescent="0.2">
      <c r="A43" s="334" t="s">
        <v>174</v>
      </c>
      <c r="B43" s="335"/>
      <c r="C43" s="42">
        <f>+C42</f>
        <v>0</v>
      </c>
    </row>
    <row r="45" spans="1:3" x14ac:dyDescent="0.2">
      <c r="A45" s="353" t="s">
        <v>175</v>
      </c>
      <c r="B45" s="354"/>
      <c r="C45" s="355"/>
    </row>
    <row r="46" spans="1:3" x14ac:dyDescent="0.2">
      <c r="A46" s="86" t="s">
        <v>163</v>
      </c>
      <c r="B46" s="90">
        <f>+B7</f>
        <v>0</v>
      </c>
      <c r="C46" s="107"/>
    </row>
    <row r="47" spans="1:3" x14ac:dyDescent="0.2">
      <c r="A47" s="86" t="s">
        <v>176</v>
      </c>
      <c r="B47" s="122">
        <v>30</v>
      </c>
      <c r="C47" s="107"/>
    </row>
    <row r="48" spans="1:3" x14ac:dyDescent="0.2">
      <c r="A48" s="86" t="s">
        <v>164</v>
      </c>
      <c r="B48" s="86">
        <v>12</v>
      </c>
      <c r="C48" s="107"/>
    </row>
    <row r="49" spans="1:3" x14ac:dyDescent="0.2">
      <c r="A49" s="86" t="s">
        <v>177</v>
      </c>
      <c r="B49" s="86">
        <v>7</v>
      </c>
      <c r="C49" s="107"/>
    </row>
    <row r="50" spans="1:3" x14ac:dyDescent="0.2">
      <c r="A50" s="101" t="s">
        <v>178</v>
      </c>
      <c r="B50" s="116"/>
      <c r="C50" s="107"/>
    </row>
    <row r="51" spans="1:3" x14ac:dyDescent="0.2">
      <c r="A51" s="334" t="s">
        <v>179</v>
      </c>
      <c r="B51" s="335"/>
      <c r="C51" s="48">
        <f>+ROUND(((B46/B47/B48)*B49)*B50,2)</f>
        <v>0</v>
      </c>
    </row>
    <row r="53" spans="1:3" x14ac:dyDescent="0.2">
      <c r="A53" s="336" t="s">
        <v>180</v>
      </c>
      <c r="B53" s="337"/>
      <c r="C53" s="338"/>
    </row>
    <row r="54" spans="1:3" x14ac:dyDescent="0.2">
      <c r="A54" s="121" t="s">
        <v>181</v>
      </c>
      <c r="B54" s="116">
        <f>+B50</f>
        <v>0</v>
      </c>
      <c r="C54" s="107"/>
    </row>
    <row r="55" spans="1:3" x14ac:dyDescent="0.2">
      <c r="A55" s="86" t="s">
        <v>169</v>
      </c>
      <c r="B55" s="90">
        <f>+'Camareiro 44h'!$D$23</f>
        <v>0</v>
      </c>
      <c r="C55" s="107"/>
    </row>
    <row r="56" spans="1:3" x14ac:dyDescent="0.2">
      <c r="A56" s="86" t="s">
        <v>53</v>
      </c>
      <c r="B56" s="90">
        <f>+'Camareiro 44h'!$D$29</f>
        <v>0</v>
      </c>
      <c r="C56" s="107"/>
    </row>
    <row r="57" spans="1:3" x14ac:dyDescent="0.2">
      <c r="A57" s="86" t="s">
        <v>56</v>
      </c>
      <c r="B57" s="90">
        <f>+'Camareiro 44h'!$D$31</f>
        <v>0</v>
      </c>
      <c r="C57" s="107"/>
    </row>
    <row r="58" spans="1:3" x14ac:dyDescent="0.2">
      <c r="A58" s="86" t="s">
        <v>58</v>
      </c>
      <c r="B58" s="90">
        <f>+'Camareiro 44h'!$D$32</f>
        <v>0</v>
      </c>
      <c r="C58" s="107"/>
    </row>
    <row r="59" spans="1:3" x14ac:dyDescent="0.2">
      <c r="A59" s="50" t="s">
        <v>170</v>
      </c>
      <c r="B59" s="51">
        <f>SUM(B55:B58)</f>
        <v>0</v>
      </c>
      <c r="C59" s="107"/>
    </row>
    <row r="60" spans="1:3" x14ac:dyDescent="0.2">
      <c r="A60" s="95" t="s">
        <v>171</v>
      </c>
      <c r="B60" s="89">
        <v>0.4</v>
      </c>
      <c r="C60" s="107"/>
    </row>
    <row r="61" spans="1:3" x14ac:dyDescent="0.2">
      <c r="A61" s="95" t="s">
        <v>172</v>
      </c>
      <c r="B61" s="89">
        <f>+'Camareiro 44h'!$C$44</f>
        <v>0.08</v>
      </c>
      <c r="C61" s="107"/>
    </row>
    <row r="62" spans="1:3" x14ac:dyDescent="0.2">
      <c r="A62" s="305" t="s">
        <v>173</v>
      </c>
      <c r="B62" s="306"/>
      <c r="C62" s="41">
        <f>ROUND(+B59*B60*B61*B54,2)</f>
        <v>0</v>
      </c>
    </row>
    <row r="63" spans="1:3" x14ac:dyDescent="0.2">
      <c r="A63" s="334" t="s">
        <v>182</v>
      </c>
      <c r="B63" s="335"/>
      <c r="C63" s="42">
        <f>+C62</f>
        <v>0</v>
      </c>
    </row>
    <row r="65" spans="1:3" x14ac:dyDescent="0.2">
      <c r="A65" s="336" t="s">
        <v>183</v>
      </c>
      <c r="B65" s="337"/>
      <c r="C65" s="338"/>
    </row>
    <row r="66" spans="1:3" x14ac:dyDescent="0.2">
      <c r="A66" s="343" t="s">
        <v>184</v>
      </c>
      <c r="B66" s="344"/>
      <c r="C66" s="345"/>
    </row>
    <row r="67" spans="1:3" x14ac:dyDescent="0.2">
      <c r="A67" s="346"/>
      <c r="B67" s="347"/>
      <c r="C67" s="348"/>
    </row>
    <row r="68" spans="1:3" x14ac:dyDescent="0.2">
      <c r="A68" s="346"/>
      <c r="B68" s="347"/>
      <c r="C68" s="348"/>
    </row>
    <row r="69" spans="1:3" x14ac:dyDescent="0.2">
      <c r="A69" s="349"/>
      <c r="B69" s="350"/>
      <c r="C69" s="351"/>
    </row>
    <row r="70" spans="1:3" x14ac:dyDescent="0.2">
      <c r="A70" s="123"/>
      <c r="B70" s="123"/>
      <c r="C70" s="123"/>
    </row>
    <row r="71" spans="1:3" x14ac:dyDescent="0.2">
      <c r="A71" s="336" t="s">
        <v>185</v>
      </c>
      <c r="B71" s="337"/>
      <c r="C71" s="338"/>
    </row>
    <row r="72" spans="1:3" x14ac:dyDescent="0.2">
      <c r="A72" s="86" t="s">
        <v>186</v>
      </c>
      <c r="B72" s="90">
        <f>+$B$7</f>
        <v>0</v>
      </c>
      <c r="C72" s="107"/>
    </row>
    <row r="73" spans="1:3" x14ac:dyDescent="0.2">
      <c r="A73" s="86" t="s">
        <v>153</v>
      </c>
      <c r="B73" s="86">
        <v>30</v>
      </c>
      <c r="C73" s="107"/>
    </row>
    <row r="74" spans="1:3" x14ac:dyDescent="0.2">
      <c r="A74" s="86" t="s">
        <v>187</v>
      </c>
      <c r="B74" s="86">
        <v>12</v>
      </c>
      <c r="C74" s="107"/>
    </row>
    <row r="75" spans="1:3" x14ac:dyDescent="0.2">
      <c r="A75" s="101" t="s">
        <v>188</v>
      </c>
      <c r="B75" s="101"/>
      <c r="C75" s="107"/>
    </row>
    <row r="76" spans="1:3" x14ac:dyDescent="0.2">
      <c r="A76" s="334" t="s">
        <v>189</v>
      </c>
      <c r="B76" s="335"/>
      <c r="C76" s="36">
        <f>+ROUND((B72/B73/B74)*B75,2)</f>
        <v>0</v>
      </c>
    </row>
    <row r="78" spans="1:3" x14ac:dyDescent="0.2">
      <c r="A78" s="336" t="s">
        <v>190</v>
      </c>
      <c r="B78" s="337"/>
      <c r="C78" s="338"/>
    </row>
    <row r="79" spans="1:3" x14ac:dyDescent="0.2">
      <c r="A79" s="86" t="s">
        <v>186</v>
      </c>
      <c r="B79" s="90">
        <f>+$B$7</f>
        <v>0</v>
      </c>
      <c r="C79" s="107"/>
    </row>
    <row r="80" spans="1:3" x14ac:dyDescent="0.2">
      <c r="A80" s="86" t="s">
        <v>153</v>
      </c>
      <c r="B80" s="86">
        <v>30</v>
      </c>
      <c r="C80" s="107"/>
    </row>
    <row r="81" spans="1:3" x14ac:dyDescent="0.2">
      <c r="A81" s="86" t="s">
        <v>187</v>
      </c>
      <c r="B81" s="86">
        <v>12</v>
      </c>
      <c r="C81" s="107"/>
    </row>
    <row r="82" spans="1:3" x14ac:dyDescent="0.2">
      <c r="A82" s="95" t="s">
        <v>191</v>
      </c>
      <c r="B82" s="86">
        <v>5</v>
      </c>
      <c r="C82" s="107"/>
    </row>
    <row r="83" spans="1:3" x14ac:dyDescent="0.2">
      <c r="A83" s="101" t="s">
        <v>192</v>
      </c>
      <c r="B83" s="116"/>
      <c r="C83" s="107"/>
    </row>
    <row r="84" spans="1:3" x14ac:dyDescent="0.2">
      <c r="A84" s="101" t="s">
        <v>193</v>
      </c>
      <c r="B84" s="116"/>
      <c r="C84" s="107"/>
    </row>
    <row r="85" spans="1:3" x14ac:dyDescent="0.2">
      <c r="A85" s="334" t="s">
        <v>194</v>
      </c>
      <c r="B85" s="335"/>
      <c r="C85" s="48">
        <f>ROUND(+B79/B80/B81*B82*B83*B84,2)</f>
        <v>0</v>
      </c>
    </row>
    <row r="87" spans="1:3" x14ac:dyDescent="0.2">
      <c r="A87" s="336" t="s">
        <v>195</v>
      </c>
      <c r="B87" s="337"/>
      <c r="C87" s="338"/>
    </row>
    <row r="88" spans="1:3" x14ac:dyDescent="0.2">
      <c r="A88" s="86" t="s">
        <v>186</v>
      </c>
      <c r="B88" s="90">
        <f>+$B$7</f>
        <v>0</v>
      </c>
      <c r="C88" s="107"/>
    </row>
    <row r="89" spans="1:3" x14ac:dyDescent="0.2">
      <c r="A89" s="86" t="s">
        <v>153</v>
      </c>
      <c r="B89" s="86">
        <v>30</v>
      </c>
      <c r="C89" s="107"/>
    </row>
    <row r="90" spans="1:3" x14ac:dyDescent="0.2">
      <c r="A90" s="86" t="s">
        <v>187</v>
      </c>
      <c r="B90" s="86">
        <v>12</v>
      </c>
      <c r="C90" s="107"/>
    </row>
    <row r="91" spans="1:3" x14ac:dyDescent="0.2">
      <c r="A91" s="95" t="s">
        <v>196</v>
      </c>
      <c r="B91" s="86">
        <v>15</v>
      </c>
      <c r="C91" s="107"/>
    </row>
    <row r="92" spans="1:3" x14ac:dyDescent="0.2">
      <c r="A92" s="101" t="s">
        <v>197</v>
      </c>
      <c r="B92" s="116"/>
      <c r="C92" s="107"/>
    </row>
    <row r="93" spans="1:3" x14ac:dyDescent="0.2">
      <c r="A93" s="334" t="s">
        <v>198</v>
      </c>
      <c r="B93" s="335"/>
      <c r="C93" s="48">
        <f>ROUND(+B88/B89/B90*B91*B92,2)</f>
        <v>0</v>
      </c>
    </row>
    <row r="95" spans="1:3" x14ac:dyDescent="0.2">
      <c r="A95" s="336" t="s">
        <v>199</v>
      </c>
      <c r="B95" s="337"/>
      <c r="C95" s="338"/>
    </row>
    <row r="96" spans="1:3" x14ac:dyDescent="0.2">
      <c r="A96" s="86" t="s">
        <v>186</v>
      </c>
      <c r="B96" s="90">
        <f>+$B$7</f>
        <v>0</v>
      </c>
      <c r="C96" s="107"/>
    </row>
    <row r="97" spans="1:3" x14ac:dyDescent="0.2">
      <c r="A97" s="86" t="s">
        <v>153</v>
      </c>
      <c r="B97" s="86">
        <v>30</v>
      </c>
      <c r="C97" s="107"/>
    </row>
    <row r="98" spans="1:3" x14ac:dyDescent="0.2">
      <c r="A98" s="86" t="s">
        <v>187</v>
      </c>
      <c r="B98" s="86">
        <v>12</v>
      </c>
      <c r="C98" s="107"/>
    </row>
    <row r="99" spans="1:3" x14ac:dyDescent="0.2">
      <c r="A99" s="95" t="s">
        <v>196</v>
      </c>
      <c r="B99" s="86">
        <v>5</v>
      </c>
      <c r="C99" s="107"/>
    </row>
    <row r="100" spans="1:3" x14ac:dyDescent="0.2">
      <c r="A100" s="101" t="s">
        <v>200</v>
      </c>
      <c r="B100" s="116"/>
      <c r="C100" s="107"/>
    </row>
    <row r="101" spans="1:3" x14ac:dyDescent="0.2">
      <c r="A101" s="334" t="s">
        <v>201</v>
      </c>
      <c r="B101" s="335"/>
      <c r="C101" s="48">
        <f>ROUND(+B96/B97/B98*B99*B100,2)</f>
        <v>0</v>
      </c>
    </row>
    <row r="103" spans="1:3" x14ac:dyDescent="0.2">
      <c r="A103" s="336" t="s">
        <v>202</v>
      </c>
      <c r="B103" s="337"/>
      <c r="C103" s="338"/>
    </row>
    <row r="104" spans="1:3" x14ac:dyDescent="0.2">
      <c r="A104" s="339" t="s">
        <v>203</v>
      </c>
      <c r="B104" s="340"/>
      <c r="C104" s="341"/>
    </row>
    <row r="105" spans="1:3" x14ac:dyDescent="0.2">
      <c r="A105" s="86" t="s">
        <v>186</v>
      </c>
      <c r="B105" s="90">
        <f>+$B$7</f>
        <v>0</v>
      </c>
      <c r="C105" s="107"/>
    </row>
    <row r="106" spans="1:3" x14ac:dyDescent="0.2">
      <c r="A106" s="86" t="s">
        <v>204</v>
      </c>
      <c r="B106" s="90">
        <f>+B105*(1/3)</f>
        <v>0</v>
      </c>
      <c r="C106" s="107"/>
    </row>
    <row r="107" spans="1:3" x14ac:dyDescent="0.2">
      <c r="A107" s="50" t="s">
        <v>170</v>
      </c>
      <c r="B107" s="51">
        <f>SUM(B105:B106)</f>
        <v>0</v>
      </c>
      <c r="C107" s="107"/>
    </row>
    <row r="108" spans="1:3" x14ac:dyDescent="0.2">
      <c r="A108" s="86" t="s">
        <v>205</v>
      </c>
      <c r="B108" s="86">
        <v>4</v>
      </c>
      <c r="C108" s="107"/>
    </row>
    <row r="109" spans="1:3" x14ac:dyDescent="0.2">
      <c r="A109" s="86" t="s">
        <v>187</v>
      </c>
      <c r="B109" s="86">
        <v>12</v>
      </c>
      <c r="C109" s="107"/>
    </row>
    <row r="110" spans="1:3" x14ac:dyDescent="0.2">
      <c r="A110" s="101" t="s">
        <v>206</v>
      </c>
      <c r="B110" s="116"/>
      <c r="C110" s="107"/>
    </row>
    <row r="111" spans="1:3" x14ac:dyDescent="0.2">
      <c r="A111" s="101" t="s">
        <v>207</v>
      </c>
      <c r="B111" s="116"/>
      <c r="C111" s="107"/>
    </row>
    <row r="112" spans="1:3" x14ac:dyDescent="0.2">
      <c r="A112" s="334" t="s">
        <v>208</v>
      </c>
      <c r="B112" s="335"/>
      <c r="C112" s="48">
        <f>ROUND((((+B107*(B108/B109)/B109)*B110)*B111),2)</f>
        <v>0</v>
      </c>
    </row>
    <row r="113" spans="1:3" x14ac:dyDescent="0.2">
      <c r="A113" s="334" t="s">
        <v>209</v>
      </c>
      <c r="B113" s="342"/>
      <c r="C113" s="335"/>
    </row>
    <row r="114" spans="1:3" x14ac:dyDescent="0.2">
      <c r="A114" s="86" t="s">
        <v>186</v>
      </c>
      <c r="B114" s="90">
        <f>+'Camareiro 44h'!D23</f>
        <v>0</v>
      </c>
      <c r="C114" s="107"/>
    </row>
    <row r="115" spans="1:3" x14ac:dyDescent="0.2">
      <c r="A115" s="86" t="s">
        <v>53</v>
      </c>
      <c r="B115" s="90">
        <f>+'Camareiro 44h'!D29</f>
        <v>0</v>
      </c>
      <c r="C115" s="107"/>
    </row>
    <row r="116" spans="1:3" x14ac:dyDescent="0.2">
      <c r="A116" s="50" t="s">
        <v>170</v>
      </c>
      <c r="B116" s="51">
        <f>SUM(B114:B115)</f>
        <v>0</v>
      </c>
      <c r="C116" s="107"/>
    </row>
    <row r="117" spans="1:3" x14ac:dyDescent="0.2">
      <c r="A117" s="86" t="s">
        <v>205</v>
      </c>
      <c r="B117" s="86">
        <v>4</v>
      </c>
      <c r="C117" s="107"/>
    </row>
    <row r="118" spans="1:3" x14ac:dyDescent="0.2">
      <c r="A118" s="86" t="s">
        <v>187</v>
      </c>
      <c r="B118" s="86">
        <v>12</v>
      </c>
      <c r="C118" s="107"/>
    </row>
    <row r="119" spans="1:3" x14ac:dyDescent="0.2">
      <c r="A119" s="101" t="s">
        <v>206</v>
      </c>
      <c r="B119" s="116">
        <f>+B110</f>
        <v>0</v>
      </c>
      <c r="C119" s="107"/>
    </row>
    <row r="120" spans="1:3" x14ac:dyDescent="0.2">
      <c r="A120" s="101" t="s">
        <v>207</v>
      </c>
      <c r="B120" s="116">
        <f>+B111</f>
        <v>0</v>
      </c>
      <c r="C120" s="107"/>
    </row>
    <row r="121" spans="1:3" x14ac:dyDescent="0.2">
      <c r="A121" s="95" t="s">
        <v>210</v>
      </c>
      <c r="B121" s="89">
        <f>+'Camareiro 44h'!C45</f>
        <v>0.36800000000000005</v>
      </c>
      <c r="C121" s="107"/>
    </row>
    <row r="122" spans="1:3" x14ac:dyDescent="0.2">
      <c r="A122" s="334" t="s">
        <v>211</v>
      </c>
      <c r="B122" s="335"/>
      <c r="C122" s="42">
        <f>ROUND((((B116*(B117/B118)*B119)*B120)*B121),2)</f>
        <v>0</v>
      </c>
    </row>
    <row r="124" spans="1:3" ht="30.75" customHeight="1" x14ac:dyDescent="0.2">
      <c r="A124" s="333" t="s">
        <v>329</v>
      </c>
      <c r="B124" s="333"/>
      <c r="C124" s="333"/>
    </row>
    <row r="125" spans="1:3" x14ac:dyDescent="0.2">
      <c r="C125" s="124"/>
    </row>
    <row r="126" spans="1:3" x14ac:dyDescent="0.2">
      <c r="C126" s="112"/>
    </row>
    <row r="127" spans="1:3" x14ac:dyDescent="0.2">
      <c r="C127" s="112"/>
    </row>
  </sheetData>
  <mergeCells count="31">
    <mergeCell ref="A51:B51"/>
    <mergeCell ref="A1:C1"/>
    <mergeCell ref="A9:C9"/>
    <mergeCell ref="A16:B16"/>
    <mergeCell ref="A18:C18"/>
    <mergeCell ref="A25:B25"/>
    <mergeCell ref="A27:C27"/>
    <mergeCell ref="A31:B31"/>
    <mergeCell ref="A33:C33"/>
    <mergeCell ref="A42:B42"/>
    <mergeCell ref="A43:B43"/>
    <mergeCell ref="A45:C45"/>
    <mergeCell ref="A95:C95"/>
    <mergeCell ref="A53:C53"/>
    <mergeCell ref="A62:B62"/>
    <mergeCell ref="A63:B63"/>
    <mergeCell ref="A65:C65"/>
    <mergeCell ref="A66:C69"/>
    <mergeCell ref="A71:C71"/>
    <mergeCell ref="A76:B76"/>
    <mergeCell ref="A78:C78"/>
    <mergeCell ref="A85:B85"/>
    <mergeCell ref="A87:C87"/>
    <mergeCell ref="A93:B93"/>
    <mergeCell ref="A124:C124"/>
    <mergeCell ref="A101:B101"/>
    <mergeCell ref="A103:C103"/>
    <mergeCell ref="A104:C104"/>
    <mergeCell ref="A112:B112"/>
    <mergeCell ref="A113:C113"/>
    <mergeCell ref="A122:B122"/>
  </mergeCells>
  <pageMargins left="0.51181102362204722" right="0.51181102362204722" top="0.78740157480314965" bottom="0.78740157480314965" header="0.31496062992125984" footer="0.31496062992125984"/>
  <pageSetup paperSize="9" scale="70" orientation="portrait" r:id="rId1"/>
  <headerFooter>
    <oddFooter>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G167"/>
  <sheetViews>
    <sheetView topLeftCell="A13" workbookViewId="0">
      <selection activeCell="D54" sqref="D54:D55"/>
    </sheetView>
  </sheetViews>
  <sheetFormatPr defaultRowHeight="12.75" x14ac:dyDescent="0.2"/>
  <cols>
    <col min="1" max="1" width="6.42578125" style="71" customWidth="1"/>
    <col min="2" max="2" width="57.5703125" style="71" customWidth="1"/>
    <col min="3" max="3" width="10.7109375" style="71" bestFit="1" customWidth="1"/>
    <col min="4" max="4" width="17.85546875" style="71" customWidth="1"/>
    <col min="5" max="5" width="13.42578125" style="71" bestFit="1" customWidth="1"/>
    <col min="6" max="16384" width="9.140625" style="71"/>
  </cols>
  <sheetData>
    <row r="1" spans="1:6" x14ac:dyDescent="0.2">
      <c r="A1" s="322" t="s">
        <v>18</v>
      </c>
      <c r="B1" s="323"/>
      <c r="C1" s="323"/>
      <c r="D1" s="324"/>
      <c r="E1" s="17"/>
      <c r="F1" s="17"/>
    </row>
    <row r="3" spans="1:6" x14ac:dyDescent="0.2">
      <c r="A3" s="299" t="s">
        <v>19</v>
      </c>
      <c r="B3" s="300"/>
      <c r="C3" s="300"/>
      <c r="D3" s="308"/>
    </row>
    <row r="4" spans="1:6" s="74" customFormat="1" ht="27" customHeight="1" x14ac:dyDescent="0.25">
      <c r="A4" s="192">
        <v>1</v>
      </c>
      <c r="B4" s="193" t="s">
        <v>20</v>
      </c>
      <c r="C4" s="367" t="s">
        <v>331</v>
      </c>
      <c r="D4" s="368"/>
    </row>
    <row r="5" spans="1:6" s="74" customFormat="1" x14ac:dyDescent="0.25">
      <c r="A5" s="192">
        <v>2</v>
      </c>
      <c r="B5" s="193" t="s">
        <v>21</v>
      </c>
      <c r="C5" s="369" t="str">
        <f>+Apresentacao!E24</f>
        <v>5133-15</v>
      </c>
      <c r="D5" s="370"/>
    </row>
    <row r="6" spans="1:6" s="74" customFormat="1" x14ac:dyDescent="0.25">
      <c r="A6" s="192">
        <v>3</v>
      </c>
      <c r="B6" s="193" t="s">
        <v>22</v>
      </c>
      <c r="C6" s="371">
        <f>+Apresentacao!F24</f>
        <v>0</v>
      </c>
      <c r="D6" s="371"/>
    </row>
    <row r="7" spans="1:6" s="74" customFormat="1" x14ac:dyDescent="0.25">
      <c r="A7" s="192">
        <v>4</v>
      </c>
      <c r="B7" s="193" t="s">
        <v>23</v>
      </c>
      <c r="C7" s="372" t="s">
        <v>24</v>
      </c>
      <c r="D7" s="373"/>
    </row>
    <row r="8" spans="1:6" s="74" customFormat="1" x14ac:dyDescent="0.25">
      <c r="A8" s="192">
        <v>5</v>
      </c>
      <c r="B8" s="193" t="s">
        <v>25</v>
      </c>
      <c r="C8" s="374">
        <v>43524</v>
      </c>
      <c r="D8" s="370"/>
    </row>
    <row r="9" spans="1:6" x14ac:dyDescent="0.2">
      <c r="D9" s="18"/>
    </row>
    <row r="10" spans="1:6" x14ac:dyDescent="0.2">
      <c r="A10" s="291" t="s">
        <v>26</v>
      </c>
      <c r="B10" s="292"/>
      <c r="C10" s="292"/>
      <c r="D10" s="292"/>
    </row>
    <row r="11" spans="1:6" x14ac:dyDescent="0.2">
      <c r="A11" s="75">
        <v>1</v>
      </c>
      <c r="B11" s="76" t="s">
        <v>27</v>
      </c>
      <c r="C11" s="19" t="s">
        <v>28</v>
      </c>
      <c r="D11" s="77" t="s">
        <v>29</v>
      </c>
    </row>
    <row r="12" spans="1:6" x14ac:dyDescent="0.2">
      <c r="A12" s="155" t="s">
        <v>6</v>
      </c>
      <c r="B12" s="289" t="s">
        <v>30</v>
      </c>
      <c r="C12" s="289"/>
      <c r="D12" s="79">
        <f>+C6</f>
        <v>0</v>
      </c>
    </row>
    <row r="13" spans="1:6" x14ac:dyDescent="0.2">
      <c r="A13" s="155" t="s">
        <v>8</v>
      </c>
      <c r="B13" s="80" t="s">
        <v>31</v>
      </c>
      <c r="C13" s="81"/>
      <c r="D13" s="79"/>
      <c r="E13" s="82"/>
    </row>
    <row r="14" spans="1:6" x14ac:dyDescent="0.2">
      <c r="A14" s="159" t="s">
        <v>11</v>
      </c>
      <c r="B14" s="160" t="s">
        <v>32</v>
      </c>
      <c r="C14" s="161"/>
      <c r="D14" s="162">
        <f>+C14*D12</f>
        <v>0</v>
      </c>
    </row>
    <row r="15" spans="1:6" x14ac:dyDescent="0.2">
      <c r="A15" s="155" t="s">
        <v>13</v>
      </c>
      <c r="B15" s="289" t="s">
        <v>33</v>
      </c>
      <c r="C15" s="289"/>
      <c r="D15" s="79"/>
    </row>
    <row r="16" spans="1:6" x14ac:dyDescent="0.2">
      <c r="A16" s="155" t="s">
        <v>34</v>
      </c>
      <c r="B16" s="289" t="s">
        <v>35</v>
      </c>
      <c r="C16" s="289"/>
      <c r="D16" s="79"/>
    </row>
    <row r="17" spans="1:6" x14ac:dyDescent="0.2">
      <c r="A17" s="155" t="s">
        <v>36</v>
      </c>
      <c r="B17" s="318" t="s">
        <v>37</v>
      </c>
      <c r="C17" s="319"/>
      <c r="D17" s="79"/>
    </row>
    <row r="18" spans="1:6" x14ac:dyDescent="0.2">
      <c r="A18" s="155" t="s">
        <v>38</v>
      </c>
      <c r="B18" s="289" t="s">
        <v>39</v>
      </c>
      <c r="C18" s="289"/>
      <c r="D18" s="79"/>
    </row>
    <row r="19" spans="1:6" x14ac:dyDescent="0.2">
      <c r="A19" s="155" t="s">
        <v>40</v>
      </c>
      <c r="B19" s="318" t="s">
        <v>41</v>
      </c>
      <c r="C19" s="319"/>
      <c r="D19" s="83"/>
    </row>
    <row r="20" spans="1:6" x14ac:dyDescent="0.2">
      <c r="A20" s="155" t="s">
        <v>42</v>
      </c>
      <c r="B20" s="80" t="s">
        <v>43</v>
      </c>
      <c r="C20" s="81"/>
      <c r="D20" s="79"/>
    </row>
    <row r="21" spans="1:6" x14ac:dyDescent="0.2">
      <c r="A21" s="155" t="s">
        <v>44</v>
      </c>
      <c r="B21" s="365" t="s">
        <v>45</v>
      </c>
      <c r="C21" s="366"/>
      <c r="D21" s="84"/>
      <c r="F21" s="85"/>
    </row>
    <row r="22" spans="1:6" x14ac:dyDescent="0.2">
      <c r="A22" s="155" t="s">
        <v>46</v>
      </c>
      <c r="B22" s="289" t="s">
        <v>47</v>
      </c>
      <c r="C22" s="289"/>
      <c r="D22" s="84"/>
    </row>
    <row r="23" spans="1:6" x14ac:dyDescent="0.2">
      <c r="A23" s="290" t="s">
        <v>48</v>
      </c>
      <c r="B23" s="290"/>
      <c r="C23" s="290"/>
      <c r="D23" s="20">
        <f>SUM(D12:D22)</f>
        <v>0</v>
      </c>
    </row>
    <row r="25" spans="1:6" x14ac:dyDescent="0.2">
      <c r="A25" s="291" t="s">
        <v>49</v>
      </c>
      <c r="B25" s="292"/>
      <c r="C25" s="292"/>
      <c r="D25" s="292"/>
    </row>
    <row r="27" spans="1:6" x14ac:dyDescent="0.2">
      <c r="A27" s="291" t="s">
        <v>50</v>
      </c>
      <c r="B27" s="292"/>
      <c r="C27" s="292"/>
      <c r="D27" s="292"/>
    </row>
    <row r="28" spans="1:6" x14ac:dyDescent="0.2">
      <c r="A28" s="21" t="s">
        <v>51</v>
      </c>
      <c r="B28" s="22" t="s">
        <v>52</v>
      </c>
      <c r="C28" s="23" t="s">
        <v>28</v>
      </c>
      <c r="D28" s="24" t="s">
        <v>29</v>
      </c>
    </row>
    <row r="29" spans="1:6" x14ac:dyDescent="0.2">
      <c r="A29" s="155" t="s">
        <v>6</v>
      </c>
      <c r="B29" s="86" t="s">
        <v>53</v>
      </c>
      <c r="C29" s="87" t="e">
        <f>ROUND(+D29/$D$23,4)</f>
        <v>#DIV/0!</v>
      </c>
      <c r="D29" s="84">
        <f>ROUND(+D23/12,2)</f>
        <v>0</v>
      </c>
    </row>
    <row r="30" spans="1:6" x14ac:dyDescent="0.2">
      <c r="A30" s="25" t="s">
        <v>8</v>
      </c>
      <c r="B30" s="88" t="s">
        <v>54</v>
      </c>
      <c r="C30" s="26" t="e">
        <f>ROUND(+D30/$D$23,4)</f>
        <v>#DIV/0!</v>
      </c>
      <c r="D30" s="27">
        <f>+D31+D32</f>
        <v>0</v>
      </c>
    </row>
    <row r="31" spans="1:6" x14ac:dyDescent="0.2">
      <c r="A31" s="155" t="s">
        <v>55</v>
      </c>
      <c r="B31" s="28" t="s">
        <v>56</v>
      </c>
      <c r="C31" s="29" t="e">
        <f>ROUND(+D31/$D$23,4)</f>
        <v>#DIV/0!</v>
      </c>
      <c r="D31" s="30">
        <f>ROUND(+D23/12,2)</f>
        <v>0</v>
      </c>
    </row>
    <row r="32" spans="1:6" x14ac:dyDescent="0.2">
      <c r="A32" s="155" t="s">
        <v>57</v>
      </c>
      <c r="B32" s="28" t="s">
        <v>58</v>
      </c>
      <c r="C32" s="29" t="e">
        <f>ROUND(+D32/$D$23,4)</f>
        <v>#DIV/0!</v>
      </c>
      <c r="D32" s="30">
        <f>ROUND(+(D23*1/3)/12,2)</f>
        <v>0</v>
      </c>
    </row>
    <row r="33" spans="1:4" x14ac:dyDescent="0.2">
      <c r="A33" s="290" t="s">
        <v>48</v>
      </c>
      <c r="B33" s="290"/>
      <c r="C33" s="290"/>
      <c r="D33" s="20">
        <f>+D30+D29</f>
        <v>0</v>
      </c>
    </row>
    <row r="35" spans="1:4" x14ac:dyDescent="0.2">
      <c r="A35" s="320" t="s">
        <v>59</v>
      </c>
      <c r="B35" s="321"/>
      <c r="C35" s="321"/>
      <c r="D35" s="321"/>
    </row>
    <row r="36" spans="1:4" x14ac:dyDescent="0.2">
      <c r="A36" s="21" t="s">
        <v>60</v>
      </c>
      <c r="B36" s="31" t="s">
        <v>61</v>
      </c>
      <c r="C36" s="23" t="s">
        <v>28</v>
      </c>
      <c r="D36" s="24" t="s">
        <v>29</v>
      </c>
    </row>
    <row r="37" spans="1:4" x14ac:dyDescent="0.2">
      <c r="A37" s="155" t="s">
        <v>6</v>
      </c>
      <c r="B37" s="86" t="s">
        <v>62</v>
      </c>
      <c r="C37" s="89">
        <v>0.2</v>
      </c>
      <c r="D37" s="90">
        <f>ROUND(C37*($D$23+$D$33),2)</f>
        <v>0</v>
      </c>
    </row>
    <row r="38" spans="1:4" x14ac:dyDescent="0.2">
      <c r="A38" s="155" t="s">
        <v>8</v>
      </c>
      <c r="B38" s="86" t="s">
        <v>63</v>
      </c>
      <c r="C38" s="89">
        <v>2.5000000000000001E-2</v>
      </c>
      <c r="D38" s="90">
        <f>ROUND(C38*($D$23+$D$33),2)</f>
        <v>0</v>
      </c>
    </row>
    <row r="39" spans="1:4" x14ac:dyDescent="0.2">
      <c r="A39" s="155" t="s">
        <v>11</v>
      </c>
      <c r="B39" s="86" t="s">
        <v>64</v>
      </c>
      <c r="C39" s="89">
        <f>3%</f>
        <v>0.03</v>
      </c>
      <c r="D39" s="90">
        <f t="shared" ref="D39:D43" si="0">ROUND(C39*($D$23+$D$33),2)</f>
        <v>0</v>
      </c>
    </row>
    <row r="40" spans="1:4" x14ac:dyDescent="0.2">
      <c r="A40" s="155" t="s">
        <v>13</v>
      </c>
      <c r="B40" s="86" t="s">
        <v>65</v>
      </c>
      <c r="C40" s="89">
        <v>1.4999999999999999E-2</v>
      </c>
      <c r="D40" s="90">
        <f t="shared" si="0"/>
        <v>0</v>
      </c>
    </row>
    <row r="41" spans="1:4" x14ac:dyDescent="0.2">
      <c r="A41" s="155" t="s">
        <v>34</v>
      </c>
      <c r="B41" s="86" t="s">
        <v>66</v>
      </c>
      <c r="C41" s="89">
        <v>0.01</v>
      </c>
      <c r="D41" s="90">
        <f t="shared" si="0"/>
        <v>0</v>
      </c>
    </row>
    <row r="42" spans="1:4" x14ac:dyDescent="0.2">
      <c r="A42" s="155" t="s">
        <v>36</v>
      </c>
      <c r="B42" s="86" t="s">
        <v>67</v>
      </c>
      <c r="C42" s="89">
        <v>6.0000000000000001E-3</v>
      </c>
      <c r="D42" s="90">
        <f t="shared" si="0"/>
        <v>0</v>
      </c>
    </row>
    <row r="43" spans="1:4" x14ac:dyDescent="0.2">
      <c r="A43" s="155" t="s">
        <v>38</v>
      </c>
      <c r="B43" s="86" t="s">
        <v>68</v>
      </c>
      <c r="C43" s="89">
        <v>2E-3</v>
      </c>
      <c r="D43" s="90">
        <f t="shared" si="0"/>
        <v>0</v>
      </c>
    </row>
    <row r="44" spans="1:4" x14ac:dyDescent="0.2">
      <c r="A44" s="155" t="s">
        <v>40</v>
      </c>
      <c r="B44" s="86" t="s">
        <v>69</v>
      </c>
      <c r="C44" s="89">
        <v>0.08</v>
      </c>
      <c r="D44" s="90">
        <f>ROUND(C44*($D$23+$D$33),2)</f>
        <v>0</v>
      </c>
    </row>
    <row r="45" spans="1:4" x14ac:dyDescent="0.2">
      <c r="A45" s="153" t="s">
        <v>48</v>
      </c>
      <c r="B45" s="154"/>
      <c r="C45" s="32">
        <f>SUM(C37:C44)</f>
        <v>0.36800000000000005</v>
      </c>
      <c r="D45" s="33">
        <f>SUM(D37:D44)</f>
        <v>0</v>
      </c>
    </row>
    <row r="46" spans="1:4" x14ac:dyDescent="0.2">
      <c r="A46" s="91"/>
      <c r="B46" s="91"/>
      <c r="C46" s="91"/>
      <c r="D46" s="91"/>
    </row>
    <row r="47" spans="1:4" x14ac:dyDescent="0.2">
      <c r="A47" s="320" t="s">
        <v>70</v>
      </c>
      <c r="B47" s="321"/>
      <c r="C47" s="321"/>
      <c r="D47" s="321"/>
    </row>
    <row r="48" spans="1:4" x14ac:dyDescent="0.2">
      <c r="A48" s="21" t="s">
        <v>71</v>
      </c>
      <c r="B48" s="31" t="s">
        <v>72</v>
      </c>
      <c r="C48" s="23"/>
      <c r="D48" s="24" t="s">
        <v>29</v>
      </c>
    </row>
    <row r="49" spans="1:6" x14ac:dyDescent="0.2">
      <c r="A49" s="92" t="s">
        <v>6</v>
      </c>
      <c r="B49" s="86" t="s">
        <v>73</v>
      </c>
      <c r="C49" s="93"/>
      <c r="D49" s="90">
        <f>+'Men Cal Camareiro Diurno'!C16</f>
        <v>0</v>
      </c>
    </row>
    <row r="50" spans="1:6" s="97" customFormat="1" x14ac:dyDescent="0.2">
      <c r="A50" s="94" t="s">
        <v>74</v>
      </c>
      <c r="B50" s="95" t="s">
        <v>75</v>
      </c>
      <c r="C50" s="87">
        <f>+$C$131+$C$132</f>
        <v>9.2499999999999999E-2</v>
      </c>
      <c r="D50" s="96">
        <f>+(C50*D49)*-1</f>
        <v>0</v>
      </c>
      <c r="F50" s="98"/>
    </row>
    <row r="51" spans="1:6" x14ac:dyDescent="0.2">
      <c r="A51" s="92" t="s">
        <v>8</v>
      </c>
      <c r="B51" s="86" t="s">
        <v>76</v>
      </c>
      <c r="C51" s="93"/>
      <c r="D51" s="90">
        <f>+'Men Cal Camareiro Diurno'!C25</f>
        <v>0</v>
      </c>
      <c r="F51" s="99"/>
    </row>
    <row r="52" spans="1:6" s="97" customFormat="1" x14ac:dyDescent="0.2">
      <c r="A52" s="94" t="s">
        <v>55</v>
      </c>
      <c r="B52" s="95" t="s">
        <v>75</v>
      </c>
      <c r="C52" s="87">
        <f>+$C$131+$C$132</f>
        <v>9.2499999999999999E-2</v>
      </c>
      <c r="D52" s="96">
        <f>+(C52*D51)*-1</f>
        <v>0</v>
      </c>
      <c r="F52" s="100"/>
    </row>
    <row r="53" spans="1:6" x14ac:dyDescent="0.2">
      <c r="A53" s="101" t="s">
        <v>11</v>
      </c>
      <c r="B53" s="101" t="s">
        <v>77</v>
      </c>
      <c r="C53" s="93"/>
      <c r="D53" s="134"/>
      <c r="F53" s="99"/>
    </row>
    <row r="54" spans="1:6" x14ac:dyDescent="0.2">
      <c r="A54" s="101" t="s">
        <v>13</v>
      </c>
      <c r="B54" s="101" t="s">
        <v>234</v>
      </c>
      <c r="C54" s="93"/>
      <c r="D54" s="134"/>
      <c r="F54" s="99"/>
    </row>
    <row r="55" spans="1:6" ht="25.5" x14ac:dyDescent="0.2">
      <c r="A55" s="101" t="s">
        <v>34</v>
      </c>
      <c r="B55" s="103" t="s">
        <v>235</v>
      </c>
      <c r="C55" s="93"/>
      <c r="D55" s="135"/>
      <c r="F55" s="104"/>
    </row>
    <row r="56" spans="1:6" x14ac:dyDescent="0.2">
      <c r="A56" s="101" t="s">
        <v>36</v>
      </c>
      <c r="B56" s="133" t="s">
        <v>80</v>
      </c>
      <c r="C56" s="93"/>
      <c r="D56" s="102"/>
    </row>
    <row r="57" spans="1:6" x14ac:dyDescent="0.2">
      <c r="A57" s="299" t="s">
        <v>48</v>
      </c>
      <c r="B57" s="308"/>
      <c r="C57" s="34"/>
      <c r="D57" s="35">
        <f>SUM(D49:D56)</f>
        <v>0</v>
      </c>
    </row>
    <row r="59" spans="1:6" x14ac:dyDescent="0.2">
      <c r="A59" s="291" t="s">
        <v>81</v>
      </c>
      <c r="B59" s="292"/>
      <c r="C59" s="292"/>
      <c r="D59" s="292"/>
    </row>
    <row r="60" spans="1:6" x14ac:dyDescent="0.2">
      <c r="A60" s="36">
        <v>2</v>
      </c>
      <c r="B60" s="315" t="s">
        <v>82</v>
      </c>
      <c r="C60" s="315"/>
      <c r="D60" s="37" t="s">
        <v>29</v>
      </c>
    </row>
    <row r="61" spans="1:6" x14ac:dyDescent="0.2">
      <c r="A61" s="95" t="s">
        <v>51</v>
      </c>
      <c r="B61" s="316" t="s">
        <v>52</v>
      </c>
      <c r="C61" s="316"/>
      <c r="D61" s="90">
        <f>+D33</f>
        <v>0</v>
      </c>
    </row>
    <row r="62" spans="1:6" x14ac:dyDescent="0.2">
      <c r="A62" s="95" t="s">
        <v>60</v>
      </c>
      <c r="B62" s="316" t="s">
        <v>61</v>
      </c>
      <c r="C62" s="316"/>
      <c r="D62" s="90">
        <f>+D45</f>
        <v>0</v>
      </c>
    </row>
    <row r="63" spans="1:6" x14ac:dyDescent="0.2">
      <c r="A63" s="95" t="s">
        <v>71</v>
      </c>
      <c r="B63" s="316" t="s">
        <v>72</v>
      </c>
      <c r="C63" s="316"/>
      <c r="D63" s="105">
        <f>+D57</f>
        <v>0</v>
      </c>
    </row>
    <row r="64" spans="1:6" x14ac:dyDescent="0.2">
      <c r="A64" s="315" t="s">
        <v>48</v>
      </c>
      <c r="B64" s="315"/>
      <c r="C64" s="315"/>
      <c r="D64" s="38">
        <f>SUM(D61:D63)</f>
        <v>0</v>
      </c>
    </row>
    <row r="66" spans="1:4" x14ac:dyDescent="0.2">
      <c r="A66" s="291" t="s">
        <v>83</v>
      </c>
      <c r="B66" s="292"/>
      <c r="C66" s="292"/>
      <c r="D66" s="292"/>
    </row>
    <row r="68" spans="1:4" x14ac:dyDescent="0.2">
      <c r="A68" s="39">
        <v>3</v>
      </c>
      <c r="B68" s="22" t="s">
        <v>84</v>
      </c>
      <c r="C68" s="19" t="s">
        <v>28</v>
      </c>
      <c r="D68" s="19" t="s">
        <v>29</v>
      </c>
    </row>
    <row r="69" spans="1:4" x14ac:dyDescent="0.2">
      <c r="A69" s="155" t="s">
        <v>6</v>
      </c>
      <c r="B69" s="95" t="s">
        <v>85</v>
      </c>
      <c r="C69" s="87" t="e">
        <f>+D69/$D$23</f>
        <v>#DIV/0!</v>
      </c>
      <c r="D69" s="106">
        <f>+'Men Cal Camareiro Diurno'!C31</f>
        <v>0</v>
      </c>
    </row>
    <row r="70" spans="1:4" x14ac:dyDescent="0.2">
      <c r="A70" s="155" t="s">
        <v>8</v>
      </c>
      <c r="B70" s="86" t="s">
        <v>86</v>
      </c>
      <c r="C70" s="107"/>
      <c r="D70" s="84">
        <f>ROUND(+D69*$C$44,2)</f>
        <v>0</v>
      </c>
    </row>
    <row r="71" spans="1:4" ht="25.5" x14ac:dyDescent="0.2">
      <c r="A71" s="155" t="s">
        <v>11</v>
      </c>
      <c r="B71" s="108" t="s">
        <v>87</v>
      </c>
      <c r="C71" s="89" t="e">
        <f>+D71/$D$23</f>
        <v>#DIV/0!</v>
      </c>
      <c r="D71" s="84">
        <f>+'Men Cal Camareiro Diurno'!C45</f>
        <v>0</v>
      </c>
    </row>
    <row r="72" spans="1:4" x14ac:dyDescent="0.2">
      <c r="A72" s="156" t="s">
        <v>13</v>
      </c>
      <c r="B72" s="86" t="s">
        <v>88</v>
      </c>
      <c r="C72" s="89" t="e">
        <f>+D72/$D$23</f>
        <v>#DIV/0!</v>
      </c>
      <c r="D72" s="84">
        <f>+'Men Cal Camareiro Diurno'!C53</f>
        <v>0</v>
      </c>
    </row>
    <row r="73" spans="1:4" ht="25.5" x14ac:dyDescent="0.2">
      <c r="A73" s="156" t="s">
        <v>34</v>
      </c>
      <c r="B73" s="108" t="s">
        <v>89</v>
      </c>
      <c r="C73" s="107"/>
      <c r="D73" s="110"/>
    </row>
    <row r="74" spans="1:4" ht="25.5" x14ac:dyDescent="0.2">
      <c r="A74" s="156" t="s">
        <v>36</v>
      </c>
      <c r="B74" s="108" t="s">
        <v>90</v>
      </c>
      <c r="C74" s="89" t="e">
        <f>+D74/$D$23</f>
        <v>#DIV/0!</v>
      </c>
      <c r="D74" s="90">
        <f>+'Men Cal Camareiro Diurno'!C67</f>
        <v>0</v>
      </c>
    </row>
    <row r="75" spans="1:4" x14ac:dyDescent="0.2">
      <c r="A75" s="299" t="s">
        <v>48</v>
      </c>
      <c r="B75" s="300"/>
      <c r="C75" s="308"/>
      <c r="D75" s="40">
        <f>SUM(D69:D74)</f>
        <v>0</v>
      </c>
    </row>
    <row r="77" spans="1:4" x14ac:dyDescent="0.2">
      <c r="A77" s="291" t="s">
        <v>91</v>
      </c>
      <c r="B77" s="292"/>
      <c r="C77" s="292"/>
      <c r="D77" s="292"/>
    </row>
    <row r="79" spans="1:4" x14ac:dyDescent="0.2">
      <c r="A79" s="317" t="s">
        <v>92</v>
      </c>
      <c r="B79" s="317"/>
      <c r="C79" s="317"/>
      <c r="D79" s="317"/>
    </row>
    <row r="80" spans="1:4" x14ac:dyDescent="0.2">
      <c r="A80" s="39" t="s">
        <v>93</v>
      </c>
      <c r="B80" s="299" t="s">
        <v>94</v>
      </c>
      <c r="C80" s="308"/>
      <c r="D80" s="19" t="s">
        <v>29</v>
      </c>
    </row>
    <row r="81" spans="1:4" x14ac:dyDescent="0.2">
      <c r="A81" s="86" t="s">
        <v>6</v>
      </c>
      <c r="B81" s="303" t="s">
        <v>95</v>
      </c>
      <c r="C81" s="304"/>
      <c r="D81" s="84"/>
    </row>
    <row r="82" spans="1:4" x14ac:dyDescent="0.2">
      <c r="A82" s="95" t="s">
        <v>8</v>
      </c>
      <c r="B82" s="309" t="s">
        <v>94</v>
      </c>
      <c r="C82" s="310"/>
      <c r="D82" s="111">
        <f>+'Men Cal Camareiro Diurno'!C80</f>
        <v>0</v>
      </c>
    </row>
    <row r="83" spans="1:4" s="97" customFormat="1" x14ac:dyDescent="0.2">
      <c r="A83" s="95" t="s">
        <v>11</v>
      </c>
      <c r="B83" s="309" t="s">
        <v>96</v>
      </c>
      <c r="C83" s="310"/>
      <c r="D83" s="111">
        <f>+'Men Cal Camareiro Diurno'!C89</f>
        <v>0</v>
      </c>
    </row>
    <row r="84" spans="1:4" s="97" customFormat="1" x14ac:dyDescent="0.2">
      <c r="A84" s="95" t="s">
        <v>13</v>
      </c>
      <c r="B84" s="309" t="s">
        <v>97</v>
      </c>
      <c r="C84" s="310"/>
      <c r="D84" s="111">
        <f>+'Men Cal Camareiro Diurno'!C97</f>
        <v>0</v>
      </c>
    </row>
    <row r="85" spans="1:4" s="97" customFormat="1" ht="14.25" x14ac:dyDescent="0.2">
      <c r="A85" s="95" t="s">
        <v>34</v>
      </c>
      <c r="B85" s="309" t="s">
        <v>233</v>
      </c>
      <c r="C85" s="310"/>
      <c r="D85" s="111"/>
    </row>
    <row r="86" spans="1:4" s="97" customFormat="1" x14ac:dyDescent="0.2">
      <c r="A86" s="95" t="s">
        <v>36</v>
      </c>
      <c r="B86" s="309" t="s">
        <v>98</v>
      </c>
      <c r="C86" s="310"/>
      <c r="D86" s="111">
        <f>+'Men Cal Camareiro Diurno'!C105</f>
        <v>0</v>
      </c>
    </row>
    <row r="87" spans="1:4" x14ac:dyDescent="0.2">
      <c r="A87" s="86" t="s">
        <v>38</v>
      </c>
      <c r="B87" s="303" t="s">
        <v>47</v>
      </c>
      <c r="C87" s="304"/>
      <c r="D87" s="84"/>
    </row>
    <row r="88" spans="1:4" x14ac:dyDescent="0.2">
      <c r="A88" s="86" t="s">
        <v>40</v>
      </c>
      <c r="B88" s="303" t="s">
        <v>99</v>
      </c>
      <c r="C88" s="304"/>
      <c r="D88" s="110"/>
    </row>
    <row r="89" spans="1:4" x14ac:dyDescent="0.2">
      <c r="A89" s="290" t="s">
        <v>48</v>
      </c>
      <c r="B89" s="290"/>
      <c r="C89" s="290"/>
      <c r="D89" s="20">
        <f>SUM(D81:D88)</f>
        <v>0</v>
      </c>
    </row>
    <row r="90" spans="1:4" x14ac:dyDescent="0.2">
      <c r="D90" s="112"/>
    </row>
    <row r="91" spans="1:4" x14ac:dyDescent="0.2">
      <c r="A91" s="39" t="s">
        <v>100</v>
      </c>
      <c r="B91" s="299" t="s">
        <v>101</v>
      </c>
      <c r="C91" s="308"/>
      <c r="D91" s="19" t="s">
        <v>29</v>
      </c>
    </row>
    <row r="92" spans="1:4" s="97" customFormat="1" x14ac:dyDescent="0.2">
      <c r="A92" s="95" t="s">
        <v>6</v>
      </c>
      <c r="B92" s="311" t="s">
        <v>102</v>
      </c>
      <c r="C92" s="312"/>
      <c r="D92" s="111">
        <f>+'Men Cal Camareiro Diurno'!C116</f>
        <v>0</v>
      </c>
    </row>
    <row r="93" spans="1:4" s="97" customFormat="1" x14ac:dyDescent="0.2">
      <c r="A93" s="95" t="s">
        <v>8</v>
      </c>
      <c r="B93" s="313" t="s">
        <v>103</v>
      </c>
      <c r="C93" s="314"/>
      <c r="D93" s="110"/>
    </row>
    <row r="94" spans="1:4" s="97" customFormat="1" x14ac:dyDescent="0.2">
      <c r="A94" s="95" t="s">
        <v>11</v>
      </c>
      <c r="B94" s="313" t="s">
        <v>104</v>
      </c>
      <c r="C94" s="314"/>
      <c r="D94" s="110"/>
    </row>
    <row r="95" spans="1:4" x14ac:dyDescent="0.2">
      <c r="A95" s="86" t="s">
        <v>13</v>
      </c>
      <c r="B95" s="303" t="s">
        <v>47</v>
      </c>
      <c r="C95" s="304"/>
      <c r="D95" s="84"/>
    </row>
    <row r="96" spans="1:4" x14ac:dyDescent="0.2">
      <c r="A96" s="290" t="s">
        <v>48</v>
      </c>
      <c r="B96" s="290"/>
      <c r="C96" s="290"/>
      <c r="D96" s="20">
        <f>SUM(D92:D95)</f>
        <v>0</v>
      </c>
    </row>
    <row r="97" spans="1:4" x14ac:dyDescent="0.2">
      <c r="D97" s="112"/>
    </row>
    <row r="98" spans="1:4" x14ac:dyDescent="0.2">
      <c r="A98" s="39" t="s">
        <v>105</v>
      </c>
      <c r="B98" s="290" t="s">
        <v>106</v>
      </c>
      <c r="C98" s="290"/>
      <c r="D98" s="19" t="s">
        <v>29</v>
      </c>
    </row>
    <row r="99" spans="1:4" s="114" customFormat="1" x14ac:dyDescent="0.25">
      <c r="A99" s="156" t="s">
        <v>6</v>
      </c>
      <c r="B99" s="302" t="s">
        <v>107</v>
      </c>
      <c r="C99" s="302"/>
      <c r="D99" s="113"/>
    </row>
    <row r="100" spans="1:4" x14ac:dyDescent="0.2">
      <c r="A100" s="290" t="s">
        <v>48</v>
      </c>
      <c r="B100" s="290"/>
      <c r="C100" s="290"/>
      <c r="D100" s="20">
        <f>SUM(D99:D99)</f>
        <v>0</v>
      </c>
    </row>
    <row r="102" spans="1:4" x14ac:dyDescent="0.2">
      <c r="A102" s="157" t="s">
        <v>108</v>
      </c>
      <c r="B102" s="157"/>
      <c r="C102" s="157"/>
      <c r="D102" s="157"/>
    </row>
    <row r="103" spans="1:4" x14ac:dyDescent="0.2">
      <c r="A103" s="86" t="s">
        <v>93</v>
      </c>
      <c r="B103" s="303" t="s">
        <v>94</v>
      </c>
      <c r="C103" s="304"/>
      <c r="D103" s="90">
        <f>+D89</f>
        <v>0</v>
      </c>
    </row>
    <row r="104" spans="1:4" x14ac:dyDescent="0.2">
      <c r="A104" s="86" t="s">
        <v>100</v>
      </c>
      <c r="B104" s="303" t="s">
        <v>101</v>
      </c>
      <c r="C104" s="304"/>
      <c r="D104" s="90">
        <f>+D96</f>
        <v>0</v>
      </c>
    </row>
    <row r="105" spans="1:4" x14ac:dyDescent="0.2">
      <c r="A105" s="115"/>
      <c r="B105" s="305" t="s">
        <v>109</v>
      </c>
      <c r="C105" s="306"/>
      <c r="D105" s="41">
        <f>+D104+D103</f>
        <v>0</v>
      </c>
    </row>
    <row r="106" spans="1:4" x14ac:dyDescent="0.2">
      <c r="A106" s="86" t="s">
        <v>105</v>
      </c>
      <c r="B106" s="303" t="s">
        <v>106</v>
      </c>
      <c r="C106" s="304"/>
      <c r="D106" s="90">
        <f>+D100</f>
        <v>0</v>
      </c>
    </row>
    <row r="107" spans="1:4" x14ac:dyDescent="0.2">
      <c r="A107" s="307" t="s">
        <v>48</v>
      </c>
      <c r="B107" s="307"/>
      <c r="C107" s="307"/>
      <c r="D107" s="42">
        <f>+D106+D105</f>
        <v>0</v>
      </c>
    </row>
    <row r="109" spans="1:4" x14ac:dyDescent="0.2">
      <c r="A109" s="291" t="s">
        <v>110</v>
      </c>
      <c r="B109" s="292"/>
      <c r="C109" s="292"/>
      <c r="D109" s="292"/>
    </row>
    <row r="111" spans="1:4" x14ac:dyDescent="0.2">
      <c r="A111" s="39">
        <v>5</v>
      </c>
      <c r="B111" s="299" t="s">
        <v>111</v>
      </c>
      <c r="C111" s="308"/>
      <c r="D111" s="19" t="s">
        <v>29</v>
      </c>
    </row>
    <row r="112" spans="1:4" x14ac:dyDescent="0.2">
      <c r="A112" s="86" t="s">
        <v>6</v>
      </c>
      <c r="B112" s="289" t="s">
        <v>112</v>
      </c>
      <c r="C112" s="289"/>
      <c r="D112" s="84">
        <f>+Uniforme!E36</f>
        <v>0</v>
      </c>
    </row>
    <row r="113" spans="1:4" x14ac:dyDescent="0.2">
      <c r="A113" s="86" t="s">
        <v>74</v>
      </c>
      <c r="B113" s="95" t="s">
        <v>75</v>
      </c>
      <c r="C113" s="87">
        <f>+$C$131+$C$132</f>
        <v>9.2499999999999999E-2</v>
      </c>
      <c r="D113" s="96">
        <f>+(C113*D112)*-1</f>
        <v>0</v>
      </c>
    </row>
    <row r="114" spans="1:4" x14ac:dyDescent="0.2">
      <c r="A114" s="86" t="s">
        <v>8</v>
      </c>
      <c r="B114" s="289" t="s">
        <v>113</v>
      </c>
      <c r="C114" s="289"/>
      <c r="D114" s="84"/>
    </row>
    <row r="115" spans="1:4" x14ac:dyDescent="0.2">
      <c r="A115" s="86" t="s">
        <v>55</v>
      </c>
      <c r="B115" s="95" t="s">
        <v>75</v>
      </c>
      <c r="C115" s="87">
        <f>+$C$131+$C$132</f>
        <v>9.2499999999999999E-2</v>
      </c>
      <c r="D115" s="96">
        <f>+(C115*D114)*-1</f>
        <v>0</v>
      </c>
    </row>
    <row r="116" spans="1:4" x14ac:dyDescent="0.2">
      <c r="A116" s="86" t="s">
        <v>11</v>
      </c>
      <c r="B116" s="289" t="s">
        <v>114</v>
      </c>
      <c r="C116" s="289"/>
      <c r="D116" s="84"/>
    </row>
    <row r="117" spans="1:4" x14ac:dyDescent="0.2">
      <c r="A117" s="86" t="s">
        <v>78</v>
      </c>
      <c r="B117" s="95" t="s">
        <v>75</v>
      </c>
      <c r="C117" s="87">
        <f>+$C$131+$C$132</f>
        <v>9.2499999999999999E-2</v>
      </c>
      <c r="D117" s="96">
        <f>+(C117*D116)*-1</f>
        <v>0</v>
      </c>
    </row>
    <row r="118" spans="1:4" x14ac:dyDescent="0.2">
      <c r="A118" s="86" t="s">
        <v>13</v>
      </c>
      <c r="B118" s="289" t="s">
        <v>47</v>
      </c>
      <c r="C118" s="289"/>
      <c r="D118" s="84"/>
    </row>
    <row r="119" spans="1:4" x14ac:dyDescent="0.2">
      <c r="A119" s="86" t="s">
        <v>79</v>
      </c>
      <c r="B119" s="95" t="s">
        <v>75</v>
      </c>
      <c r="C119" s="87">
        <f>+$C$131+$C$132</f>
        <v>9.2499999999999999E-2</v>
      </c>
      <c r="D119" s="96">
        <f>+(C119*D118)*-1</f>
        <v>0</v>
      </c>
    </row>
    <row r="120" spans="1:4" x14ac:dyDescent="0.2">
      <c r="A120" s="290" t="s">
        <v>48</v>
      </c>
      <c r="B120" s="290"/>
      <c r="C120" s="290"/>
      <c r="D120" s="20">
        <f>SUM(D112:D118)</f>
        <v>0</v>
      </c>
    </row>
    <row r="122" spans="1:4" x14ac:dyDescent="0.2">
      <c r="A122" s="291" t="s">
        <v>115</v>
      </c>
      <c r="B122" s="292"/>
      <c r="C122" s="292"/>
      <c r="D122" s="292"/>
    </row>
    <row r="124" spans="1:4" x14ac:dyDescent="0.2">
      <c r="A124" s="39">
        <v>6</v>
      </c>
      <c r="B124" s="22" t="s">
        <v>116</v>
      </c>
      <c r="C124" s="152" t="s">
        <v>28</v>
      </c>
      <c r="D124" s="19" t="s">
        <v>29</v>
      </c>
    </row>
    <row r="125" spans="1:4" x14ac:dyDescent="0.2">
      <c r="A125" s="101" t="s">
        <v>6</v>
      </c>
      <c r="B125" s="101" t="s">
        <v>117</v>
      </c>
      <c r="C125" s="116">
        <v>0.03</v>
      </c>
      <c r="D125" s="102">
        <f>($D$120+$D$107+$D$75+$D$64+$D$23)*C125</f>
        <v>0</v>
      </c>
    </row>
    <row r="126" spans="1:4" x14ac:dyDescent="0.2">
      <c r="A126" s="101" t="s">
        <v>8</v>
      </c>
      <c r="B126" s="101" t="s">
        <v>118</v>
      </c>
      <c r="C126" s="116">
        <v>0.03</v>
      </c>
      <c r="D126" s="102">
        <f>($D$120+$D$107+$D$75+$D$64+$D$23+D125)*C126</f>
        <v>0</v>
      </c>
    </row>
    <row r="127" spans="1:4" s="44" customFormat="1" x14ac:dyDescent="0.25">
      <c r="A127" s="293" t="s">
        <v>119</v>
      </c>
      <c r="B127" s="294"/>
      <c r="C127" s="295"/>
      <c r="D127" s="43">
        <f>++D126+D125+D120+D107+D75+D64+D23</f>
        <v>0</v>
      </c>
    </row>
    <row r="128" spans="1:4" s="44" customFormat="1" ht="33" customHeight="1" x14ac:dyDescent="0.25">
      <c r="A128" s="296" t="s">
        <v>120</v>
      </c>
      <c r="B128" s="297"/>
      <c r="C128" s="298"/>
      <c r="D128" s="43">
        <f>ROUND(D127/(1-(C131+C132+C134+C136+C137)),2)</f>
        <v>0</v>
      </c>
    </row>
    <row r="129" spans="1:7" x14ac:dyDescent="0.2">
      <c r="A129" s="86" t="s">
        <v>11</v>
      </c>
      <c r="B129" s="86" t="s">
        <v>121</v>
      </c>
      <c r="C129" s="89"/>
      <c r="D129" s="86"/>
    </row>
    <row r="130" spans="1:7" x14ac:dyDescent="0.2">
      <c r="A130" s="86" t="s">
        <v>78</v>
      </c>
      <c r="B130" s="86" t="s">
        <v>122</v>
      </c>
      <c r="C130" s="89"/>
      <c r="D130" s="86"/>
    </row>
    <row r="131" spans="1:7" x14ac:dyDescent="0.2">
      <c r="A131" s="101" t="s">
        <v>123</v>
      </c>
      <c r="B131" s="101" t="s">
        <v>124</v>
      </c>
      <c r="C131" s="116">
        <v>1.6500000000000001E-2</v>
      </c>
      <c r="D131" s="102">
        <f>ROUND(C131*$D$128,2)</f>
        <v>0</v>
      </c>
      <c r="G131" s="117"/>
    </row>
    <row r="132" spans="1:7" x14ac:dyDescent="0.2">
      <c r="A132" s="101" t="s">
        <v>125</v>
      </c>
      <c r="B132" s="101" t="s">
        <v>126</v>
      </c>
      <c r="C132" s="116">
        <v>7.5999999999999998E-2</v>
      </c>
      <c r="D132" s="102">
        <f>ROUND(C132*$D$128,2)</f>
        <v>0</v>
      </c>
      <c r="G132" s="117"/>
    </row>
    <row r="133" spans="1:7" x14ac:dyDescent="0.2">
      <c r="A133" s="86" t="s">
        <v>127</v>
      </c>
      <c r="B133" s="86" t="s">
        <v>128</v>
      </c>
      <c r="C133" s="89"/>
      <c r="D133" s="90"/>
      <c r="G133" s="117"/>
    </row>
    <row r="134" spans="1:7" x14ac:dyDescent="0.2">
      <c r="A134" s="86" t="s">
        <v>129</v>
      </c>
      <c r="B134" s="86" t="s">
        <v>130</v>
      </c>
      <c r="C134" s="89"/>
      <c r="D134" s="86"/>
      <c r="G134" s="117"/>
    </row>
    <row r="135" spans="1:7" x14ac:dyDescent="0.2">
      <c r="A135" s="86" t="s">
        <v>131</v>
      </c>
      <c r="B135" s="86" t="s">
        <v>132</v>
      </c>
      <c r="C135" s="89"/>
      <c r="D135" s="86"/>
    </row>
    <row r="136" spans="1:7" x14ac:dyDescent="0.2">
      <c r="A136" s="101" t="s">
        <v>133</v>
      </c>
      <c r="B136" s="101" t="s">
        <v>134</v>
      </c>
      <c r="C136" s="116">
        <v>0.05</v>
      </c>
      <c r="D136" s="102">
        <f>ROUND(C136*$D$128,2)</f>
        <v>0</v>
      </c>
    </row>
    <row r="137" spans="1:7" x14ac:dyDescent="0.2">
      <c r="A137" s="86" t="s">
        <v>135</v>
      </c>
      <c r="B137" s="86" t="s">
        <v>136</v>
      </c>
      <c r="C137" s="89"/>
      <c r="D137" s="86"/>
    </row>
    <row r="138" spans="1:7" x14ac:dyDescent="0.2">
      <c r="A138" s="86" t="s">
        <v>13</v>
      </c>
      <c r="B138" s="86" t="s">
        <v>248</v>
      </c>
      <c r="C138" s="143"/>
      <c r="D138" s="86"/>
    </row>
    <row r="139" spans="1:7" ht="14.25" x14ac:dyDescent="0.2">
      <c r="A139" s="86" t="s">
        <v>249</v>
      </c>
      <c r="B139" s="86" t="s">
        <v>250</v>
      </c>
      <c r="C139" s="143"/>
      <c r="D139" s="144">
        <f>+D157</f>
        <v>15.69</v>
      </c>
    </row>
    <row r="140" spans="1:7" x14ac:dyDescent="0.2">
      <c r="A140" s="86" t="s">
        <v>251</v>
      </c>
      <c r="B140" s="86" t="s">
        <v>252</v>
      </c>
      <c r="C140" s="143"/>
      <c r="D140" s="144">
        <f>+D158</f>
        <v>42</v>
      </c>
    </row>
    <row r="141" spans="1:7" x14ac:dyDescent="0.2">
      <c r="A141" s="299" t="s">
        <v>48</v>
      </c>
      <c r="B141" s="300"/>
      <c r="C141" s="45">
        <f>+C137+C136+C134+C132+C131+C126+C125</f>
        <v>0.20250000000000001</v>
      </c>
      <c r="D141" s="20">
        <f>+D136+D134+D132+D131+D126+D125+D139+D140</f>
        <v>57.69</v>
      </c>
    </row>
    <row r="143" spans="1:7" x14ac:dyDescent="0.2">
      <c r="A143" s="301" t="s">
        <v>137</v>
      </c>
      <c r="B143" s="301"/>
      <c r="C143" s="301"/>
      <c r="D143" s="301"/>
    </row>
    <row r="144" spans="1:7" x14ac:dyDescent="0.2">
      <c r="A144" s="86" t="s">
        <v>6</v>
      </c>
      <c r="B144" s="286" t="s">
        <v>138</v>
      </c>
      <c r="C144" s="286"/>
      <c r="D144" s="84">
        <f>+D23</f>
        <v>0</v>
      </c>
    </row>
    <row r="145" spans="1:5" x14ac:dyDescent="0.2">
      <c r="A145" s="86" t="s">
        <v>139</v>
      </c>
      <c r="B145" s="286" t="s">
        <v>140</v>
      </c>
      <c r="C145" s="286"/>
      <c r="D145" s="84">
        <f>+D64</f>
        <v>0</v>
      </c>
    </row>
    <row r="146" spans="1:5" x14ac:dyDescent="0.2">
      <c r="A146" s="86" t="s">
        <v>11</v>
      </c>
      <c r="B146" s="286" t="s">
        <v>141</v>
      </c>
      <c r="C146" s="286"/>
      <c r="D146" s="84">
        <f>+D75</f>
        <v>0</v>
      </c>
    </row>
    <row r="147" spans="1:5" x14ac:dyDescent="0.2">
      <c r="A147" s="86" t="s">
        <v>13</v>
      </c>
      <c r="B147" s="286" t="s">
        <v>142</v>
      </c>
      <c r="C147" s="286"/>
      <c r="D147" s="84">
        <f>+D107</f>
        <v>0</v>
      </c>
    </row>
    <row r="148" spans="1:5" x14ac:dyDescent="0.2">
      <c r="A148" s="86" t="s">
        <v>34</v>
      </c>
      <c r="B148" s="286" t="s">
        <v>143</v>
      </c>
      <c r="C148" s="286"/>
      <c r="D148" s="84">
        <f>+D120</f>
        <v>0</v>
      </c>
    </row>
    <row r="149" spans="1:5" x14ac:dyDescent="0.2">
      <c r="B149" s="287" t="s">
        <v>144</v>
      </c>
      <c r="C149" s="287"/>
      <c r="D149" s="46">
        <f>SUM(D144:D148)</f>
        <v>0</v>
      </c>
    </row>
    <row r="150" spans="1:5" x14ac:dyDescent="0.2">
      <c r="A150" s="86" t="s">
        <v>36</v>
      </c>
      <c r="B150" s="286" t="s">
        <v>145</v>
      </c>
      <c r="C150" s="286"/>
      <c r="D150" s="84">
        <f>+D141</f>
        <v>57.69</v>
      </c>
    </row>
    <row r="152" spans="1:5" x14ac:dyDescent="0.2">
      <c r="A152" s="288" t="s">
        <v>146</v>
      </c>
      <c r="B152" s="288"/>
      <c r="C152" s="288"/>
      <c r="D152" s="47">
        <f>ROUND(+D150+D149,2)</f>
        <v>57.69</v>
      </c>
    </row>
    <row r="154" spans="1:5" ht="36" customHeight="1" x14ac:dyDescent="0.2">
      <c r="A154" s="252" t="s">
        <v>242</v>
      </c>
      <c r="B154" s="252"/>
      <c r="C154" s="252"/>
      <c r="D154" s="252"/>
    </row>
    <row r="155" spans="1:5" x14ac:dyDescent="0.2">
      <c r="A155" s="285" t="s">
        <v>243</v>
      </c>
      <c r="B155" s="285"/>
      <c r="C155" s="285"/>
      <c r="D155" s="285"/>
      <c r="E155" s="118"/>
    </row>
    <row r="156" spans="1:5" ht="22.5" x14ac:dyDescent="0.25">
      <c r="A156" s="2"/>
      <c r="B156" s="138"/>
      <c r="C156" s="139" t="s">
        <v>244</v>
      </c>
      <c r="D156" s="140" t="s">
        <v>245</v>
      </c>
      <c r="E156" s="118"/>
    </row>
    <row r="157" spans="1:5" x14ac:dyDescent="0.2">
      <c r="A157" s="141" t="s">
        <v>246</v>
      </c>
      <c r="B157" s="141"/>
      <c r="C157" s="142">
        <f>ROUND((565/12),2)</f>
        <v>47.08</v>
      </c>
      <c r="D157" s="142">
        <f>ROUND(+C157/+(+Apresentacao!$E$45+Apresentacao!$E$46),2)</f>
        <v>15.69</v>
      </c>
      <c r="E157" s="118"/>
    </row>
    <row r="158" spans="1:5" x14ac:dyDescent="0.2">
      <c r="A158" s="141" t="s">
        <v>247</v>
      </c>
      <c r="B158" s="141"/>
      <c r="C158" s="142">
        <v>126</v>
      </c>
      <c r="D158" s="142">
        <f>ROUND(+C158/+(+Apresentacao!$E$45+Apresentacao!$E$46),2)</f>
        <v>42</v>
      </c>
      <c r="E158" s="118"/>
    </row>
    <row r="159" spans="1:5" x14ac:dyDescent="0.2">
      <c r="A159" s="118"/>
      <c r="B159" s="118"/>
      <c r="C159" s="118"/>
      <c r="D159" s="118"/>
      <c r="E159" s="118"/>
    </row>
    <row r="160" spans="1:5" x14ac:dyDescent="0.2">
      <c r="A160" s="118"/>
      <c r="B160" s="118"/>
      <c r="C160" s="118"/>
      <c r="D160" s="118"/>
      <c r="E160" s="118"/>
    </row>
    <row r="161" spans="1:5" x14ac:dyDescent="0.2">
      <c r="A161" s="118"/>
      <c r="B161" s="118"/>
      <c r="C161" s="118"/>
      <c r="D161" s="118"/>
      <c r="E161" s="118"/>
    </row>
    <row r="162" spans="1:5" x14ac:dyDescent="0.2">
      <c r="A162" s="118"/>
      <c r="B162" s="118"/>
      <c r="C162" s="118"/>
      <c r="D162" s="118"/>
      <c r="E162" s="118"/>
    </row>
    <row r="163" spans="1:5" x14ac:dyDescent="0.2">
      <c r="A163" s="118"/>
      <c r="B163" s="118"/>
      <c r="C163" s="118"/>
      <c r="D163" s="118"/>
      <c r="E163" s="118"/>
    </row>
    <row r="164" spans="1:5" x14ac:dyDescent="0.2">
      <c r="A164" s="118"/>
      <c r="B164" s="118"/>
      <c r="C164" s="118"/>
      <c r="D164" s="118"/>
      <c r="E164" s="118"/>
    </row>
    <row r="165" spans="1:5" x14ac:dyDescent="0.2">
      <c r="A165" s="118"/>
      <c r="B165" s="118"/>
      <c r="C165" s="118"/>
      <c r="D165" s="118"/>
      <c r="E165" s="118"/>
    </row>
    <row r="166" spans="1:5" x14ac:dyDescent="0.2">
      <c r="A166" s="118"/>
      <c r="B166" s="118"/>
      <c r="C166" s="118"/>
      <c r="D166" s="118"/>
      <c r="E166" s="118"/>
    </row>
    <row r="167" spans="1:5" x14ac:dyDescent="0.2">
      <c r="A167" s="118"/>
      <c r="B167" s="118"/>
      <c r="C167" s="118"/>
      <c r="D167" s="118"/>
      <c r="E167" s="118"/>
    </row>
  </sheetData>
  <mergeCells count="79">
    <mergeCell ref="B17:C17"/>
    <mergeCell ref="A1:D1"/>
    <mergeCell ref="A3:D3"/>
    <mergeCell ref="C4:D4"/>
    <mergeCell ref="C5:D5"/>
    <mergeCell ref="C6:D6"/>
    <mergeCell ref="C7:D7"/>
    <mergeCell ref="C8:D8"/>
    <mergeCell ref="A10:D10"/>
    <mergeCell ref="B12:C12"/>
    <mergeCell ref="B15:C15"/>
    <mergeCell ref="B16:C16"/>
    <mergeCell ref="A59:D59"/>
    <mergeCell ref="B18:C18"/>
    <mergeCell ref="B19:C19"/>
    <mergeCell ref="B21:C21"/>
    <mergeCell ref="B22:C22"/>
    <mergeCell ref="A23:C23"/>
    <mergeCell ref="A25:D25"/>
    <mergeCell ref="A27:D27"/>
    <mergeCell ref="A33:C33"/>
    <mergeCell ref="A35:D35"/>
    <mergeCell ref="A47:D47"/>
    <mergeCell ref="A57:B57"/>
    <mergeCell ref="B82:C82"/>
    <mergeCell ref="B60:C60"/>
    <mergeCell ref="B61:C61"/>
    <mergeCell ref="B62:C62"/>
    <mergeCell ref="B63:C63"/>
    <mergeCell ref="A64:C64"/>
    <mergeCell ref="A66:D66"/>
    <mergeCell ref="A75:C75"/>
    <mergeCell ref="A77:D77"/>
    <mergeCell ref="A79:D79"/>
    <mergeCell ref="B80:C80"/>
    <mergeCell ref="B81:C81"/>
    <mergeCell ref="B95:C95"/>
    <mergeCell ref="B83:C83"/>
    <mergeCell ref="B84:C84"/>
    <mergeCell ref="B85:C85"/>
    <mergeCell ref="B86:C86"/>
    <mergeCell ref="B87:C87"/>
    <mergeCell ref="B88:C88"/>
    <mergeCell ref="A89:C89"/>
    <mergeCell ref="B91:C91"/>
    <mergeCell ref="B92:C92"/>
    <mergeCell ref="B93:C93"/>
    <mergeCell ref="B94:C94"/>
    <mergeCell ref="B112:C112"/>
    <mergeCell ref="A96:C96"/>
    <mergeCell ref="B98:C98"/>
    <mergeCell ref="B99:C99"/>
    <mergeCell ref="A100:C100"/>
    <mergeCell ref="B103:C103"/>
    <mergeCell ref="B104:C104"/>
    <mergeCell ref="B105:C105"/>
    <mergeCell ref="B106:C106"/>
    <mergeCell ref="A107:C107"/>
    <mergeCell ref="A109:D109"/>
    <mergeCell ref="B111:C111"/>
    <mergeCell ref="B146:C146"/>
    <mergeCell ref="B114:C114"/>
    <mergeCell ref="B116:C116"/>
    <mergeCell ref="B118:C118"/>
    <mergeCell ref="A120:C120"/>
    <mergeCell ref="A122:D122"/>
    <mergeCell ref="A127:C127"/>
    <mergeCell ref="A128:C128"/>
    <mergeCell ref="A141:B141"/>
    <mergeCell ref="A143:D143"/>
    <mergeCell ref="B144:C144"/>
    <mergeCell ref="B145:C145"/>
    <mergeCell ref="A155:D155"/>
    <mergeCell ref="B147:C147"/>
    <mergeCell ref="B148:C148"/>
    <mergeCell ref="B149:C149"/>
    <mergeCell ref="B150:C150"/>
    <mergeCell ref="A152:C152"/>
    <mergeCell ref="A154:D154"/>
  </mergeCells>
  <pageMargins left="0.51181102362204722" right="0.51181102362204722" top="0.43" bottom="0.78740157480314965" header="0.31496062992125984" footer="0.31496062992125984"/>
  <pageSetup paperSize="9" scale="70" orientation="portrait" r:id="rId1"/>
  <headerFooter>
    <oddFooter>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C164"/>
  <sheetViews>
    <sheetView workbookViewId="0">
      <selection activeCell="B13" sqref="B13"/>
    </sheetView>
  </sheetViews>
  <sheetFormatPr defaultRowHeight="12.75" x14ac:dyDescent="0.2"/>
  <cols>
    <col min="1" max="1" width="73.5703125" style="71" customWidth="1"/>
    <col min="2" max="2" width="16.42578125" style="71" bestFit="1" customWidth="1"/>
    <col min="3" max="3" width="16.85546875" style="71" customWidth="1"/>
    <col min="4" max="4" width="10.7109375" style="71" bestFit="1" customWidth="1"/>
    <col min="5" max="5" width="79" style="71" customWidth="1"/>
    <col min="6" max="16384" width="9.140625" style="71"/>
  </cols>
  <sheetData>
    <row r="1" spans="1:3" ht="36.75" customHeight="1" x14ac:dyDescent="0.2">
      <c r="A1" s="377" t="s">
        <v>330</v>
      </c>
      <c r="B1" s="377"/>
      <c r="C1" s="377"/>
    </row>
    <row r="3" spans="1:3" x14ac:dyDescent="0.2">
      <c r="A3" s="86" t="s">
        <v>147</v>
      </c>
      <c r="B3" s="86">
        <v>220</v>
      </c>
    </row>
    <row r="4" spans="1:3" x14ac:dyDescent="0.2">
      <c r="A4" s="86" t="s">
        <v>148</v>
      </c>
      <c r="B4" s="86">
        <v>365.25</v>
      </c>
    </row>
    <row r="5" spans="1:3" x14ac:dyDescent="0.2">
      <c r="A5" s="86" t="s">
        <v>149</v>
      </c>
      <c r="B5" s="49">
        <f>(365.25/12)/(7/7)/2</f>
        <v>15.21875</v>
      </c>
    </row>
    <row r="6" spans="1:3" x14ac:dyDescent="0.2">
      <c r="A6" s="95" t="s">
        <v>30</v>
      </c>
      <c r="B6" s="90">
        <f>+'Camareiro 12 36 Diurno'!D12</f>
        <v>0</v>
      </c>
    </row>
    <row r="7" spans="1:3" x14ac:dyDescent="0.2">
      <c r="A7" s="95" t="s">
        <v>150</v>
      </c>
      <c r="B7" s="90">
        <f>+'Camareiro 12 36 Diurno'!D23</f>
        <v>0</v>
      </c>
    </row>
    <row r="9" spans="1:3" x14ac:dyDescent="0.2">
      <c r="A9" s="353" t="s">
        <v>151</v>
      </c>
      <c r="B9" s="354"/>
      <c r="C9" s="355"/>
    </row>
    <row r="10" spans="1:3" x14ac:dyDescent="0.2">
      <c r="A10" s="86" t="s">
        <v>152</v>
      </c>
      <c r="B10" s="86">
        <f>+$B$4</f>
        <v>365.25</v>
      </c>
      <c r="C10" s="107"/>
    </row>
    <row r="11" spans="1:3" x14ac:dyDescent="0.2">
      <c r="A11" s="86" t="s">
        <v>153</v>
      </c>
      <c r="B11" s="95">
        <v>12</v>
      </c>
      <c r="C11" s="107"/>
    </row>
    <row r="12" spans="1:3" x14ac:dyDescent="0.2">
      <c r="A12" s="86" t="s">
        <v>154</v>
      </c>
      <c r="B12" s="89">
        <v>1</v>
      </c>
      <c r="C12" s="107"/>
    </row>
    <row r="13" spans="1:3" x14ac:dyDescent="0.2">
      <c r="A13" s="95" t="s">
        <v>155</v>
      </c>
      <c r="B13" s="119">
        <f>+B5</f>
        <v>15.21875</v>
      </c>
      <c r="C13" s="107"/>
    </row>
    <row r="14" spans="1:3" x14ac:dyDescent="0.2">
      <c r="A14" s="101" t="s">
        <v>156</v>
      </c>
      <c r="B14" s="120"/>
      <c r="C14" s="107"/>
    </row>
    <row r="15" spans="1:3" x14ac:dyDescent="0.2">
      <c r="A15" s="86" t="s">
        <v>157</v>
      </c>
      <c r="B15" s="89">
        <v>0.06</v>
      </c>
      <c r="C15" s="107"/>
    </row>
    <row r="16" spans="1:3" x14ac:dyDescent="0.2">
      <c r="A16" s="334" t="s">
        <v>158</v>
      </c>
      <c r="B16" s="335"/>
      <c r="C16" s="48">
        <f>ROUND((B13*(B14*2)-($B$6*B15)),2)</f>
        <v>0</v>
      </c>
    </row>
    <row r="18" spans="1:3" x14ac:dyDescent="0.2">
      <c r="A18" s="353" t="s">
        <v>159</v>
      </c>
      <c r="B18" s="354"/>
      <c r="C18" s="355"/>
    </row>
    <row r="19" spans="1:3" x14ac:dyDescent="0.2">
      <c r="A19" s="86" t="s">
        <v>152</v>
      </c>
      <c r="B19" s="86">
        <f>+$B$4</f>
        <v>365.25</v>
      </c>
      <c r="C19" s="107"/>
    </row>
    <row r="20" spans="1:3" x14ac:dyDescent="0.2">
      <c r="A20" s="86" t="s">
        <v>153</v>
      </c>
      <c r="B20" s="95">
        <v>12</v>
      </c>
      <c r="C20" s="107"/>
    </row>
    <row r="21" spans="1:3" x14ac:dyDescent="0.2">
      <c r="A21" s="86" t="s">
        <v>154</v>
      </c>
      <c r="B21" s="89">
        <v>1</v>
      </c>
      <c r="C21" s="107"/>
    </row>
    <row r="22" spans="1:3" x14ac:dyDescent="0.2">
      <c r="A22" s="95" t="s">
        <v>155</v>
      </c>
      <c r="B22" s="119">
        <f>+B5</f>
        <v>15.21875</v>
      </c>
      <c r="C22" s="107"/>
    </row>
    <row r="23" spans="1:3" x14ac:dyDescent="0.2">
      <c r="A23" s="101" t="s">
        <v>160</v>
      </c>
      <c r="B23" s="120"/>
      <c r="C23" s="107"/>
    </row>
    <row r="24" spans="1:3" x14ac:dyDescent="0.2">
      <c r="A24" s="86" t="s">
        <v>161</v>
      </c>
      <c r="B24" s="89">
        <v>0.1</v>
      </c>
      <c r="C24" s="107"/>
    </row>
    <row r="25" spans="1:3" x14ac:dyDescent="0.2">
      <c r="A25" s="334" t="s">
        <v>160</v>
      </c>
      <c r="B25" s="335"/>
      <c r="C25" s="48">
        <f>ROUND((B22*(B23)-((B22*B23)*B24)),2)</f>
        <v>0</v>
      </c>
    </row>
    <row r="27" spans="1:3" x14ac:dyDescent="0.2">
      <c r="A27" s="353" t="s">
        <v>162</v>
      </c>
      <c r="B27" s="354"/>
      <c r="C27" s="355"/>
    </row>
    <row r="28" spans="1:3" x14ac:dyDescent="0.2">
      <c r="A28" s="86" t="s">
        <v>163</v>
      </c>
      <c r="B28" s="90">
        <f>+B7</f>
        <v>0</v>
      </c>
      <c r="C28" s="107"/>
    </row>
    <row r="29" spans="1:3" x14ac:dyDescent="0.2">
      <c r="A29" s="86" t="s">
        <v>164</v>
      </c>
      <c r="B29" s="86">
        <v>12</v>
      </c>
      <c r="C29" s="107"/>
    </row>
    <row r="30" spans="1:3" x14ac:dyDescent="0.2">
      <c r="A30" s="101" t="s">
        <v>165</v>
      </c>
      <c r="B30" s="116"/>
      <c r="C30" s="107"/>
    </row>
    <row r="31" spans="1:3" x14ac:dyDescent="0.2">
      <c r="A31" s="334" t="s">
        <v>166</v>
      </c>
      <c r="B31" s="335"/>
      <c r="C31" s="48">
        <f>ROUND(+(B28/B29)*B30,2)</f>
        <v>0</v>
      </c>
    </row>
    <row r="33" spans="1:3" x14ac:dyDescent="0.2">
      <c r="A33" s="336" t="s">
        <v>167</v>
      </c>
      <c r="B33" s="337"/>
      <c r="C33" s="338"/>
    </row>
    <row r="34" spans="1:3" s="97" customFormat="1" x14ac:dyDescent="0.2">
      <c r="A34" s="121" t="s">
        <v>168</v>
      </c>
      <c r="B34" s="116">
        <f>+B30</f>
        <v>0</v>
      </c>
      <c r="C34" s="107"/>
    </row>
    <row r="35" spans="1:3" x14ac:dyDescent="0.2">
      <c r="A35" s="86" t="s">
        <v>169</v>
      </c>
      <c r="B35" s="90">
        <f>+'Camareiro 12 36 Diurno'!$D$23</f>
        <v>0</v>
      </c>
      <c r="C35" s="107"/>
    </row>
    <row r="36" spans="1:3" x14ac:dyDescent="0.2">
      <c r="A36" s="86" t="s">
        <v>53</v>
      </c>
      <c r="B36" s="90">
        <f>+'Camareiro 12 36 Diurno'!$D$29</f>
        <v>0</v>
      </c>
      <c r="C36" s="107"/>
    </row>
    <row r="37" spans="1:3" x14ac:dyDescent="0.2">
      <c r="A37" s="86" t="s">
        <v>56</v>
      </c>
      <c r="B37" s="90">
        <f>+'Camareiro 12 36 Diurno'!$D$31</f>
        <v>0</v>
      </c>
      <c r="C37" s="107"/>
    </row>
    <row r="38" spans="1:3" x14ac:dyDescent="0.2">
      <c r="A38" s="86" t="s">
        <v>58</v>
      </c>
      <c r="B38" s="90">
        <f>+'Camareiro 12 36 Diurno'!$D$32</f>
        <v>0</v>
      </c>
      <c r="C38" s="107"/>
    </row>
    <row r="39" spans="1:3" x14ac:dyDescent="0.2">
      <c r="A39" s="50" t="s">
        <v>170</v>
      </c>
      <c r="B39" s="51">
        <f>SUM(B35:B38)</f>
        <v>0</v>
      </c>
      <c r="C39" s="107"/>
    </row>
    <row r="40" spans="1:3" x14ac:dyDescent="0.2">
      <c r="A40" s="95" t="s">
        <v>171</v>
      </c>
      <c r="B40" s="89">
        <v>0.4</v>
      </c>
      <c r="C40" s="107"/>
    </row>
    <row r="41" spans="1:3" x14ac:dyDescent="0.2">
      <c r="A41" s="95" t="s">
        <v>172</v>
      </c>
      <c r="B41" s="89">
        <f>+'Camareiro 12 36 Diurno'!$C$44</f>
        <v>0.08</v>
      </c>
      <c r="C41" s="107"/>
    </row>
    <row r="42" spans="1:3" x14ac:dyDescent="0.2">
      <c r="A42" s="305" t="s">
        <v>173</v>
      </c>
      <c r="B42" s="306"/>
      <c r="C42" s="41">
        <f>ROUND(+B39*B40*B41*B34,2)</f>
        <v>0</v>
      </c>
    </row>
    <row r="43" spans="1:3" x14ac:dyDescent="0.2">
      <c r="A43" s="95" t="s">
        <v>265</v>
      </c>
      <c r="B43" s="89"/>
      <c r="C43" s="107"/>
    </row>
    <row r="44" spans="1:3" x14ac:dyDescent="0.2">
      <c r="A44" s="305" t="s">
        <v>266</v>
      </c>
      <c r="B44" s="306"/>
      <c r="C44" s="163"/>
    </row>
    <row r="45" spans="1:3" x14ac:dyDescent="0.2">
      <c r="A45" s="334" t="s">
        <v>174</v>
      </c>
      <c r="B45" s="335"/>
      <c r="C45" s="42">
        <f>+C42</f>
        <v>0</v>
      </c>
    </row>
    <row r="47" spans="1:3" x14ac:dyDescent="0.2">
      <c r="A47" s="353" t="s">
        <v>175</v>
      </c>
      <c r="B47" s="354"/>
      <c r="C47" s="355"/>
    </row>
    <row r="48" spans="1:3" x14ac:dyDescent="0.2">
      <c r="A48" s="86" t="s">
        <v>163</v>
      </c>
      <c r="B48" s="90">
        <f>+B7</f>
        <v>0</v>
      </c>
      <c r="C48" s="107"/>
    </row>
    <row r="49" spans="1:3" x14ac:dyDescent="0.2">
      <c r="A49" s="86" t="s">
        <v>176</v>
      </c>
      <c r="B49" s="122">
        <v>30</v>
      </c>
      <c r="C49" s="107"/>
    </row>
    <row r="50" spans="1:3" x14ac:dyDescent="0.2">
      <c r="A50" s="86" t="s">
        <v>164</v>
      </c>
      <c r="B50" s="86">
        <v>12</v>
      </c>
      <c r="C50" s="107"/>
    </row>
    <row r="51" spans="1:3" x14ac:dyDescent="0.2">
      <c r="A51" s="86" t="s">
        <v>177</v>
      </c>
      <c r="B51" s="86">
        <v>7</v>
      </c>
      <c r="C51" s="107"/>
    </row>
    <row r="52" spans="1:3" x14ac:dyDescent="0.2">
      <c r="A52" s="101" t="s">
        <v>178</v>
      </c>
      <c r="B52" s="116"/>
      <c r="C52" s="107"/>
    </row>
    <row r="53" spans="1:3" x14ac:dyDescent="0.2">
      <c r="A53" s="334" t="s">
        <v>179</v>
      </c>
      <c r="B53" s="335"/>
      <c r="C53" s="48">
        <f>+ROUND(((B48/B49/B50)*B51)*B52,2)</f>
        <v>0</v>
      </c>
    </row>
    <row r="55" spans="1:3" x14ac:dyDescent="0.2">
      <c r="A55" s="336" t="s">
        <v>180</v>
      </c>
      <c r="B55" s="337"/>
      <c r="C55" s="338"/>
    </row>
    <row r="56" spans="1:3" x14ac:dyDescent="0.2">
      <c r="A56" s="121" t="s">
        <v>181</v>
      </c>
      <c r="B56" s="116">
        <f>+B52</f>
        <v>0</v>
      </c>
      <c r="C56" s="107"/>
    </row>
    <row r="57" spans="1:3" x14ac:dyDescent="0.2">
      <c r="A57" s="86" t="s">
        <v>169</v>
      </c>
      <c r="B57" s="90">
        <f>+'Camareiro 12 36 Diurno'!$D$23</f>
        <v>0</v>
      </c>
      <c r="C57" s="107"/>
    </row>
    <row r="58" spans="1:3" x14ac:dyDescent="0.2">
      <c r="A58" s="86" t="s">
        <v>53</v>
      </c>
      <c r="B58" s="90">
        <f>+'Camareiro 12 36 Diurno'!$D$29</f>
        <v>0</v>
      </c>
      <c r="C58" s="107"/>
    </row>
    <row r="59" spans="1:3" x14ac:dyDescent="0.2">
      <c r="A59" s="86" t="s">
        <v>56</v>
      </c>
      <c r="B59" s="90">
        <f>+'Camareiro 12 36 Diurno'!$D$31</f>
        <v>0</v>
      </c>
      <c r="C59" s="107"/>
    </row>
    <row r="60" spans="1:3" x14ac:dyDescent="0.2">
      <c r="A60" s="86" t="s">
        <v>58</v>
      </c>
      <c r="B60" s="90">
        <f>+'Camareiro 12 36 Diurno'!$D$32</f>
        <v>0</v>
      </c>
      <c r="C60" s="107"/>
    </row>
    <row r="61" spans="1:3" x14ac:dyDescent="0.2">
      <c r="A61" s="50" t="s">
        <v>170</v>
      </c>
      <c r="B61" s="51">
        <f>SUM(B57:B60)</f>
        <v>0</v>
      </c>
      <c r="C61" s="107"/>
    </row>
    <row r="62" spans="1:3" x14ac:dyDescent="0.2">
      <c r="A62" s="95" t="s">
        <v>171</v>
      </c>
      <c r="B62" s="89">
        <v>0.4</v>
      </c>
      <c r="C62" s="107"/>
    </row>
    <row r="63" spans="1:3" x14ac:dyDescent="0.2">
      <c r="A63" s="95" t="s">
        <v>172</v>
      </c>
      <c r="B63" s="89">
        <f>+'Camareiro 12 36 Diurno'!$C$44</f>
        <v>0.08</v>
      </c>
      <c r="C63" s="107"/>
    </row>
    <row r="64" spans="1:3" x14ac:dyDescent="0.2">
      <c r="A64" s="305" t="s">
        <v>173</v>
      </c>
      <c r="B64" s="306"/>
      <c r="C64" s="41">
        <f>ROUND(+B61*B62*B63*B56,2)</f>
        <v>0</v>
      </c>
    </row>
    <row r="65" spans="1:3" x14ac:dyDescent="0.2">
      <c r="A65" s="95" t="s">
        <v>265</v>
      </c>
      <c r="B65" s="89"/>
      <c r="C65" s="107"/>
    </row>
    <row r="66" spans="1:3" x14ac:dyDescent="0.2">
      <c r="A66" s="305" t="s">
        <v>266</v>
      </c>
      <c r="B66" s="306"/>
      <c r="C66" s="163"/>
    </row>
    <row r="67" spans="1:3" x14ac:dyDescent="0.2">
      <c r="A67" s="334" t="s">
        <v>182</v>
      </c>
      <c r="B67" s="335"/>
      <c r="C67" s="42">
        <f>+C64</f>
        <v>0</v>
      </c>
    </row>
    <row r="69" spans="1:3" x14ac:dyDescent="0.2">
      <c r="A69" s="336" t="s">
        <v>183</v>
      </c>
      <c r="B69" s="337"/>
      <c r="C69" s="338"/>
    </row>
    <row r="70" spans="1:3" x14ac:dyDescent="0.2">
      <c r="A70" s="343" t="s">
        <v>184</v>
      </c>
      <c r="B70" s="344"/>
      <c r="C70" s="345"/>
    </row>
    <row r="71" spans="1:3" x14ac:dyDescent="0.2">
      <c r="A71" s="346"/>
      <c r="B71" s="347"/>
      <c r="C71" s="348"/>
    </row>
    <row r="72" spans="1:3" x14ac:dyDescent="0.2">
      <c r="A72" s="346"/>
      <c r="B72" s="347"/>
      <c r="C72" s="348"/>
    </row>
    <row r="73" spans="1:3" x14ac:dyDescent="0.2">
      <c r="A73" s="349"/>
      <c r="B73" s="350"/>
      <c r="C73" s="351"/>
    </row>
    <row r="74" spans="1:3" x14ac:dyDescent="0.2">
      <c r="A74" s="123"/>
      <c r="B74" s="123"/>
      <c r="C74" s="123"/>
    </row>
    <row r="75" spans="1:3" x14ac:dyDescent="0.2">
      <c r="A75" s="336" t="s">
        <v>185</v>
      </c>
      <c r="B75" s="337"/>
      <c r="C75" s="338"/>
    </row>
    <row r="76" spans="1:3" x14ac:dyDescent="0.2">
      <c r="A76" s="86" t="s">
        <v>186</v>
      </c>
      <c r="B76" s="90">
        <f>+$B$7</f>
        <v>0</v>
      </c>
      <c r="C76" s="107"/>
    </row>
    <row r="77" spans="1:3" x14ac:dyDescent="0.2">
      <c r="A77" s="86" t="s">
        <v>153</v>
      </c>
      <c r="B77" s="86">
        <v>30</v>
      </c>
      <c r="C77" s="107"/>
    </row>
    <row r="78" spans="1:3" x14ac:dyDescent="0.2">
      <c r="A78" s="86" t="s">
        <v>187</v>
      </c>
      <c r="B78" s="86">
        <v>12</v>
      </c>
      <c r="C78" s="107"/>
    </row>
    <row r="79" spans="1:3" x14ac:dyDescent="0.2">
      <c r="A79" s="101" t="s">
        <v>188</v>
      </c>
      <c r="B79" s="101"/>
      <c r="C79" s="107"/>
    </row>
    <row r="80" spans="1:3" x14ac:dyDescent="0.2">
      <c r="A80" s="334" t="s">
        <v>189</v>
      </c>
      <c r="B80" s="335"/>
      <c r="C80" s="36">
        <f>+ROUND((B76/B77/B78)*B79,2)</f>
        <v>0</v>
      </c>
    </row>
    <row r="82" spans="1:3" x14ac:dyDescent="0.2">
      <c r="A82" s="336" t="s">
        <v>190</v>
      </c>
      <c r="B82" s="337"/>
      <c r="C82" s="338"/>
    </row>
    <row r="83" spans="1:3" x14ac:dyDescent="0.2">
      <c r="A83" s="86" t="s">
        <v>186</v>
      </c>
      <c r="B83" s="90">
        <f>+$B$7</f>
        <v>0</v>
      </c>
      <c r="C83" s="107"/>
    </row>
    <row r="84" spans="1:3" x14ac:dyDescent="0.2">
      <c r="A84" s="86" t="s">
        <v>153</v>
      </c>
      <c r="B84" s="86">
        <v>30</v>
      </c>
      <c r="C84" s="107"/>
    </row>
    <row r="85" spans="1:3" x14ac:dyDescent="0.2">
      <c r="A85" s="86" t="s">
        <v>187</v>
      </c>
      <c r="B85" s="86">
        <v>12</v>
      </c>
      <c r="C85" s="107"/>
    </row>
    <row r="86" spans="1:3" x14ac:dyDescent="0.2">
      <c r="A86" s="95" t="s">
        <v>191</v>
      </c>
      <c r="B86" s="86">
        <v>5</v>
      </c>
      <c r="C86" s="107"/>
    </row>
    <row r="87" spans="1:3" x14ac:dyDescent="0.2">
      <c r="A87" s="101" t="s">
        <v>192</v>
      </c>
      <c r="B87" s="116"/>
      <c r="C87" s="107"/>
    </row>
    <row r="88" spans="1:3" x14ac:dyDescent="0.2">
      <c r="A88" s="101" t="s">
        <v>193</v>
      </c>
      <c r="B88" s="116"/>
      <c r="C88" s="107"/>
    </row>
    <row r="89" spans="1:3" x14ac:dyDescent="0.2">
      <c r="A89" s="334" t="s">
        <v>194</v>
      </c>
      <c r="B89" s="335"/>
      <c r="C89" s="48">
        <f>ROUND(+B83/B84/B85*B86*B87*B88,2)</f>
        <v>0</v>
      </c>
    </row>
    <row r="91" spans="1:3" x14ac:dyDescent="0.2">
      <c r="A91" s="336" t="s">
        <v>195</v>
      </c>
      <c r="B91" s="337"/>
      <c r="C91" s="338"/>
    </row>
    <row r="92" spans="1:3" x14ac:dyDescent="0.2">
      <c r="A92" s="86" t="s">
        <v>186</v>
      </c>
      <c r="B92" s="90">
        <f>+$B$7</f>
        <v>0</v>
      </c>
      <c r="C92" s="107"/>
    </row>
    <row r="93" spans="1:3" x14ac:dyDescent="0.2">
      <c r="A93" s="86" t="s">
        <v>153</v>
      </c>
      <c r="B93" s="86">
        <v>30</v>
      </c>
      <c r="C93" s="107"/>
    </row>
    <row r="94" spans="1:3" x14ac:dyDescent="0.2">
      <c r="A94" s="86" t="s">
        <v>187</v>
      </c>
      <c r="B94" s="86">
        <v>12</v>
      </c>
      <c r="C94" s="107"/>
    </row>
    <row r="95" spans="1:3" x14ac:dyDescent="0.2">
      <c r="A95" s="95" t="s">
        <v>196</v>
      </c>
      <c r="B95" s="86">
        <v>15</v>
      </c>
      <c r="C95" s="107"/>
    </row>
    <row r="96" spans="1:3" x14ac:dyDescent="0.2">
      <c r="A96" s="101" t="s">
        <v>197</v>
      </c>
      <c r="B96" s="116"/>
      <c r="C96" s="107"/>
    </row>
    <row r="97" spans="1:3" x14ac:dyDescent="0.2">
      <c r="A97" s="334" t="s">
        <v>198</v>
      </c>
      <c r="B97" s="335"/>
      <c r="C97" s="48">
        <f>ROUND(+B92/B93/B94*B95*B96,2)</f>
        <v>0</v>
      </c>
    </row>
    <row r="99" spans="1:3" x14ac:dyDescent="0.2">
      <c r="A99" s="336" t="s">
        <v>199</v>
      </c>
      <c r="B99" s="337"/>
      <c r="C99" s="338"/>
    </row>
    <row r="100" spans="1:3" x14ac:dyDescent="0.2">
      <c r="A100" s="86" t="s">
        <v>186</v>
      </c>
      <c r="B100" s="90">
        <f>+$B$7</f>
        <v>0</v>
      </c>
      <c r="C100" s="107"/>
    </row>
    <row r="101" spans="1:3" x14ac:dyDescent="0.2">
      <c r="A101" s="86" t="s">
        <v>153</v>
      </c>
      <c r="B101" s="86">
        <v>30</v>
      </c>
      <c r="C101" s="107"/>
    </row>
    <row r="102" spans="1:3" x14ac:dyDescent="0.2">
      <c r="A102" s="86" t="s">
        <v>187</v>
      </c>
      <c r="B102" s="86">
        <v>12</v>
      </c>
      <c r="C102" s="107"/>
    </row>
    <row r="103" spans="1:3" x14ac:dyDescent="0.2">
      <c r="A103" s="95" t="s">
        <v>196</v>
      </c>
      <c r="B103" s="86">
        <v>5</v>
      </c>
      <c r="C103" s="107"/>
    </row>
    <row r="104" spans="1:3" x14ac:dyDescent="0.2">
      <c r="A104" s="101" t="s">
        <v>200</v>
      </c>
      <c r="B104" s="116"/>
      <c r="C104" s="107"/>
    </row>
    <row r="105" spans="1:3" x14ac:dyDescent="0.2">
      <c r="A105" s="334" t="s">
        <v>201</v>
      </c>
      <c r="B105" s="335"/>
      <c r="C105" s="48">
        <f>ROUND(+B100/B101/B102*B103*B104,2)</f>
        <v>0</v>
      </c>
    </row>
    <row r="107" spans="1:3" x14ac:dyDescent="0.2">
      <c r="A107" s="336" t="s">
        <v>202</v>
      </c>
      <c r="B107" s="337"/>
      <c r="C107" s="338"/>
    </row>
    <row r="108" spans="1:3" x14ac:dyDescent="0.2">
      <c r="A108" s="339" t="s">
        <v>203</v>
      </c>
      <c r="B108" s="340"/>
      <c r="C108" s="341"/>
    </row>
    <row r="109" spans="1:3" x14ac:dyDescent="0.2">
      <c r="A109" s="86" t="s">
        <v>186</v>
      </c>
      <c r="B109" s="90">
        <f>+$B$7</f>
        <v>0</v>
      </c>
      <c r="C109" s="107"/>
    </row>
    <row r="110" spans="1:3" x14ac:dyDescent="0.2">
      <c r="A110" s="86" t="s">
        <v>204</v>
      </c>
      <c r="B110" s="90">
        <f>+B109*(1/3)</f>
        <v>0</v>
      </c>
      <c r="C110" s="107"/>
    </row>
    <row r="111" spans="1:3" x14ac:dyDescent="0.2">
      <c r="A111" s="50" t="s">
        <v>170</v>
      </c>
      <c r="B111" s="51">
        <f>SUM(B109:B110)</f>
        <v>0</v>
      </c>
      <c r="C111" s="107"/>
    </row>
    <row r="112" spans="1:3" x14ac:dyDescent="0.2">
      <c r="A112" s="86" t="s">
        <v>205</v>
      </c>
      <c r="B112" s="86">
        <v>4</v>
      </c>
      <c r="C112" s="107"/>
    </row>
    <row r="113" spans="1:3" x14ac:dyDescent="0.2">
      <c r="A113" s="86" t="s">
        <v>187</v>
      </c>
      <c r="B113" s="86">
        <v>12</v>
      </c>
      <c r="C113" s="107"/>
    </row>
    <row r="114" spans="1:3" x14ac:dyDescent="0.2">
      <c r="A114" s="101" t="s">
        <v>206</v>
      </c>
      <c r="B114" s="116"/>
      <c r="C114" s="107"/>
    </row>
    <row r="115" spans="1:3" x14ac:dyDescent="0.2">
      <c r="A115" s="101" t="s">
        <v>207</v>
      </c>
      <c r="B115" s="116"/>
      <c r="C115" s="107"/>
    </row>
    <row r="116" spans="1:3" x14ac:dyDescent="0.2">
      <c r="A116" s="334" t="s">
        <v>208</v>
      </c>
      <c r="B116" s="335"/>
      <c r="C116" s="48">
        <f>ROUND((((+B111*(B112/B113)/B113)*B114)*B115),2)</f>
        <v>0</v>
      </c>
    </row>
    <row r="117" spans="1:3" x14ac:dyDescent="0.2">
      <c r="A117" s="334" t="s">
        <v>209</v>
      </c>
      <c r="B117" s="342"/>
      <c r="C117" s="335"/>
    </row>
    <row r="118" spans="1:3" x14ac:dyDescent="0.2">
      <c r="A118" s="86" t="s">
        <v>186</v>
      </c>
      <c r="B118" s="90">
        <f>+'Camareiro 12 36 Diurno'!D23</f>
        <v>0</v>
      </c>
      <c r="C118" s="107"/>
    </row>
    <row r="119" spans="1:3" x14ac:dyDescent="0.2">
      <c r="A119" s="86" t="s">
        <v>53</v>
      </c>
      <c r="B119" s="90">
        <f>+'Camareiro 12 36 Diurno'!D29</f>
        <v>0</v>
      </c>
      <c r="C119" s="107"/>
    </row>
    <row r="120" spans="1:3" x14ac:dyDescent="0.2">
      <c r="A120" s="50" t="s">
        <v>170</v>
      </c>
      <c r="B120" s="51">
        <f>SUM(B118:B119)</f>
        <v>0</v>
      </c>
      <c r="C120" s="107"/>
    </row>
    <row r="121" spans="1:3" x14ac:dyDescent="0.2">
      <c r="A121" s="86" t="s">
        <v>205</v>
      </c>
      <c r="B121" s="86">
        <v>4</v>
      </c>
      <c r="C121" s="107"/>
    </row>
    <row r="122" spans="1:3" x14ac:dyDescent="0.2">
      <c r="A122" s="86" t="s">
        <v>187</v>
      </c>
      <c r="B122" s="86">
        <v>12</v>
      </c>
      <c r="C122" s="107"/>
    </row>
    <row r="123" spans="1:3" x14ac:dyDescent="0.2">
      <c r="A123" s="101" t="s">
        <v>206</v>
      </c>
      <c r="B123" s="116">
        <f>+B114</f>
        <v>0</v>
      </c>
      <c r="C123" s="107"/>
    </row>
    <row r="124" spans="1:3" x14ac:dyDescent="0.2">
      <c r="A124" s="101" t="s">
        <v>207</v>
      </c>
      <c r="B124" s="116">
        <f>+B115</f>
        <v>0</v>
      </c>
      <c r="C124" s="107"/>
    </row>
    <row r="125" spans="1:3" x14ac:dyDescent="0.2">
      <c r="A125" s="95" t="s">
        <v>210</v>
      </c>
      <c r="B125" s="89">
        <f>+'Camareiro 12 36 Diurno'!C45</f>
        <v>0.36800000000000005</v>
      </c>
      <c r="C125" s="107"/>
    </row>
    <row r="126" spans="1:3" x14ac:dyDescent="0.2">
      <c r="A126" s="334" t="s">
        <v>211</v>
      </c>
      <c r="B126" s="335"/>
      <c r="C126" s="42">
        <f>ROUND((((B120*(B121/B122)*B123)*B124)*B125),2)</f>
        <v>0</v>
      </c>
    </row>
    <row r="128" spans="1:3" ht="30.75" customHeight="1" x14ac:dyDescent="0.2">
      <c r="A128" s="333" t="s">
        <v>329</v>
      </c>
      <c r="B128" s="333"/>
      <c r="C128" s="333"/>
    </row>
    <row r="130" spans="1:3" x14ac:dyDescent="0.2">
      <c r="A130" s="375" t="s">
        <v>267</v>
      </c>
      <c r="B130" s="375"/>
      <c r="C130" s="375"/>
    </row>
    <row r="131" spans="1:3" x14ac:dyDescent="0.2">
      <c r="A131" s="86" t="s">
        <v>152</v>
      </c>
      <c r="B131" s="86">
        <v>365.25</v>
      </c>
      <c r="C131" s="107"/>
    </row>
    <row r="132" spans="1:3" x14ac:dyDescent="0.2">
      <c r="A132" s="86" t="s">
        <v>153</v>
      </c>
      <c r="B132" s="95">
        <v>12</v>
      </c>
      <c r="C132" s="107"/>
    </row>
    <row r="133" spans="1:3" x14ac:dyDescent="0.2">
      <c r="A133" s="86" t="s">
        <v>154</v>
      </c>
      <c r="B133" s="89">
        <v>0.5</v>
      </c>
      <c r="C133" s="107"/>
    </row>
    <row r="134" spans="1:3" x14ac:dyDescent="0.2">
      <c r="A134" s="164" t="s">
        <v>268</v>
      </c>
      <c r="B134" s="95">
        <v>7</v>
      </c>
      <c r="C134" s="107"/>
    </row>
    <row r="135" spans="1:3" x14ac:dyDescent="0.2">
      <c r="A135" s="95" t="s">
        <v>269</v>
      </c>
      <c r="B135" s="107"/>
      <c r="C135" s="90">
        <f>+'Camareiro 12 36 Diurno'!$D$12</f>
        <v>0</v>
      </c>
    </row>
    <row r="136" spans="1:3" x14ac:dyDescent="0.2">
      <c r="A136" s="95" t="s">
        <v>31</v>
      </c>
      <c r="B136" s="107"/>
      <c r="C136" s="90">
        <f>+'Camareiro 12 36 Diurno'!$D$13</f>
        <v>0</v>
      </c>
    </row>
    <row r="137" spans="1:3" x14ac:dyDescent="0.2">
      <c r="A137" s="95" t="s">
        <v>32</v>
      </c>
      <c r="B137" s="107"/>
      <c r="C137" s="90">
        <f>+'Camareiro 12 36 Diurno'!$D$14</f>
        <v>0</v>
      </c>
    </row>
    <row r="138" spans="1:3" x14ac:dyDescent="0.2">
      <c r="A138" s="50" t="s">
        <v>270</v>
      </c>
      <c r="B138" s="107"/>
      <c r="C138" s="51">
        <f>SUM(C135:C137)</f>
        <v>0</v>
      </c>
    </row>
    <row r="139" spans="1:3" x14ac:dyDescent="0.2">
      <c r="A139" s="86" t="s">
        <v>147</v>
      </c>
      <c r="B139" s="165">
        <f>+B3</f>
        <v>220</v>
      </c>
      <c r="C139" s="107"/>
    </row>
    <row r="140" spans="1:3" x14ac:dyDescent="0.2">
      <c r="A140" s="95" t="s">
        <v>271</v>
      </c>
      <c r="B140" s="89">
        <v>0.2</v>
      </c>
      <c r="C140" s="107"/>
    </row>
    <row r="141" spans="1:3" x14ac:dyDescent="0.2">
      <c r="A141" s="95" t="s">
        <v>272</v>
      </c>
      <c r="B141" s="107"/>
      <c r="C141" s="166">
        <f>ROUND((C138/B139)*B140,2)</f>
        <v>0</v>
      </c>
    </row>
    <row r="142" spans="1:3" x14ac:dyDescent="0.2">
      <c r="A142" s="95" t="s">
        <v>273</v>
      </c>
      <c r="B142" s="86">
        <f>ROUND(+B131/B132*B133*B134,0)</f>
        <v>107</v>
      </c>
      <c r="C142" s="167"/>
    </row>
    <row r="143" spans="1:3" x14ac:dyDescent="0.2">
      <c r="A143" s="376" t="s">
        <v>274</v>
      </c>
      <c r="B143" s="376"/>
      <c r="C143" s="40">
        <f>ROUND(+B142*C141,2)</f>
        <v>0</v>
      </c>
    </row>
    <row r="145" spans="1:3" x14ac:dyDescent="0.2">
      <c r="A145" s="375" t="s">
        <v>275</v>
      </c>
      <c r="B145" s="375"/>
      <c r="C145" s="375"/>
    </row>
    <row r="146" spans="1:3" x14ac:dyDescent="0.2">
      <c r="A146" s="86" t="s">
        <v>152</v>
      </c>
      <c r="B146" s="86">
        <f>+$B$4</f>
        <v>365.25</v>
      </c>
      <c r="C146" s="107"/>
    </row>
    <row r="147" spans="1:3" x14ac:dyDescent="0.2">
      <c r="A147" s="86" t="s">
        <v>153</v>
      </c>
      <c r="B147" s="95">
        <v>12</v>
      </c>
      <c r="C147" s="107"/>
    </row>
    <row r="148" spans="1:3" x14ac:dyDescent="0.2">
      <c r="A148" s="86" t="s">
        <v>154</v>
      </c>
      <c r="B148" s="89">
        <v>0.5</v>
      </c>
      <c r="C148" s="107"/>
    </row>
    <row r="149" spans="1:3" x14ac:dyDescent="0.2">
      <c r="A149" s="164" t="s">
        <v>268</v>
      </c>
      <c r="B149" s="95">
        <v>7</v>
      </c>
      <c r="C149" s="107"/>
    </row>
    <row r="150" spans="1:3" x14ac:dyDescent="0.2">
      <c r="A150" s="95" t="s">
        <v>276</v>
      </c>
      <c r="B150" s="49">
        <f>(365.25/12/2)/(7/7)</f>
        <v>15.21875</v>
      </c>
      <c r="C150" s="86"/>
    </row>
    <row r="151" spans="1:3" x14ac:dyDescent="0.2">
      <c r="A151" s="95" t="s">
        <v>277</v>
      </c>
      <c r="B151" s="86">
        <f>ROUND(+B150*B149,2)</f>
        <v>106.53</v>
      </c>
      <c r="C151" s="86"/>
    </row>
    <row r="152" spans="1:3" x14ac:dyDescent="0.2">
      <c r="A152" s="95" t="s">
        <v>269</v>
      </c>
      <c r="B152" s="107"/>
      <c r="C152" s="90">
        <f>+'Camareiro 12 36 Diurno'!$D$12</f>
        <v>0</v>
      </c>
    </row>
    <row r="153" spans="1:3" x14ac:dyDescent="0.2">
      <c r="A153" s="95" t="s">
        <v>31</v>
      </c>
      <c r="B153" s="107"/>
      <c r="C153" s="90">
        <f>+'Camareiro 12 36 Diurno'!$D$13</f>
        <v>0</v>
      </c>
    </row>
    <row r="154" spans="1:3" x14ac:dyDescent="0.2">
      <c r="A154" s="95" t="s">
        <v>32</v>
      </c>
      <c r="B154" s="107"/>
      <c r="C154" s="90">
        <f>+'Camareiro 12 36 Diurno'!$D$14</f>
        <v>0</v>
      </c>
    </row>
    <row r="155" spans="1:3" x14ac:dyDescent="0.2">
      <c r="A155" s="50" t="s">
        <v>270</v>
      </c>
      <c r="B155" s="107"/>
      <c r="C155" s="51">
        <f>SUM(C152:C154)</f>
        <v>0</v>
      </c>
    </row>
    <row r="156" spans="1:3" x14ac:dyDescent="0.2">
      <c r="A156" s="86" t="s">
        <v>147</v>
      </c>
      <c r="B156" s="165">
        <f>+B3</f>
        <v>220</v>
      </c>
      <c r="C156" s="107"/>
    </row>
    <row r="157" spans="1:3" x14ac:dyDescent="0.2">
      <c r="A157" s="95" t="s">
        <v>271</v>
      </c>
      <c r="B157" s="89">
        <v>0.2</v>
      </c>
      <c r="C157" s="107"/>
    </row>
    <row r="158" spans="1:3" x14ac:dyDescent="0.2">
      <c r="A158" s="95" t="s">
        <v>272</v>
      </c>
      <c r="B158" s="107"/>
      <c r="C158" s="166">
        <f>ROUND((C155/B156)*B157,2)</f>
        <v>0</v>
      </c>
    </row>
    <row r="159" spans="1:3" x14ac:dyDescent="0.2">
      <c r="A159" s="95" t="s">
        <v>278</v>
      </c>
      <c r="B159" s="86">
        <v>60</v>
      </c>
      <c r="C159" s="107"/>
    </row>
    <row r="160" spans="1:3" x14ac:dyDescent="0.2">
      <c r="A160" s="95" t="s">
        <v>279</v>
      </c>
      <c r="B160" s="86">
        <v>52.5</v>
      </c>
      <c r="C160" s="107"/>
    </row>
    <row r="161" spans="1:3" x14ac:dyDescent="0.2">
      <c r="A161" s="95" t="s">
        <v>280</v>
      </c>
      <c r="B161" s="86">
        <f>+B159/B160</f>
        <v>1.1428571428571428</v>
      </c>
      <c r="C161" s="107"/>
    </row>
    <row r="162" spans="1:3" x14ac:dyDescent="0.2">
      <c r="A162" s="95" t="s">
        <v>281</v>
      </c>
      <c r="B162" s="86">
        <f>ROUND(+B161*B151,2)</f>
        <v>121.75</v>
      </c>
      <c r="C162" s="107"/>
    </row>
    <row r="163" spans="1:3" x14ac:dyDescent="0.2">
      <c r="A163" s="95" t="s">
        <v>282</v>
      </c>
      <c r="B163" s="86">
        <f>ROUND(B162-B151,2)</f>
        <v>15.22</v>
      </c>
      <c r="C163" s="167"/>
    </row>
    <row r="164" spans="1:3" x14ac:dyDescent="0.2">
      <c r="A164" s="307" t="s">
        <v>283</v>
      </c>
      <c r="B164" s="307"/>
      <c r="C164" s="42">
        <f>+B163*C158</f>
        <v>0</v>
      </c>
    </row>
  </sheetData>
  <mergeCells count="37">
    <mergeCell ref="A27:C27"/>
    <mergeCell ref="A1:C1"/>
    <mergeCell ref="A9:C9"/>
    <mergeCell ref="A16:B16"/>
    <mergeCell ref="A18:C18"/>
    <mergeCell ref="A25:B25"/>
    <mergeCell ref="A69:C69"/>
    <mergeCell ref="A31:B31"/>
    <mergeCell ref="A33:C33"/>
    <mergeCell ref="A42:B42"/>
    <mergeCell ref="A44:B44"/>
    <mergeCell ref="A45:B45"/>
    <mergeCell ref="A47:C47"/>
    <mergeCell ref="A53:B53"/>
    <mergeCell ref="A55:C55"/>
    <mergeCell ref="A64:B64"/>
    <mergeCell ref="A66:B66"/>
    <mergeCell ref="A67:B67"/>
    <mergeCell ref="A116:B116"/>
    <mergeCell ref="A70:C73"/>
    <mergeCell ref="A75:C75"/>
    <mergeCell ref="A80:B80"/>
    <mergeCell ref="A82:C82"/>
    <mergeCell ref="A89:B89"/>
    <mergeCell ref="A91:C91"/>
    <mergeCell ref="A97:B97"/>
    <mergeCell ref="A99:C99"/>
    <mergeCell ref="A105:B105"/>
    <mergeCell ref="A107:C107"/>
    <mergeCell ref="A108:C108"/>
    <mergeCell ref="A164:B164"/>
    <mergeCell ref="A117:C117"/>
    <mergeCell ref="A126:B126"/>
    <mergeCell ref="A128:C128"/>
    <mergeCell ref="A130:C130"/>
    <mergeCell ref="A143:B143"/>
    <mergeCell ref="A145:C145"/>
  </mergeCells>
  <pageMargins left="0.51181102362204722" right="0.51181102362204722" top="0.78740157480314965" bottom="0.78740157480314965" header="0.31496062992125984" footer="0.31496062992125984"/>
  <pageSetup paperSize="9" scale="70" orientation="portrait" r:id="rId1"/>
  <headerFooter>
    <oddFooter>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G166"/>
  <sheetViews>
    <sheetView topLeftCell="A16" workbookViewId="0">
      <selection activeCell="D54" sqref="D54:D55"/>
    </sheetView>
  </sheetViews>
  <sheetFormatPr defaultRowHeight="12.75" x14ac:dyDescent="0.2"/>
  <cols>
    <col min="1" max="1" width="6.42578125" style="71" customWidth="1"/>
    <col min="2" max="2" width="57.7109375" style="71" customWidth="1"/>
    <col min="3" max="3" width="10.7109375" style="71" bestFit="1" customWidth="1"/>
    <col min="4" max="4" width="17.85546875" style="71" customWidth="1"/>
    <col min="5" max="5" width="13.42578125" style="71" bestFit="1" customWidth="1"/>
    <col min="6" max="16384" width="9.140625" style="71"/>
  </cols>
  <sheetData>
    <row r="1" spans="1:6" x14ac:dyDescent="0.2">
      <c r="A1" s="322" t="s">
        <v>18</v>
      </c>
      <c r="B1" s="323"/>
      <c r="C1" s="323"/>
      <c r="D1" s="324"/>
      <c r="E1" s="17"/>
      <c r="F1" s="17"/>
    </row>
    <row r="3" spans="1:6" x14ac:dyDescent="0.2">
      <c r="A3" s="299" t="s">
        <v>19</v>
      </c>
      <c r="B3" s="300"/>
      <c r="C3" s="300"/>
      <c r="D3" s="308"/>
    </row>
    <row r="4" spans="1:6" s="74" customFormat="1" ht="54.75" customHeight="1" x14ac:dyDescent="0.25">
      <c r="A4" s="182">
        <v>1</v>
      </c>
      <c r="B4" s="183" t="s">
        <v>20</v>
      </c>
      <c r="C4" s="378" t="s">
        <v>326</v>
      </c>
      <c r="D4" s="379"/>
    </row>
    <row r="5" spans="1:6" s="74" customFormat="1" x14ac:dyDescent="0.25">
      <c r="A5" s="182">
        <v>2</v>
      </c>
      <c r="B5" s="183" t="s">
        <v>21</v>
      </c>
      <c r="C5" s="380" t="str">
        <f>+Apresentacao!E23</f>
        <v>5132-05</v>
      </c>
      <c r="D5" s="381"/>
    </row>
    <row r="6" spans="1:6" s="74" customFormat="1" x14ac:dyDescent="0.25">
      <c r="A6" s="182">
        <v>3</v>
      </c>
      <c r="B6" s="183" t="s">
        <v>22</v>
      </c>
      <c r="C6" s="382">
        <f>+Apresentacao!F23</f>
        <v>0</v>
      </c>
      <c r="D6" s="382"/>
    </row>
    <row r="7" spans="1:6" s="74" customFormat="1" ht="42.75" customHeight="1" x14ac:dyDescent="0.25">
      <c r="A7" s="182">
        <v>4</v>
      </c>
      <c r="B7" s="183" t="s">
        <v>23</v>
      </c>
      <c r="C7" s="383" t="s">
        <v>24</v>
      </c>
      <c r="D7" s="384"/>
    </row>
    <row r="8" spans="1:6" s="74" customFormat="1" x14ac:dyDescent="0.25">
      <c r="A8" s="182">
        <v>5</v>
      </c>
      <c r="B8" s="183" t="s">
        <v>25</v>
      </c>
      <c r="C8" s="385">
        <v>43524</v>
      </c>
      <c r="D8" s="381"/>
    </row>
    <row r="9" spans="1:6" x14ac:dyDescent="0.2">
      <c r="D9" s="18"/>
    </row>
    <row r="10" spans="1:6" x14ac:dyDescent="0.2">
      <c r="A10" s="291" t="s">
        <v>26</v>
      </c>
      <c r="B10" s="292"/>
      <c r="C10" s="292"/>
      <c r="D10" s="292"/>
    </row>
    <row r="11" spans="1:6" x14ac:dyDescent="0.2">
      <c r="A11" s="75">
        <v>1</v>
      </c>
      <c r="B11" s="76" t="s">
        <v>27</v>
      </c>
      <c r="C11" s="19" t="s">
        <v>28</v>
      </c>
      <c r="D11" s="77" t="s">
        <v>29</v>
      </c>
    </row>
    <row r="12" spans="1:6" x14ac:dyDescent="0.2">
      <c r="A12" s="155" t="s">
        <v>6</v>
      </c>
      <c r="B12" s="289" t="s">
        <v>30</v>
      </c>
      <c r="C12" s="289"/>
      <c r="D12" s="79">
        <f>+C6</f>
        <v>0</v>
      </c>
    </row>
    <row r="13" spans="1:6" x14ac:dyDescent="0.2">
      <c r="A13" s="155" t="s">
        <v>8</v>
      </c>
      <c r="B13" s="80" t="s">
        <v>31</v>
      </c>
      <c r="C13" s="81"/>
      <c r="D13" s="79"/>
      <c r="E13" s="82"/>
    </row>
    <row r="14" spans="1:6" x14ac:dyDescent="0.2">
      <c r="A14" s="155" t="s">
        <v>11</v>
      </c>
      <c r="B14" s="80" t="s">
        <v>32</v>
      </c>
      <c r="C14" s="81"/>
      <c r="D14" s="79">
        <f>+C14*D12</f>
        <v>0</v>
      </c>
    </row>
    <row r="15" spans="1:6" x14ac:dyDescent="0.2">
      <c r="A15" s="155" t="s">
        <v>13</v>
      </c>
      <c r="B15" s="289" t="s">
        <v>33</v>
      </c>
      <c r="C15" s="289"/>
      <c r="D15" s="79"/>
    </row>
    <row r="16" spans="1:6" x14ac:dyDescent="0.2">
      <c r="A16" s="155" t="s">
        <v>34</v>
      </c>
      <c r="B16" s="289" t="s">
        <v>35</v>
      </c>
      <c r="C16" s="289"/>
      <c r="D16" s="79"/>
    </row>
    <row r="17" spans="1:6" x14ac:dyDescent="0.2">
      <c r="A17" s="155" t="s">
        <v>36</v>
      </c>
      <c r="B17" s="318" t="s">
        <v>37</v>
      </c>
      <c r="C17" s="319"/>
      <c r="D17" s="79"/>
    </row>
    <row r="18" spans="1:6" x14ac:dyDescent="0.2">
      <c r="A18" s="155" t="s">
        <v>38</v>
      </c>
      <c r="B18" s="289" t="s">
        <v>39</v>
      </c>
      <c r="C18" s="289"/>
      <c r="D18" s="79"/>
    </row>
    <row r="19" spans="1:6" x14ac:dyDescent="0.2">
      <c r="A19" s="155" t="s">
        <v>40</v>
      </c>
      <c r="B19" s="318" t="s">
        <v>41</v>
      </c>
      <c r="C19" s="319"/>
      <c r="D19" s="83"/>
    </row>
    <row r="20" spans="1:6" x14ac:dyDescent="0.2">
      <c r="A20" s="155" t="s">
        <v>42</v>
      </c>
      <c r="B20" s="80" t="s">
        <v>43</v>
      </c>
      <c r="C20" s="81"/>
      <c r="D20" s="79"/>
    </row>
    <row r="21" spans="1:6" x14ac:dyDescent="0.2">
      <c r="A21" s="155" t="s">
        <v>44</v>
      </c>
      <c r="B21" s="289" t="s">
        <v>45</v>
      </c>
      <c r="C21" s="289"/>
      <c r="D21" s="84"/>
      <c r="F21" s="85"/>
    </row>
    <row r="22" spans="1:6" x14ac:dyDescent="0.2">
      <c r="A22" s="155" t="s">
        <v>46</v>
      </c>
      <c r="B22" s="289" t="s">
        <v>47</v>
      </c>
      <c r="C22" s="289"/>
      <c r="D22" s="84"/>
    </row>
    <row r="23" spans="1:6" x14ac:dyDescent="0.2">
      <c r="A23" s="290" t="s">
        <v>48</v>
      </c>
      <c r="B23" s="290"/>
      <c r="C23" s="290"/>
      <c r="D23" s="20">
        <f>SUM(D12:D22)</f>
        <v>0</v>
      </c>
    </row>
    <row r="25" spans="1:6" x14ac:dyDescent="0.2">
      <c r="A25" s="291" t="s">
        <v>49</v>
      </c>
      <c r="B25" s="292"/>
      <c r="C25" s="292"/>
      <c r="D25" s="292"/>
    </row>
    <row r="27" spans="1:6" x14ac:dyDescent="0.2">
      <c r="A27" s="291" t="s">
        <v>50</v>
      </c>
      <c r="B27" s="292"/>
      <c r="C27" s="292"/>
      <c r="D27" s="292"/>
    </row>
    <row r="28" spans="1:6" x14ac:dyDescent="0.2">
      <c r="A28" s="21" t="s">
        <v>51</v>
      </c>
      <c r="B28" s="22" t="s">
        <v>52</v>
      </c>
      <c r="C28" s="23" t="s">
        <v>28</v>
      </c>
      <c r="D28" s="24" t="s">
        <v>29</v>
      </c>
    </row>
    <row r="29" spans="1:6" x14ac:dyDescent="0.2">
      <c r="A29" s="155" t="s">
        <v>6</v>
      </c>
      <c r="B29" s="86" t="s">
        <v>53</v>
      </c>
      <c r="C29" s="87" t="e">
        <f>ROUND(+D29/$D$23,4)</f>
        <v>#DIV/0!</v>
      </c>
      <c r="D29" s="84">
        <f>ROUND(+D23/12,2)</f>
        <v>0</v>
      </c>
    </row>
    <row r="30" spans="1:6" x14ac:dyDescent="0.2">
      <c r="A30" s="25" t="s">
        <v>8</v>
      </c>
      <c r="B30" s="88" t="s">
        <v>54</v>
      </c>
      <c r="C30" s="26" t="e">
        <f>ROUND(+D30/$D$23,4)</f>
        <v>#DIV/0!</v>
      </c>
      <c r="D30" s="27">
        <f>+D31+D32</f>
        <v>0</v>
      </c>
    </row>
    <row r="31" spans="1:6" x14ac:dyDescent="0.2">
      <c r="A31" s="155" t="s">
        <v>55</v>
      </c>
      <c r="B31" s="28" t="s">
        <v>56</v>
      </c>
      <c r="C31" s="29" t="e">
        <f>ROUND(+D31/$D$23,4)</f>
        <v>#DIV/0!</v>
      </c>
      <c r="D31" s="30">
        <f>ROUND(+D23/12,2)</f>
        <v>0</v>
      </c>
    </row>
    <row r="32" spans="1:6" x14ac:dyDescent="0.2">
      <c r="A32" s="155" t="s">
        <v>57</v>
      </c>
      <c r="B32" s="28" t="s">
        <v>58</v>
      </c>
      <c r="C32" s="29" t="e">
        <f>ROUND(+D32/$D$23,4)</f>
        <v>#DIV/0!</v>
      </c>
      <c r="D32" s="30">
        <f>ROUND(+(D23*1/3)/12,2)</f>
        <v>0</v>
      </c>
    </row>
    <row r="33" spans="1:4" x14ac:dyDescent="0.2">
      <c r="A33" s="290" t="s">
        <v>48</v>
      </c>
      <c r="B33" s="290"/>
      <c r="C33" s="290"/>
      <c r="D33" s="20">
        <f>+D30+D29</f>
        <v>0</v>
      </c>
    </row>
    <row r="35" spans="1:4" ht="26.25" customHeight="1" x14ac:dyDescent="0.2">
      <c r="A35" s="320" t="s">
        <v>59</v>
      </c>
      <c r="B35" s="321"/>
      <c r="C35" s="321"/>
      <c r="D35" s="321"/>
    </row>
    <row r="36" spans="1:4" x14ac:dyDescent="0.2">
      <c r="A36" s="21" t="s">
        <v>60</v>
      </c>
      <c r="B36" s="31" t="s">
        <v>61</v>
      </c>
      <c r="C36" s="23" t="s">
        <v>28</v>
      </c>
      <c r="D36" s="24" t="s">
        <v>29</v>
      </c>
    </row>
    <row r="37" spans="1:4" x14ac:dyDescent="0.2">
      <c r="A37" s="155" t="s">
        <v>6</v>
      </c>
      <c r="B37" s="86" t="s">
        <v>62</v>
      </c>
      <c r="C37" s="89">
        <v>0.2</v>
      </c>
      <c r="D37" s="90">
        <f>ROUND(C37*($D$23+$D$33),2)</f>
        <v>0</v>
      </c>
    </row>
    <row r="38" spans="1:4" x14ac:dyDescent="0.2">
      <c r="A38" s="155" t="s">
        <v>8</v>
      </c>
      <c r="B38" s="86" t="s">
        <v>63</v>
      </c>
      <c r="C38" s="89">
        <v>2.5000000000000001E-2</v>
      </c>
      <c r="D38" s="90">
        <f>ROUND(C38*($D$23+$D$33),2)</f>
        <v>0</v>
      </c>
    </row>
    <row r="39" spans="1:4" x14ac:dyDescent="0.2">
      <c r="A39" s="155" t="s">
        <v>11</v>
      </c>
      <c r="B39" s="86" t="s">
        <v>64</v>
      </c>
      <c r="C39" s="89">
        <f>3%</f>
        <v>0.03</v>
      </c>
      <c r="D39" s="90">
        <f t="shared" ref="D39:D43" si="0">ROUND(C39*($D$23+$D$33),2)</f>
        <v>0</v>
      </c>
    </row>
    <row r="40" spans="1:4" x14ac:dyDescent="0.2">
      <c r="A40" s="155" t="s">
        <v>13</v>
      </c>
      <c r="B40" s="86" t="s">
        <v>65</v>
      </c>
      <c r="C40" s="89">
        <v>1.4999999999999999E-2</v>
      </c>
      <c r="D40" s="90">
        <f t="shared" si="0"/>
        <v>0</v>
      </c>
    </row>
    <row r="41" spans="1:4" x14ac:dyDescent="0.2">
      <c r="A41" s="155" t="s">
        <v>34</v>
      </c>
      <c r="B41" s="86" t="s">
        <v>66</v>
      </c>
      <c r="C41" s="89">
        <v>0.01</v>
      </c>
      <c r="D41" s="90">
        <f t="shared" si="0"/>
        <v>0</v>
      </c>
    </row>
    <row r="42" spans="1:4" x14ac:dyDescent="0.2">
      <c r="A42" s="155" t="s">
        <v>36</v>
      </c>
      <c r="B42" s="86" t="s">
        <v>67</v>
      </c>
      <c r="C42" s="89">
        <v>6.0000000000000001E-3</v>
      </c>
      <c r="D42" s="90">
        <f t="shared" si="0"/>
        <v>0</v>
      </c>
    </row>
    <row r="43" spans="1:4" x14ac:dyDescent="0.2">
      <c r="A43" s="155" t="s">
        <v>38</v>
      </c>
      <c r="B43" s="86" t="s">
        <v>68</v>
      </c>
      <c r="C43" s="89">
        <v>2E-3</v>
      </c>
      <c r="D43" s="90">
        <f t="shared" si="0"/>
        <v>0</v>
      </c>
    </row>
    <row r="44" spans="1:4" x14ac:dyDescent="0.2">
      <c r="A44" s="155" t="s">
        <v>40</v>
      </c>
      <c r="B44" s="86" t="s">
        <v>69</v>
      </c>
      <c r="C44" s="89">
        <v>0.08</v>
      </c>
      <c r="D44" s="90">
        <f>ROUND(C44*($D$23+$D$33),2)</f>
        <v>0</v>
      </c>
    </row>
    <row r="45" spans="1:4" x14ac:dyDescent="0.2">
      <c r="A45" s="153" t="s">
        <v>48</v>
      </c>
      <c r="B45" s="154"/>
      <c r="C45" s="32">
        <f>SUM(C37:C44)</f>
        <v>0.36800000000000005</v>
      </c>
      <c r="D45" s="33">
        <f>SUM(D37:D44)</f>
        <v>0</v>
      </c>
    </row>
    <row r="46" spans="1:4" x14ac:dyDescent="0.2">
      <c r="A46" s="91"/>
      <c r="B46" s="91"/>
      <c r="C46" s="91"/>
      <c r="D46" s="91"/>
    </row>
    <row r="47" spans="1:4" x14ac:dyDescent="0.2">
      <c r="A47" s="320" t="s">
        <v>70</v>
      </c>
      <c r="B47" s="321"/>
      <c r="C47" s="321"/>
      <c r="D47" s="321"/>
    </row>
    <row r="48" spans="1:4" x14ac:dyDescent="0.2">
      <c r="A48" s="21" t="s">
        <v>71</v>
      </c>
      <c r="B48" s="31" t="s">
        <v>72</v>
      </c>
      <c r="C48" s="23"/>
      <c r="D48" s="24" t="s">
        <v>29</v>
      </c>
    </row>
    <row r="49" spans="1:6" x14ac:dyDescent="0.2">
      <c r="A49" s="92" t="s">
        <v>6</v>
      </c>
      <c r="B49" s="86" t="s">
        <v>73</v>
      </c>
      <c r="C49" s="93"/>
      <c r="D49" s="90">
        <f>+'Men Cal Cozinheiro'!C16</f>
        <v>0</v>
      </c>
    </row>
    <row r="50" spans="1:6" s="97" customFormat="1" x14ac:dyDescent="0.2">
      <c r="A50" s="94" t="s">
        <v>74</v>
      </c>
      <c r="B50" s="95" t="s">
        <v>75</v>
      </c>
      <c r="C50" s="87">
        <f>+$C$131+$C$132</f>
        <v>9.2499999999999999E-2</v>
      </c>
      <c r="D50" s="96">
        <f>+(C50*D49)*-1</f>
        <v>0</v>
      </c>
      <c r="F50" s="98"/>
    </row>
    <row r="51" spans="1:6" x14ac:dyDescent="0.2">
      <c r="A51" s="92" t="s">
        <v>8</v>
      </c>
      <c r="B51" s="86" t="s">
        <v>76</v>
      </c>
      <c r="C51" s="93"/>
      <c r="D51" s="90">
        <f>+'Men Cal Cozinheiro'!C25</f>
        <v>0</v>
      </c>
      <c r="F51" s="99"/>
    </row>
    <row r="52" spans="1:6" s="97" customFormat="1" x14ac:dyDescent="0.2">
      <c r="A52" s="94" t="s">
        <v>55</v>
      </c>
      <c r="B52" s="95" t="s">
        <v>75</v>
      </c>
      <c r="C52" s="87">
        <f>+$C$131+$C$132</f>
        <v>9.2499999999999999E-2</v>
      </c>
      <c r="D52" s="96">
        <f>+(C52*D51)*-1</f>
        <v>0</v>
      </c>
      <c r="F52" s="100"/>
    </row>
    <row r="53" spans="1:6" x14ac:dyDescent="0.2">
      <c r="A53" s="101" t="s">
        <v>11</v>
      </c>
      <c r="B53" s="101" t="s">
        <v>77</v>
      </c>
      <c r="C53" s="93"/>
      <c r="D53" s="134"/>
      <c r="F53" s="99"/>
    </row>
    <row r="54" spans="1:6" x14ac:dyDescent="0.2">
      <c r="A54" s="101" t="s">
        <v>13</v>
      </c>
      <c r="B54" s="101" t="s">
        <v>234</v>
      </c>
      <c r="C54" s="93"/>
      <c r="D54" s="134"/>
      <c r="F54" s="99"/>
    </row>
    <row r="55" spans="1:6" ht="25.5" x14ac:dyDescent="0.2">
      <c r="A55" s="101" t="s">
        <v>34</v>
      </c>
      <c r="B55" s="103" t="s">
        <v>235</v>
      </c>
      <c r="C55" s="93"/>
      <c r="D55" s="135"/>
      <c r="F55" s="104"/>
    </row>
    <row r="56" spans="1:6" x14ac:dyDescent="0.2">
      <c r="A56" s="101" t="s">
        <v>36</v>
      </c>
      <c r="B56" s="133" t="s">
        <v>80</v>
      </c>
      <c r="C56" s="93"/>
      <c r="D56" s="102"/>
    </row>
    <row r="57" spans="1:6" x14ac:dyDescent="0.2">
      <c r="A57" s="299" t="s">
        <v>48</v>
      </c>
      <c r="B57" s="308"/>
      <c r="C57" s="34"/>
      <c r="D57" s="35">
        <f>SUM(D49:D56)</f>
        <v>0</v>
      </c>
    </row>
    <row r="59" spans="1:6" x14ac:dyDescent="0.2">
      <c r="A59" s="291" t="s">
        <v>81</v>
      </c>
      <c r="B59" s="292"/>
      <c r="C59" s="292"/>
      <c r="D59" s="292"/>
    </row>
    <row r="60" spans="1:6" x14ac:dyDescent="0.2">
      <c r="A60" s="36">
        <v>2</v>
      </c>
      <c r="B60" s="315" t="s">
        <v>82</v>
      </c>
      <c r="C60" s="315"/>
      <c r="D60" s="37" t="s">
        <v>29</v>
      </c>
    </row>
    <row r="61" spans="1:6" x14ac:dyDescent="0.2">
      <c r="A61" s="95" t="s">
        <v>51</v>
      </c>
      <c r="B61" s="316" t="s">
        <v>52</v>
      </c>
      <c r="C61" s="316"/>
      <c r="D61" s="90">
        <f>+D33</f>
        <v>0</v>
      </c>
    </row>
    <row r="62" spans="1:6" x14ac:dyDescent="0.2">
      <c r="A62" s="95" t="s">
        <v>60</v>
      </c>
      <c r="B62" s="316" t="s">
        <v>61</v>
      </c>
      <c r="C62" s="316"/>
      <c r="D62" s="90">
        <f>+D45</f>
        <v>0</v>
      </c>
    </row>
    <row r="63" spans="1:6" x14ac:dyDescent="0.2">
      <c r="A63" s="95" t="s">
        <v>71</v>
      </c>
      <c r="B63" s="316" t="s">
        <v>72</v>
      </c>
      <c r="C63" s="316"/>
      <c r="D63" s="105">
        <f>+D57</f>
        <v>0</v>
      </c>
    </row>
    <row r="64" spans="1:6" x14ac:dyDescent="0.2">
      <c r="A64" s="315" t="s">
        <v>48</v>
      </c>
      <c r="B64" s="315"/>
      <c r="C64" s="315"/>
      <c r="D64" s="38">
        <f>SUM(D61:D63)</f>
        <v>0</v>
      </c>
    </row>
    <row r="66" spans="1:4" x14ac:dyDescent="0.2">
      <c r="A66" s="291" t="s">
        <v>83</v>
      </c>
      <c r="B66" s="292"/>
      <c r="C66" s="292"/>
      <c r="D66" s="292"/>
    </row>
    <row r="68" spans="1:4" x14ac:dyDescent="0.2">
      <c r="A68" s="39">
        <v>3</v>
      </c>
      <c r="B68" s="22" t="s">
        <v>84</v>
      </c>
      <c r="C68" s="19" t="s">
        <v>28</v>
      </c>
      <c r="D68" s="19" t="s">
        <v>29</v>
      </c>
    </row>
    <row r="69" spans="1:4" x14ac:dyDescent="0.2">
      <c r="A69" s="155" t="s">
        <v>6</v>
      </c>
      <c r="B69" s="95" t="s">
        <v>85</v>
      </c>
      <c r="C69" s="87" t="e">
        <f>+D69/$D$23</f>
        <v>#DIV/0!</v>
      </c>
      <c r="D69" s="106">
        <f>+'Men Cal Cozinheiro'!C31</f>
        <v>0</v>
      </c>
    </row>
    <row r="70" spans="1:4" x14ac:dyDescent="0.2">
      <c r="A70" s="155" t="s">
        <v>8</v>
      </c>
      <c r="B70" s="86" t="s">
        <v>86</v>
      </c>
      <c r="C70" s="107"/>
      <c r="D70" s="84">
        <f>ROUND(+D69*$C$44,2)</f>
        <v>0</v>
      </c>
    </row>
    <row r="71" spans="1:4" ht="25.5" x14ac:dyDescent="0.2">
      <c r="A71" s="155" t="s">
        <v>11</v>
      </c>
      <c r="B71" s="108" t="s">
        <v>87</v>
      </c>
      <c r="C71" s="89" t="e">
        <f>+D71/$D$23</f>
        <v>#DIV/0!</v>
      </c>
      <c r="D71" s="84">
        <f>+'Men Cal Cozinheiro'!C43</f>
        <v>0</v>
      </c>
    </row>
    <row r="72" spans="1:4" x14ac:dyDescent="0.2">
      <c r="A72" s="156" t="s">
        <v>13</v>
      </c>
      <c r="B72" s="86" t="s">
        <v>88</v>
      </c>
      <c r="C72" s="89" t="e">
        <f>+D72/$D$23</f>
        <v>#DIV/0!</v>
      </c>
      <c r="D72" s="84">
        <f>+'Men Cal Cozinheiro'!C51</f>
        <v>0</v>
      </c>
    </row>
    <row r="73" spans="1:4" ht="25.5" x14ac:dyDescent="0.2">
      <c r="A73" s="156" t="s">
        <v>34</v>
      </c>
      <c r="B73" s="108" t="s">
        <v>89</v>
      </c>
      <c r="C73" s="107"/>
      <c r="D73" s="110"/>
    </row>
    <row r="74" spans="1:4" ht="25.5" x14ac:dyDescent="0.2">
      <c r="A74" s="156" t="s">
        <v>36</v>
      </c>
      <c r="B74" s="108" t="s">
        <v>90</v>
      </c>
      <c r="C74" s="89" t="e">
        <f>+D74/$D$23</f>
        <v>#DIV/0!</v>
      </c>
      <c r="D74" s="90">
        <f>+'Men Cal Cozinheiro'!C63</f>
        <v>0</v>
      </c>
    </row>
    <row r="75" spans="1:4" x14ac:dyDescent="0.2">
      <c r="A75" s="299" t="s">
        <v>48</v>
      </c>
      <c r="B75" s="300"/>
      <c r="C75" s="308"/>
      <c r="D75" s="40">
        <f>SUM(D69:D74)</f>
        <v>0</v>
      </c>
    </row>
    <row r="77" spans="1:4" x14ac:dyDescent="0.2">
      <c r="A77" s="291" t="s">
        <v>91</v>
      </c>
      <c r="B77" s="292"/>
      <c r="C77" s="292"/>
      <c r="D77" s="292"/>
    </row>
    <row r="79" spans="1:4" x14ac:dyDescent="0.2">
      <c r="A79" s="317" t="s">
        <v>92</v>
      </c>
      <c r="B79" s="317"/>
      <c r="C79" s="317"/>
      <c r="D79" s="317"/>
    </row>
    <row r="80" spans="1:4" x14ac:dyDescent="0.2">
      <c r="A80" s="39" t="s">
        <v>93</v>
      </c>
      <c r="B80" s="299" t="s">
        <v>94</v>
      </c>
      <c r="C80" s="308"/>
      <c r="D80" s="19" t="s">
        <v>29</v>
      </c>
    </row>
    <row r="81" spans="1:4" x14ac:dyDescent="0.2">
      <c r="A81" s="86" t="s">
        <v>6</v>
      </c>
      <c r="B81" s="303" t="s">
        <v>95</v>
      </c>
      <c r="C81" s="304"/>
      <c r="D81" s="84"/>
    </row>
    <row r="82" spans="1:4" x14ac:dyDescent="0.2">
      <c r="A82" s="95" t="s">
        <v>8</v>
      </c>
      <c r="B82" s="309" t="s">
        <v>94</v>
      </c>
      <c r="C82" s="310"/>
      <c r="D82" s="111">
        <f>+'Men Cal Cozinheiro'!C76</f>
        <v>0</v>
      </c>
    </row>
    <row r="83" spans="1:4" s="97" customFormat="1" x14ac:dyDescent="0.2">
      <c r="A83" s="95" t="s">
        <v>11</v>
      </c>
      <c r="B83" s="309" t="s">
        <v>96</v>
      </c>
      <c r="C83" s="310"/>
      <c r="D83" s="111">
        <f>+'Men Cal Cozinheiro'!C85</f>
        <v>0</v>
      </c>
    </row>
    <row r="84" spans="1:4" s="97" customFormat="1" x14ac:dyDescent="0.2">
      <c r="A84" s="95" t="s">
        <v>13</v>
      </c>
      <c r="B84" s="309" t="s">
        <v>97</v>
      </c>
      <c r="C84" s="310"/>
      <c r="D84" s="111">
        <f>+'Men Cal Cozinheiro'!C93</f>
        <v>0</v>
      </c>
    </row>
    <row r="85" spans="1:4" s="97" customFormat="1" ht="14.25" x14ac:dyDescent="0.2">
      <c r="A85" s="95" t="s">
        <v>34</v>
      </c>
      <c r="B85" s="309" t="s">
        <v>233</v>
      </c>
      <c r="C85" s="310"/>
      <c r="D85" s="111"/>
    </row>
    <row r="86" spans="1:4" s="97" customFormat="1" x14ac:dyDescent="0.2">
      <c r="A86" s="95" t="s">
        <v>36</v>
      </c>
      <c r="B86" s="309" t="s">
        <v>98</v>
      </c>
      <c r="C86" s="310"/>
      <c r="D86" s="111">
        <f>+'Men Cal Cozinheiro'!C101</f>
        <v>0</v>
      </c>
    </row>
    <row r="87" spans="1:4" x14ac:dyDescent="0.2">
      <c r="A87" s="86" t="s">
        <v>38</v>
      </c>
      <c r="B87" s="303" t="s">
        <v>47</v>
      </c>
      <c r="C87" s="304"/>
      <c r="D87" s="84"/>
    </row>
    <row r="88" spans="1:4" x14ac:dyDescent="0.2">
      <c r="A88" s="86" t="s">
        <v>40</v>
      </c>
      <c r="B88" s="303" t="s">
        <v>99</v>
      </c>
      <c r="C88" s="304"/>
      <c r="D88" s="110"/>
    </row>
    <row r="89" spans="1:4" x14ac:dyDescent="0.2">
      <c r="A89" s="290" t="s">
        <v>48</v>
      </c>
      <c r="B89" s="290"/>
      <c r="C89" s="290"/>
      <c r="D89" s="20">
        <f>SUM(D81:D88)</f>
        <v>0</v>
      </c>
    </row>
    <row r="90" spans="1:4" x14ac:dyDescent="0.2">
      <c r="D90" s="112"/>
    </row>
    <row r="91" spans="1:4" x14ac:dyDescent="0.2">
      <c r="A91" s="39" t="s">
        <v>100</v>
      </c>
      <c r="B91" s="299" t="s">
        <v>101</v>
      </c>
      <c r="C91" s="308"/>
      <c r="D91" s="19" t="s">
        <v>29</v>
      </c>
    </row>
    <row r="92" spans="1:4" s="97" customFormat="1" x14ac:dyDescent="0.2">
      <c r="A92" s="95" t="s">
        <v>6</v>
      </c>
      <c r="B92" s="311" t="s">
        <v>102</v>
      </c>
      <c r="C92" s="312"/>
      <c r="D92" s="111">
        <f>+'Men Cal Cozinheiro'!C112</f>
        <v>0</v>
      </c>
    </row>
    <row r="93" spans="1:4" s="97" customFormat="1" ht="28.5" customHeight="1" x14ac:dyDescent="0.2">
      <c r="A93" s="95" t="s">
        <v>8</v>
      </c>
      <c r="B93" s="313" t="s">
        <v>103</v>
      </c>
      <c r="C93" s="314"/>
      <c r="D93" s="110"/>
    </row>
    <row r="94" spans="1:4" s="97" customFormat="1" ht="31.5" customHeight="1" x14ac:dyDescent="0.2">
      <c r="A94" s="95" t="s">
        <v>11</v>
      </c>
      <c r="B94" s="313" t="s">
        <v>104</v>
      </c>
      <c r="C94" s="314"/>
      <c r="D94" s="110"/>
    </row>
    <row r="95" spans="1:4" x14ac:dyDescent="0.2">
      <c r="A95" s="86" t="s">
        <v>13</v>
      </c>
      <c r="B95" s="303" t="s">
        <v>47</v>
      </c>
      <c r="C95" s="304"/>
      <c r="D95" s="84"/>
    </row>
    <row r="96" spans="1:4" x14ac:dyDescent="0.2">
      <c r="A96" s="290" t="s">
        <v>48</v>
      </c>
      <c r="B96" s="290"/>
      <c r="C96" s="290"/>
      <c r="D96" s="20">
        <f>SUM(D92:D95)</f>
        <v>0</v>
      </c>
    </row>
    <row r="97" spans="1:4" x14ac:dyDescent="0.2">
      <c r="D97" s="112"/>
    </row>
    <row r="98" spans="1:4" x14ac:dyDescent="0.2">
      <c r="A98" s="39" t="s">
        <v>105</v>
      </c>
      <c r="B98" s="290" t="s">
        <v>106</v>
      </c>
      <c r="C98" s="290"/>
      <c r="D98" s="19" t="s">
        <v>29</v>
      </c>
    </row>
    <row r="99" spans="1:4" s="114" customFormat="1" x14ac:dyDescent="0.25">
      <c r="A99" s="156" t="s">
        <v>6</v>
      </c>
      <c r="B99" s="302" t="s">
        <v>107</v>
      </c>
      <c r="C99" s="302"/>
      <c r="D99" s="113"/>
    </row>
    <row r="100" spans="1:4" x14ac:dyDescent="0.2">
      <c r="A100" s="290" t="s">
        <v>48</v>
      </c>
      <c r="B100" s="290"/>
      <c r="C100" s="290"/>
      <c r="D100" s="20">
        <f>SUM(D99:D99)</f>
        <v>0</v>
      </c>
    </row>
    <row r="102" spans="1:4" x14ac:dyDescent="0.2">
      <c r="A102" s="157" t="s">
        <v>108</v>
      </c>
      <c r="B102" s="157"/>
      <c r="C102" s="157"/>
      <c r="D102" s="157"/>
    </row>
    <row r="103" spans="1:4" x14ac:dyDescent="0.2">
      <c r="A103" s="86" t="s">
        <v>93</v>
      </c>
      <c r="B103" s="303" t="s">
        <v>94</v>
      </c>
      <c r="C103" s="304"/>
      <c r="D103" s="90">
        <f>+D89</f>
        <v>0</v>
      </c>
    </row>
    <row r="104" spans="1:4" x14ac:dyDescent="0.2">
      <c r="A104" s="86" t="s">
        <v>100</v>
      </c>
      <c r="B104" s="303" t="s">
        <v>101</v>
      </c>
      <c r="C104" s="304"/>
      <c r="D104" s="90">
        <f>+D96</f>
        <v>0</v>
      </c>
    </row>
    <row r="105" spans="1:4" x14ac:dyDescent="0.2">
      <c r="A105" s="115"/>
      <c r="B105" s="305" t="s">
        <v>109</v>
      </c>
      <c r="C105" s="306"/>
      <c r="D105" s="41">
        <f>+D104+D103</f>
        <v>0</v>
      </c>
    </row>
    <row r="106" spans="1:4" x14ac:dyDescent="0.2">
      <c r="A106" s="86" t="s">
        <v>105</v>
      </c>
      <c r="B106" s="303" t="s">
        <v>106</v>
      </c>
      <c r="C106" s="304"/>
      <c r="D106" s="90">
        <f>+D100</f>
        <v>0</v>
      </c>
    </row>
    <row r="107" spans="1:4" x14ac:dyDescent="0.2">
      <c r="A107" s="307" t="s">
        <v>48</v>
      </c>
      <c r="B107" s="307"/>
      <c r="C107" s="307"/>
      <c r="D107" s="42">
        <f>+D106+D105</f>
        <v>0</v>
      </c>
    </row>
    <row r="109" spans="1:4" x14ac:dyDescent="0.2">
      <c r="A109" s="291" t="s">
        <v>110</v>
      </c>
      <c r="B109" s="292"/>
      <c r="C109" s="292"/>
      <c r="D109" s="292"/>
    </row>
    <row r="111" spans="1:4" x14ac:dyDescent="0.2">
      <c r="A111" s="39">
        <v>5</v>
      </c>
      <c r="B111" s="299" t="s">
        <v>111</v>
      </c>
      <c r="C111" s="308"/>
      <c r="D111" s="19" t="s">
        <v>29</v>
      </c>
    </row>
    <row r="112" spans="1:4" x14ac:dyDescent="0.2">
      <c r="A112" s="86" t="s">
        <v>6</v>
      </c>
      <c r="B112" s="289" t="s">
        <v>112</v>
      </c>
      <c r="C112" s="289"/>
      <c r="D112" s="84">
        <f>+Uniforme!E26</f>
        <v>0</v>
      </c>
    </row>
    <row r="113" spans="1:4" x14ac:dyDescent="0.2">
      <c r="A113" s="86" t="s">
        <v>74</v>
      </c>
      <c r="B113" s="95" t="s">
        <v>75</v>
      </c>
      <c r="C113" s="87">
        <f>+$C$131+$C$132</f>
        <v>9.2499999999999999E-2</v>
      </c>
      <c r="D113" s="96">
        <f>+(C113*D112)*-1</f>
        <v>0</v>
      </c>
    </row>
    <row r="114" spans="1:4" x14ac:dyDescent="0.2">
      <c r="A114" s="86" t="s">
        <v>8</v>
      </c>
      <c r="B114" s="289" t="s">
        <v>113</v>
      </c>
      <c r="C114" s="289"/>
      <c r="D114" s="84"/>
    </row>
    <row r="115" spans="1:4" x14ac:dyDescent="0.2">
      <c r="A115" s="86" t="s">
        <v>55</v>
      </c>
      <c r="B115" s="95" t="s">
        <v>75</v>
      </c>
      <c r="C115" s="87">
        <f>+$C$131+$C$132</f>
        <v>9.2499999999999999E-2</v>
      </c>
      <c r="D115" s="96">
        <f>+(C115*D114)*-1</f>
        <v>0</v>
      </c>
    </row>
    <row r="116" spans="1:4" x14ac:dyDescent="0.2">
      <c r="A116" s="86" t="s">
        <v>11</v>
      </c>
      <c r="B116" s="289" t="s">
        <v>114</v>
      </c>
      <c r="C116" s="289"/>
      <c r="D116" s="84"/>
    </row>
    <row r="117" spans="1:4" x14ac:dyDescent="0.2">
      <c r="A117" s="86" t="s">
        <v>78</v>
      </c>
      <c r="B117" s="95" t="s">
        <v>75</v>
      </c>
      <c r="C117" s="87">
        <f>+$C$131+$C$132</f>
        <v>9.2499999999999999E-2</v>
      </c>
      <c r="D117" s="96">
        <f>+(C117*D116)*-1</f>
        <v>0</v>
      </c>
    </row>
    <row r="118" spans="1:4" x14ac:dyDescent="0.2">
      <c r="A118" s="86" t="s">
        <v>13</v>
      </c>
      <c r="B118" s="289" t="s">
        <v>47</v>
      </c>
      <c r="C118" s="289"/>
      <c r="D118" s="84"/>
    </row>
    <row r="119" spans="1:4" x14ac:dyDescent="0.2">
      <c r="A119" s="86" t="s">
        <v>79</v>
      </c>
      <c r="B119" s="95" t="s">
        <v>75</v>
      </c>
      <c r="C119" s="87">
        <f>+$C$131+$C$132</f>
        <v>9.2499999999999999E-2</v>
      </c>
      <c r="D119" s="96">
        <f>+(C119*D118)*-1</f>
        <v>0</v>
      </c>
    </row>
    <row r="120" spans="1:4" x14ac:dyDescent="0.2">
      <c r="A120" s="290" t="s">
        <v>48</v>
      </c>
      <c r="B120" s="290"/>
      <c r="C120" s="290"/>
      <c r="D120" s="20">
        <f>SUM(D112:D118)</f>
        <v>0</v>
      </c>
    </row>
    <row r="122" spans="1:4" x14ac:dyDescent="0.2">
      <c r="A122" s="291" t="s">
        <v>115</v>
      </c>
      <c r="B122" s="292"/>
      <c r="C122" s="292"/>
      <c r="D122" s="292"/>
    </row>
    <row r="124" spans="1:4" x14ac:dyDescent="0.2">
      <c r="A124" s="39">
        <v>6</v>
      </c>
      <c r="B124" s="22" t="s">
        <v>116</v>
      </c>
      <c r="C124" s="152" t="s">
        <v>28</v>
      </c>
      <c r="D124" s="19" t="s">
        <v>29</v>
      </c>
    </row>
    <row r="125" spans="1:4" x14ac:dyDescent="0.2">
      <c r="A125" s="101" t="s">
        <v>6</v>
      </c>
      <c r="B125" s="101" t="s">
        <v>117</v>
      </c>
      <c r="C125" s="116">
        <v>0.03</v>
      </c>
      <c r="D125" s="102">
        <f>($D$120+$D$107+$D$75+$D$64+$D$23)*C125</f>
        <v>0</v>
      </c>
    </row>
    <row r="126" spans="1:4" x14ac:dyDescent="0.2">
      <c r="A126" s="101" t="s">
        <v>8</v>
      </c>
      <c r="B126" s="101" t="s">
        <v>118</v>
      </c>
      <c r="C126" s="116">
        <v>0.03</v>
      </c>
      <c r="D126" s="102">
        <f>($D$120+$D$107+$D$75+$D$64+$D$23+D125)*C126</f>
        <v>0</v>
      </c>
    </row>
    <row r="127" spans="1:4" s="44" customFormat="1" x14ac:dyDescent="0.25">
      <c r="A127" s="293" t="s">
        <v>119</v>
      </c>
      <c r="B127" s="294"/>
      <c r="C127" s="295"/>
      <c r="D127" s="43">
        <f>++D126+D125+D120+D107+D75+D64+D23</f>
        <v>0</v>
      </c>
    </row>
    <row r="128" spans="1:4" s="44" customFormat="1" ht="33" customHeight="1" x14ac:dyDescent="0.25">
      <c r="A128" s="296" t="s">
        <v>120</v>
      </c>
      <c r="B128" s="297"/>
      <c r="C128" s="298"/>
      <c r="D128" s="43">
        <f>ROUND(D127/(1-(C131+C132+C134+C136+C137)),2)</f>
        <v>0</v>
      </c>
    </row>
    <row r="129" spans="1:7" x14ac:dyDescent="0.2">
      <c r="A129" s="86" t="s">
        <v>11</v>
      </c>
      <c r="B129" s="86" t="s">
        <v>121</v>
      </c>
      <c r="C129" s="89"/>
      <c r="D129" s="86"/>
    </row>
    <row r="130" spans="1:7" x14ac:dyDescent="0.2">
      <c r="A130" s="86" t="s">
        <v>78</v>
      </c>
      <c r="B130" s="86" t="s">
        <v>122</v>
      </c>
      <c r="C130" s="89"/>
      <c r="D130" s="86"/>
    </row>
    <row r="131" spans="1:7" x14ac:dyDescent="0.2">
      <c r="A131" s="101" t="s">
        <v>123</v>
      </c>
      <c r="B131" s="101" t="s">
        <v>124</v>
      </c>
      <c r="C131" s="116">
        <v>1.6500000000000001E-2</v>
      </c>
      <c r="D131" s="102">
        <f>ROUND(C131*$D$128,2)</f>
        <v>0</v>
      </c>
      <c r="G131" s="117"/>
    </row>
    <row r="132" spans="1:7" x14ac:dyDescent="0.2">
      <c r="A132" s="101" t="s">
        <v>125</v>
      </c>
      <c r="B132" s="101" t="s">
        <v>126</v>
      </c>
      <c r="C132" s="116">
        <v>7.5999999999999998E-2</v>
      </c>
      <c r="D132" s="102">
        <f>ROUND(C132*$D$128,2)</f>
        <v>0</v>
      </c>
      <c r="G132" s="117"/>
    </row>
    <row r="133" spans="1:7" x14ac:dyDescent="0.2">
      <c r="A133" s="86" t="s">
        <v>127</v>
      </c>
      <c r="B133" s="86" t="s">
        <v>128</v>
      </c>
      <c r="C133" s="89"/>
      <c r="D133" s="90"/>
      <c r="G133" s="117"/>
    </row>
    <row r="134" spans="1:7" x14ac:dyDescent="0.2">
      <c r="A134" s="86" t="s">
        <v>129</v>
      </c>
      <c r="B134" s="86" t="s">
        <v>130</v>
      </c>
      <c r="C134" s="89"/>
      <c r="D134" s="86"/>
      <c r="G134" s="117"/>
    </row>
    <row r="135" spans="1:7" x14ac:dyDescent="0.2">
      <c r="A135" s="86" t="s">
        <v>131</v>
      </c>
      <c r="B135" s="86" t="s">
        <v>132</v>
      </c>
      <c r="C135" s="89"/>
      <c r="D135" s="86"/>
    </row>
    <row r="136" spans="1:7" x14ac:dyDescent="0.2">
      <c r="A136" s="101" t="s">
        <v>133</v>
      </c>
      <c r="B136" s="101" t="s">
        <v>134</v>
      </c>
      <c r="C136" s="116">
        <v>0.05</v>
      </c>
      <c r="D136" s="102">
        <f>ROUND(C136*$D$128,2)</f>
        <v>0</v>
      </c>
    </row>
    <row r="137" spans="1:7" x14ac:dyDescent="0.2">
      <c r="A137" s="86" t="s">
        <v>135</v>
      </c>
      <c r="B137" s="86" t="s">
        <v>136</v>
      </c>
      <c r="C137" s="89"/>
      <c r="D137" s="86"/>
    </row>
    <row r="138" spans="1:7" x14ac:dyDescent="0.2">
      <c r="A138" s="86" t="s">
        <v>13</v>
      </c>
      <c r="B138" s="86" t="s">
        <v>248</v>
      </c>
      <c r="C138" s="143"/>
      <c r="D138" s="86"/>
    </row>
    <row r="139" spans="1:7" ht="14.25" x14ac:dyDescent="0.2">
      <c r="A139" s="86" t="s">
        <v>249</v>
      </c>
      <c r="B139" s="86" t="s">
        <v>250</v>
      </c>
      <c r="C139" s="143"/>
      <c r="D139" s="144">
        <f>+D157</f>
        <v>23.54</v>
      </c>
    </row>
    <row r="140" spans="1:7" x14ac:dyDescent="0.2">
      <c r="A140" s="86" t="s">
        <v>251</v>
      </c>
      <c r="B140" s="86" t="s">
        <v>252</v>
      </c>
      <c r="C140" s="143"/>
      <c r="D140" s="144">
        <f>+D158</f>
        <v>63</v>
      </c>
    </row>
    <row r="141" spans="1:7" x14ac:dyDescent="0.2">
      <c r="A141" s="299" t="s">
        <v>48</v>
      </c>
      <c r="B141" s="300"/>
      <c r="C141" s="45">
        <f>+C137+C136+C134+C132+C131+C126+C125</f>
        <v>0.20250000000000001</v>
      </c>
      <c r="D141" s="20">
        <f>+D136+D134+D132+D131+D126+D125+D139+D140</f>
        <v>86.539999999999992</v>
      </c>
    </row>
    <row r="143" spans="1:7" x14ac:dyDescent="0.2">
      <c r="A143" s="301" t="s">
        <v>137</v>
      </c>
      <c r="B143" s="301"/>
      <c r="C143" s="301"/>
      <c r="D143" s="301"/>
    </row>
    <row r="144" spans="1:7" x14ac:dyDescent="0.2">
      <c r="A144" s="86" t="s">
        <v>6</v>
      </c>
      <c r="B144" s="286" t="s">
        <v>138</v>
      </c>
      <c r="C144" s="286"/>
      <c r="D144" s="84">
        <f>+D23</f>
        <v>0</v>
      </c>
    </row>
    <row r="145" spans="1:5" x14ac:dyDescent="0.2">
      <c r="A145" s="86" t="s">
        <v>139</v>
      </c>
      <c r="B145" s="286" t="s">
        <v>140</v>
      </c>
      <c r="C145" s="286"/>
      <c r="D145" s="84">
        <f>+D64</f>
        <v>0</v>
      </c>
    </row>
    <row r="146" spans="1:5" x14ac:dyDescent="0.2">
      <c r="A146" s="86" t="s">
        <v>11</v>
      </c>
      <c r="B146" s="286" t="s">
        <v>141</v>
      </c>
      <c r="C146" s="286"/>
      <c r="D146" s="84">
        <f>+D75</f>
        <v>0</v>
      </c>
    </row>
    <row r="147" spans="1:5" x14ac:dyDescent="0.2">
      <c r="A147" s="86" t="s">
        <v>13</v>
      </c>
      <c r="B147" s="286" t="s">
        <v>142</v>
      </c>
      <c r="C147" s="286"/>
      <c r="D147" s="84">
        <f>+D107</f>
        <v>0</v>
      </c>
    </row>
    <row r="148" spans="1:5" x14ac:dyDescent="0.2">
      <c r="A148" s="86" t="s">
        <v>34</v>
      </c>
      <c r="B148" s="286" t="s">
        <v>143</v>
      </c>
      <c r="C148" s="286"/>
      <c r="D148" s="84">
        <f>+D120</f>
        <v>0</v>
      </c>
    </row>
    <row r="149" spans="1:5" x14ac:dyDescent="0.2">
      <c r="B149" s="287" t="s">
        <v>144</v>
      </c>
      <c r="C149" s="287"/>
      <c r="D149" s="46">
        <f>SUM(D144:D148)</f>
        <v>0</v>
      </c>
    </row>
    <row r="150" spans="1:5" x14ac:dyDescent="0.2">
      <c r="A150" s="86" t="s">
        <v>36</v>
      </c>
      <c r="B150" s="286" t="s">
        <v>145</v>
      </c>
      <c r="C150" s="286"/>
      <c r="D150" s="84">
        <f>+D141</f>
        <v>86.539999999999992</v>
      </c>
    </row>
    <row r="152" spans="1:5" x14ac:dyDescent="0.2">
      <c r="A152" s="288" t="s">
        <v>146</v>
      </c>
      <c r="B152" s="288"/>
      <c r="C152" s="288"/>
      <c r="D152" s="47">
        <f>ROUND(+D150+D149,2)</f>
        <v>86.54</v>
      </c>
    </row>
    <row r="154" spans="1:5" ht="35.25" customHeight="1" x14ac:dyDescent="0.2">
      <c r="A154" s="252" t="s">
        <v>242</v>
      </c>
      <c r="B154" s="252"/>
      <c r="C154" s="252"/>
      <c r="D154" s="252"/>
    </row>
    <row r="155" spans="1:5" x14ac:dyDescent="0.2">
      <c r="A155" s="285" t="s">
        <v>243</v>
      </c>
      <c r="B155" s="285"/>
      <c r="C155" s="285"/>
      <c r="D155" s="285"/>
      <c r="E155" s="118"/>
    </row>
    <row r="156" spans="1:5" ht="22.5" x14ac:dyDescent="0.25">
      <c r="A156" s="2"/>
      <c r="B156" s="138"/>
      <c r="C156" s="139" t="s">
        <v>244</v>
      </c>
      <c r="D156" s="140" t="s">
        <v>245</v>
      </c>
      <c r="E156" s="118"/>
    </row>
    <row r="157" spans="1:5" x14ac:dyDescent="0.2">
      <c r="A157" s="141" t="s">
        <v>246</v>
      </c>
      <c r="B157" s="141"/>
      <c r="C157" s="142">
        <f>ROUND((565/12),2)</f>
        <v>47.08</v>
      </c>
      <c r="D157" s="142">
        <f>ROUND(+C157/+(+Apresentacao!$E$42),2)</f>
        <v>23.54</v>
      </c>
      <c r="E157" s="118"/>
    </row>
    <row r="158" spans="1:5" x14ac:dyDescent="0.2">
      <c r="A158" s="141" t="s">
        <v>247</v>
      </c>
      <c r="B158" s="141"/>
      <c r="C158" s="142">
        <v>126</v>
      </c>
      <c r="D158" s="142">
        <f>ROUND(+C158/+(+Apresentacao!$E$42),2)</f>
        <v>63</v>
      </c>
      <c r="E158" s="118"/>
    </row>
    <row r="159" spans="1:5" x14ac:dyDescent="0.2">
      <c r="A159" s="118"/>
      <c r="B159" s="118"/>
      <c r="C159" s="118"/>
      <c r="D159" s="118"/>
      <c r="E159" s="118"/>
    </row>
    <row r="160" spans="1:5" x14ac:dyDescent="0.2">
      <c r="A160" s="118"/>
      <c r="B160" s="118"/>
      <c r="C160" s="118"/>
      <c r="D160" s="118"/>
      <c r="E160" s="118"/>
    </row>
    <row r="161" spans="1:5" x14ac:dyDescent="0.2">
      <c r="A161" s="118"/>
      <c r="B161" s="118"/>
      <c r="C161" s="118"/>
      <c r="D161" s="118"/>
      <c r="E161" s="118"/>
    </row>
    <row r="162" spans="1:5" x14ac:dyDescent="0.2">
      <c r="A162" s="118"/>
      <c r="B162" s="118"/>
      <c r="C162" s="118"/>
      <c r="D162" s="118"/>
      <c r="E162" s="118"/>
    </row>
    <row r="163" spans="1:5" x14ac:dyDescent="0.2">
      <c r="A163" s="118"/>
      <c r="B163" s="118"/>
      <c r="C163" s="118"/>
      <c r="D163" s="118"/>
      <c r="E163" s="118"/>
    </row>
    <row r="164" spans="1:5" x14ac:dyDescent="0.2">
      <c r="A164" s="118"/>
      <c r="B164" s="118"/>
      <c r="C164" s="118"/>
      <c r="D164" s="118"/>
      <c r="E164" s="118"/>
    </row>
    <row r="165" spans="1:5" x14ac:dyDescent="0.2">
      <c r="A165" s="118"/>
      <c r="B165" s="118"/>
      <c r="C165" s="118"/>
      <c r="D165" s="118"/>
      <c r="E165" s="118"/>
    </row>
    <row r="166" spans="1:5" x14ac:dyDescent="0.2">
      <c r="A166" s="118"/>
      <c r="B166" s="118"/>
      <c r="C166" s="118"/>
      <c r="D166" s="118"/>
      <c r="E166" s="118"/>
    </row>
  </sheetData>
  <mergeCells count="79">
    <mergeCell ref="B17:C17"/>
    <mergeCell ref="A1:D1"/>
    <mergeCell ref="A3:D3"/>
    <mergeCell ref="C4:D4"/>
    <mergeCell ref="C5:D5"/>
    <mergeCell ref="C6:D6"/>
    <mergeCell ref="C7:D7"/>
    <mergeCell ref="C8:D8"/>
    <mergeCell ref="A10:D10"/>
    <mergeCell ref="B12:C12"/>
    <mergeCell ref="B15:C15"/>
    <mergeCell ref="B16:C16"/>
    <mergeCell ref="A59:D59"/>
    <mergeCell ref="B18:C18"/>
    <mergeCell ref="B19:C19"/>
    <mergeCell ref="B21:C21"/>
    <mergeCell ref="B22:C22"/>
    <mergeCell ref="A23:C23"/>
    <mergeCell ref="A25:D25"/>
    <mergeCell ref="A27:D27"/>
    <mergeCell ref="A33:C33"/>
    <mergeCell ref="A35:D35"/>
    <mergeCell ref="A47:D47"/>
    <mergeCell ref="A57:B57"/>
    <mergeCell ref="B82:C82"/>
    <mergeCell ref="B60:C60"/>
    <mergeCell ref="B61:C61"/>
    <mergeCell ref="B62:C62"/>
    <mergeCell ref="B63:C63"/>
    <mergeCell ref="A64:C64"/>
    <mergeCell ref="A66:D66"/>
    <mergeCell ref="A75:C75"/>
    <mergeCell ref="A77:D77"/>
    <mergeCell ref="A79:D79"/>
    <mergeCell ref="B80:C80"/>
    <mergeCell ref="B81:C81"/>
    <mergeCell ref="B95:C95"/>
    <mergeCell ref="B83:C83"/>
    <mergeCell ref="B84:C84"/>
    <mergeCell ref="B85:C85"/>
    <mergeCell ref="B86:C86"/>
    <mergeCell ref="B87:C87"/>
    <mergeCell ref="B88:C88"/>
    <mergeCell ref="A89:C89"/>
    <mergeCell ref="B91:C91"/>
    <mergeCell ref="B92:C92"/>
    <mergeCell ref="B93:C93"/>
    <mergeCell ref="B94:C94"/>
    <mergeCell ref="B112:C112"/>
    <mergeCell ref="A96:C96"/>
    <mergeCell ref="B98:C98"/>
    <mergeCell ref="B99:C99"/>
    <mergeCell ref="A100:C100"/>
    <mergeCell ref="B103:C103"/>
    <mergeCell ref="B104:C104"/>
    <mergeCell ref="B105:C105"/>
    <mergeCell ref="B106:C106"/>
    <mergeCell ref="A107:C107"/>
    <mergeCell ref="A109:D109"/>
    <mergeCell ref="B111:C111"/>
    <mergeCell ref="B146:C146"/>
    <mergeCell ref="B114:C114"/>
    <mergeCell ref="B116:C116"/>
    <mergeCell ref="B118:C118"/>
    <mergeCell ref="A120:C120"/>
    <mergeCell ref="A122:D122"/>
    <mergeCell ref="A127:C127"/>
    <mergeCell ref="A128:C128"/>
    <mergeCell ref="A141:B141"/>
    <mergeCell ref="A143:D143"/>
    <mergeCell ref="B144:C144"/>
    <mergeCell ref="B145:C145"/>
    <mergeCell ref="A155:D155"/>
    <mergeCell ref="B147:C147"/>
    <mergeCell ref="B148:C148"/>
    <mergeCell ref="B149:C149"/>
    <mergeCell ref="B150:C150"/>
    <mergeCell ref="A152:C152"/>
    <mergeCell ref="A154:D154"/>
  </mergeCells>
  <pageMargins left="0.51181102362204722" right="0.51181102362204722" top="0.34" bottom="0.78740157480314965" header="0.31496062992125984" footer="0.31496062992125984"/>
  <pageSetup paperSize="9" scale="70" orientation="portrait" r:id="rId1"/>
  <headerFooter>
    <oddFooter>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23</vt:i4>
      </vt:variant>
      <vt:variant>
        <vt:lpstr>Intervalos nomeados</vt:lpstr>
      </vt:variant>
      <vt:variant>
        <vt:i4>18</vt:i4>
      </vt:variant>
    </vt:vector>
  </HeadingPairs>
  <TitlesOfParts>
    <vt:vector size="41" baseType="lpstr">
      <vt:lpstr>Apresentacao</vt:lpstr>
      <vt:lpstr>Demanda</vt:lpstr>
      <vt:lpstr>Aux Coz 44</vt:lpstr>
      <vt:lpstr>Men Cal Aux Coz 44</vt:lpstr>
      <vt:lpstr>Camareiro 44h</vt:lpstr>
      <vt:lpstr>Men Cal Camareiro 44</vt:lpstr>
      <vt:lpstr>Camareiro 12 36 Diurno</vt:lpstr>
      <vt:lpstr>Men Cal Camareiro Diurno</vt:lpstr>
      <vt:lpstr>Cozinheiro 44h</vt:lpstr>
      <vt:lpstr>Men Cal Cozinheiro</vt:lpstr>
      <vt:lpstr>Copeiragem 44h</vt:lpstr>
      <vt:lpstr>Men Cal Copeiragem 44</vt:lpstr>
      <vt:lpstr>Copeiro 44 Sab</vt:lpstr>
      <vt:lpstr>Men Cal Copeiro 44 Sab</vt:lpstr>
      <vt:lpstr>Copeiragem Diurno</vt:lpstr>
      <vt:lpstr>Men Cal Diurno</vt:lpstr>
      <vt:lpstr>Copeiragem Noturno</vt:lpstr>
      <vt:lpstr>Men Cal Noturno</vt:lpstr>
      <vt:lpstr>Motorista 44</vt:lpstr>
      <vt:lpstr>Men Cal Motorista</vt:lpstr>
      <vt:lpstr>Uniforme</vt:lpstr>
      <vt:lpstr>IMR</vt:lpstr>
      <vt:lpstr>Consolidação</vt:lpstr>
      <vt:lpstr>Apresentacao!Area_de_impressao</vt:lpstr>
      <vt:lpstr>'Camareiro 12 36 Diurno'!Area_de_impressao</vt:lpstr>
      <vt:lpstr>'Camareiro 44h'!Area_de_impressao</vt:lpstr>
      <vt:lpstr>'Copeiragem 44h'!Area_de_impressao</vt:lpstr>
      <vt:lpstr>'Copeiragem Noturno'!Area_de_impressao</vt:lpstr>
      <vt:lpstr>'Copeiro 44 Sab'!Area_de_impressao</vt:lpstr>
      <vt:lpstr>'Cozinheiro 44h'!Area_de_impressao</vt:lpstr>
      <vt:lpstr>Demanda!Area_de_impressao</vt:lpstr>
      <vt:lpstr>'Men Cal Aux Coz 44'!Area_de_impressao</vt:lpstr>
      <vt:lpstr>'Men Cal Camareiro 44'!Area_de_impressao</vt:lpstr>
      <vt:lpstr>'Men Cal Camareiro Diurno'!Area_de_impressao</vt:lpstr>
      <vt:lpstr>'Men Cal Copeiragem 44'!Area_de_impressao</vt:lpstr>
      <vt:lpstr>'Men Cal Copeiro 44 Sab'!Area_de_impressao</vt:lpstr>
      <vt:lpstr>'Men Cal Cozinheiro'!Area_de_impressao</vt:lpstr>
      <vt:lpstr>'Men Cal Motorista'!Area_de_impressao</vt:lpstr>
      <vt:lpstr>'Men Cal Noturno'!Area_de_impressao</vt:lpstr>
      <vt:lpstr>'Motorista 44'!Area_de_impressao</vt:lpstr>
      <vt:lpstr>Uniforme!Area_de_impressao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</dc:creator>
  <cp:lastModifiedBy>Marcelo</cp:lastModifiedBy>
  <cp:lastPrinted>2022-06-08T14:54:56Z</cp:lastPrinted>
  <dcterms:created xsi:type="dcterms:W3CDTF">2019-12-30T13:57:58Z</dcterms:created>
  <dcterms:modified xsi:type="dcterms:W3CDTF">2022-06-08T15:07:38Z</dcterms:modified>
</cp:coreProperties>
</file>