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/>
  <mc:AlternateContent xmlns:mc="http://schemas.openxmlformats.org/markup-compatibility/2006">
    <mc:Choice Requires="x15">
      <x15ac:absPath xmlns:x15ac="http://schemas.microsoft.com/office/spreadsheetml/2010/11/ac" url="Y:\SUPERINTENDÊNCIA DE GESTÃO\LICITAÇÕES\LICITAÇÃO RU_2018\LICITAÇÃO 2018\Planilhas\"/>
    </mc:Choice>
  </mc:AlternateContent>
  <xr:revisionPtr revIDLastSave="0" documentId="13_ncr:1_{B2B54E35-B1F1-459D-BC47-6DACC3E194BC}" xr6:coauthVersionLast="40" xr6:coauthVersionMax="40" xr10:uidLastSave="{00000000-0000-0000-0000-000000000000}"/>
  <bookViews>
    <workbookView xWindow="-120" yWindow="-120" windowWidth="29040" windowHeight="17640" tabRatio="914" xr2:uid="{00000000-000D-0000-FFFF-FFFF00000000}"/>
  </bookViews>
  <sheets>
    <sheet name="Apresentação" sheetId="1" r:id="rId1"/>
    <sheet name="Uniformes" sheetId="21" r:id="rId2"/>
    <sheet name="Memória Cálculo Nutric. 5X2" sheetId="25" r:id="rId3"/>
    <sheet name="Nutricionista 5X2" sheetId="26" r:id="rId4"/>
    <sheet name="Memória Cálculo Op. Caixa 5x2" sheetId="74" r:id="rId5"/>
    <sheet name="Op. Caixa 5x2" sheetId="75" r:id="rId6"/>
    <sheet name="Memória Cálculo Copeiro 5x2" sheetId="76" r:id="rId7"/>
    <sheet name="Copeiro 5x2" sheetId="77" r:id="rId8"/>
    <sheet name="Memória Cálculo ASG 5x2" sheetId="80" r:id="rId9"/>
    <sheet name="ASG 5x2" sheetId="81" r:id="rId10"/>
    <sheet name="Mat. Prima Alim e não Alim" sheetId="22" r:id="rId11"/>
    <sheet name="Mat. Prima Alim AGRIC. FAM." sheetId="82" r:id="rId12"/>
    <sheet name="Insumos de Produção" sheetId="23" r:id="rId13"/>
    <sheet name="Valor Total dos Serviços" sheetId="24" r:id="rId14"/>
  </sheets>
  <definedNames>
    <definedName name="_xlnm.Print_Area" localSheetId="10">'Mat. Prima Alim e não Alim'!$A$1:$I$1225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8" i="26" l="1"/>
  <c r="D61" i="81"/>
  <c r="D59" i="81"/>
  <c r="D51" i="81"/>
  <c r="D61" i="77"/>
  <c r="D59" i="77"/>
  <c r="D51" i="77"/>
  <c r="D59" i="75"/>
  <c r="D61" i="75"/>
  <c r="D51" i="75"/>
  <c r="B1206" i="22" l="1"/>
  <c r="G1188" i="22"/>
  <c r="G1184" i="22"/>
  <c r="F363" i="82"/>
  <c r="F362" i="82"/>
  <c r="F361" i="82"/>
  <c r="F360" i="82"/>
  <c r="F359" i="82"/>
  <c r="F358" i="82"/>
  <c r="F364" i="82" s="1"/>
  <c r="F357" i="82"/>
  <c r="F353" i="82"/>
  <c r="F352" i="82"/>
  <c r="F351" i="82"/>
  <c r="F350" i="82"/>
  <c r="F349" i="82"/>
  <c r="F348" i="82"/>
  <c r="F347" i="82"/>
  <c r="F346" i="82"/>
  <c r="F354" i="82" s="1"/>
  <c r="F342" i="82"/>
  <c r="F341" i="82"/>
  <c r="F340" i="82"/>
  <c r="F339" i="82"/>
  <c r="F338" i="82"/>
  <c r="F337" i="82"/>
  <c r="F336" i="82"/>
  <c r="F335" i="82"/>
  <c r="F334" i="82"/>
  <c r="F333" i="82"/>
  <c r="F332" i="82"/>
  <c r="F331" i="82"/>
  <c r="F330" i="82"/>
  <c r="F343" i="82" s="1"/>
  <c r="F326" i="82"/>
  <c r="F325" i="82"/>
  <c r="F324" i="82"/>
  <c r="F323" i="82"/>
  <c r="F322" i="82"/>
  <c r="F321" i="82"/>
  <c r="F320" i="82"/>
  <c r="F319" i="82"/>
  <c r="F318" i="82"/>
  <c r="F317" i="82"/>
  <c r="F327" i="82" s="1"/>
  <c r="F313" i="82"/>
  <c r="F312" i="82"/>
  <c r="F311" i="82"/>
  <c r="F310" i="82"/>
  <c r="F309" i="82"/>
  <c r="F308" i="82"/>
  <c r="F307" i="82"/>
  <c r="F306" i="82"/>
  <c r="F314" i="82" s="1"/>
  <c r="F305" i="82"/>
  <c r="F304" i="82"/>
  <c r="F300" i="82"/>
  <c r="F299" i="82"/>
  <c r="F298" i="82"/>
  <c r="F297" i="82"/>
  <c r="F296" i="82"/>
  <c r="F301" i="82" s="1"/>
  <c r="F295" i="82"/>
  <c r="F294" i="82"/>
  <c r="F290" i="82"/>
  <c r="F289" i="82"/>
  <c r="F288" i="82"/>
  <c r="F287" i="82"/>
  <c r="F286" i="82"/>
  <c r="F291" i="82" s="1"/>
  <c r="F285" i="82"/>
  <c r="F284" i="82"/>
  <c r="F280" i="82"/>
  <c r="F279" i="82"/>
  <c r="F278" i="82"/>
  <c r="F277" i="82"/>
  <c r="F276" i="82"/>
  <c r="F275" i="82"/>
  <c r="F274" i="82"/>
  <c r="F273" i="82"/>
  <c r="F272" i="82"/>
  <c r="F281" i="82" s="1"/>
  <c r="F268" i="82"/>
  <c r="F267" i="82"/>
  <c r="F266" i="82"/>
  <c r="F265" i="82"/>
  <c r="F264" i="82"/>
  <c r="F263" i="82"/>
  <c r="F262" i="82"/>
  <c r="F261" i="82"/>
  <c r="F260" i="82"/>
  <c r="F269" i="82" s="1"/>
  <c r="F256" i="82"/>
  <c r="F255" i="82"/>
  <c r="F254" i="82"/>
  <c r="F253" i="82"/>
  <c r="F252" i="82"/>
  <c r="F257" i="82" s="1"/>
  <c r="F251" i="82"/>
  <c r="F250" i="82"/>
  <c r="F246" i="82"/>
  <c r="F245" i="82"/>
  <c r="F244" i="82"/>
  <c r="F243" i="82"/>
  <c r="F242" i="82"/>
  <c r="F241" i="82"/>
  <c r="F240" i="82"/>
  <c r="F239" i="82"/>
  <c r="F238" i="82"/>
  <c r="F237" i="82"/>
  <c r="F236" i="82"/>
  <c r="F235" i="82"/>
  <c r="F234" i="82"/>
  <c r="F247" i="82" s="1"/>
  <c r="F230" i="82"/>
  <c r="F229" i="82"/>
  <c r="F228" i="82"/>
  <c r="F227" i="82"/>
  <c r="F226" i="82"/>
  <c r="F225" i="82"/>
  <c r="F224" i="82"/>
  <c r="F223" i="82"/>
  <c r="F222" i="82"/>
  <c r="F221" i="82"/>
  <c r="F220" i="82"/>
  <c r="F231" i="82" s="1"/>
  <c r="F216" i="82"/>
  <c r="F215" i="82"/>
  <c r="F214" i="82"/>
  <c r="F213" i="82"/>
  <c r="F212" i="82"/>
  <c r="F211" i="82"/>
  <c r="F210" i="82"/>
  <c r="F209" i="82"/>
  <c r="F208" i="82"/>
  <c r="F207" i="82"/>
  <c r="F217" i="82" s="1"/>
  <c r="F203" i="82"/>
  <c r="F202" i="82"/>
  <c r="F201" i="82"/>
  <c r="F200" i="82"/>
  <c r="F199" i="82"/>
  <c r="F198" i="82"/>
  <c r="F197" i="82"/>
  <c r="F196" i="82"/>
  <c r="F204" i="82" s="1"/>
  <c r="F192" i="82"/>
  <c r="F191" i="82"/>
  <c r="F190" i="82"/>
  <c r="F189" i="82"/>
  <c r="F188" i="82"/>
  <c r="F187" i="82"/>
  <c r="F193" i="82" s="1"/>
  <c r="F183" i="82"/>
  <c r="F182" i="82"/>
  <c r="F181" i="82"/>
  <c r="F180" i="82"/>
  <c r="F179" i="82"/>
  <c r="F178" i="82"/>
  <c r="F177" i="82"/>
  <c r="F176" i="82"/>
  <c r="F184" i="82" s="1"/>
  <c r="F175" i="82"/>
  <c r="F174" i="82"/>
  <c r="F173" i="82"/>
  <c r="F169" i="82"/>
  <c r="F168" i="82"/>
  <c r="F167" i="82"/>
  <c r="F166" i="82"/>
  <c r="F165" i="82"/>
  <c r="F164" i="82"/>
  <c r="F163" i="82"/>
  <c r="F162" i="82"/>
  <c r="F161" i="82"/>
  <c r="F160" i="82"/>
  <c r="F159" i="82"/>
  <c r="F158" i="82"/>
  <c r="F170" i="82" s="1"/>
  <c r="F154" i="82"/>
  <c r="F153" i="82"/>
  <c r="F152" i="82"/>
  <c r="F151" i="82"/>
  <c r="F150" i="82"/>
  <c r="F149" i="82"/>
  <c r="F148" i="82"/>
  <c r="F147" i="82"/>
  <c r="F155" i="82" s="1"/>
  <c r="F143" i="82"/>
  <c r="F142" i="82"/>
  <c r="F141" i="82"/>
  <c r="F140" i="82"/>
  <c r="F139" i="82"/>
  <c r="F138" i="82"/>
  <c r="F137" i="82"/>
  <c r="F136" i="82"/>
  <c r="F135" i="82"/>
  <c r="F144" i="82" s="1"/>
  <c r="F131" i="82"/>
  <c r="F130" i="82"/>
  <c r="F129" i="82"/>
  <c r="F128" i="82"/>
  <c r="F127" i="82"/>
  <c r="F126" i="82"/>
  <c r="F125" i="82"/>
  <c r="F124" i="82"/>
  <c r="F132" i="82" s="1"/>
  <c r="F123" i="82"/>
  <c r="F119" i="82"/>
  <c r="F118" i="82"/>
  <c r="F117" i="82"/>
  <c r="F116" i="82"/>
  <c r="F115" i="82"/>
  <c r="F114" i="82"/>
  <c r="F113" i="82"/>
  <c r="F112" i="82"/>
  <c r="F111" i="82"/>
  <c r="F120" i="82" s="1"/>
  <c r="F107" i="82"/>
  <c r="F106" i="82"/>
  <c r="F105" i="82"/>
  <c r="F104" i="82"/>
  <c r="F103" i="82"/>
  <c r="F102" i="82"/>
  <c r="F101" i="82"/>
  <c r="F100" i="82"/>
  <c r="F108" i="82" s="1"/>
  <c r="F96" i="82"/>
  <c r="F95" i="82"/>
  <c r="F94" i="82"/>
  <c r="F93" i="82"/>
  <c r="F92" i="82"/>
  <c r="F91" i="82"/>
  <c r="F90" i="82"/>
  <c r="F97" i="82" s="1"/>
  <c r="F86" i="82"/>
  <c r="F85" i="82"/>
  <c r="F84" i="82"/>
  <c r="F83" i="82"/>
  <c r="F82" i="82"/>
  <c r="F81" i="82"/>
  <c r="F80" i="82"/>
  <c r="F79" i="82"/>
  <c r="F78" i="82"/>
  <c r="F77" i="82"/>
  <c r="F76" i="82"/>
  <c r="F87" i="82" s="1"/>
  <c r="F72" i="82"/>
  <c r="F71" i="82"/>
  <c r="F70" i="82"/>
  <c r="F69" i="82"/>
  <c r="F68" i="82"/>
  <c r="F67" i="82"/>
  <c r="F66" i="82"/>
  <c r="F65" i="82"/>
  <c r="F64" i="82"/>
  <c r="F73" i="82" s="1"/>
  <c r="F60" i="82"/>
  <c r="F59" i="82"/>
  <c r="F58" i="82"/>
  <c r="F57" i="82"/>
  <c r="F56" i="82"/>
  <c r="F55" i="82"/>
  <c r="F54" i="82"/>
  <c r="F53" i="82"/>
  <c r="F61" i="82" s="1"/>
  <c r="F49" i="82"/>
  <c r="F48" i="82"/>
  <c r="F47" i="82"/>
  <c r="F46" i="82"/>
  <c r="F45" i="82"/>
  <c r="F44" i="82"/>
  <c r="F43" i="82"/>
  <c r="F42" i="82"/>
  <c r="F50" i="82" s="1"/>
  <c r="F41" i="82"/>
  <c r="F40" i="82"/>
  <c r="F39" i="82"/>
  <c r="F35" i="82"/>
  <c r="F34" i="82"/>
  <c r="F33" i="82"/>
  <c r="F32" i="82"/>
  <c r="F31" i="82"/>
  <c r="F30" i="82"/>
  <c r="F29" i="82"/>
  <c r="F28" i="82"/>
  <c r="F36" i="82" s="1"/>
  <c r="F24" i="82"/>
  <c r="F23" i="82"/>
  <c r="F22" i="82"/>
  <c r="F21" i="82"/>
  <c r="F20" i="82"/>
  <c r="F19" i="82"/>
  <c r="F18" i="82"/>
  <c r="F17" i="82"/>
  <c r="F25" i="82" s="1"/>
  <c r="F13" i="82"/>
  <c r="F12" i="82"/>
  <c r="F11" i="82"/>
  <c r="F10" i="82"/>
  <c r="F9" i="82"/>
  <c r="F8" i="82"/>
  <c r="F7" i="82"/>
  <c r="F6" i="82"/>
  <c r="F5" i="82"/>
  <c r="F14" i="82" s="1"/>
  <c r="F366" i="82" s="1"/>
  <c r="F368" i="82" s="1"/>
  <c r="G1176" i="22" l="1"/>
  <c r="G1174" i="22"/>
  <c r="C134" i="81"/>
  <c r="C146" i="81" s="1"/>
  <c r="C133" i="81"/>
  <c r="C134" i="77"/>
  <c r="C133" i="77"/>
  <c r="C146" i="77" s="1"/>
  <c r="C134" i="75"/>
  <c r="C146" i="75" s="1"/>
  <c r="C133" i="75"/>
  <c r="F1196" i="22"/>
  <c r="G1196" i="22" s="1"/>
  <c r="F1193" i="22"/>
  <c r="E1198" i="22"/>
  <c r="F16" i="1"/>
  <c r="F17" i="1"/>
  <c r="F18" i="1"/>
  <c r="F15" i="1"/>
  <c r="F19" i="1"/>
  <c r="E19" i="1"/>
  <c r="G1175" i="22"/>
  <c r="G1173" i="22"/>
  <c r="G1178" i="22" s="1"/>
  <c r="B1222" i="22" s="1"/>
  <c r="D11" i="23" s="1"/>
  <c r="D60" i="77"/>
  <c r="G1195" i="22"/>
  <c r="G1193" i="22"/>
  <c r="G1133" i="22"/>
  <c r="G1132" i="22"/>
  <c r="G1131" i="22"/>
  <c r="G1130" i="22"/>
  <c r="G1129" i="22"/>
  <c r="G1125" i="22"/>
  <c r="G1124" i="22"/>
  <c r="G1123" i="22"/>
  <c r="G1122" i="22"/>
  <c r="G1165" i="22"/>
  <c r="G1164" i="22"/>
  <c r="G1163" i="22"/>
  <c r="G1162" i="22"/>
  <c r="G1161" i="22"/>
  <c r="G1160" i="22"/>
  <c r="G1159" i="22"/>
  <c r="G1158" i="22"/>
  <c r="G1157" i="22"/>
  <c r="G1156" i="22"/>
  <c r="G1155" i="22"/>
  <c r="G1154" i="22"/>
  <c r="G1153" i="22"/>
  <c r="G1152" i="22"/>
  <c r="G1151" i="22"/>
  <c r="G1150" i="22"/>
  <c r="G1149" i="22"/>
  <c r="G1148" i="22"/>
  <c r="G1147" i="22"/>
  <c r="G1146" i="22"/>
  <c r="G1166" i="22" s="1"/>
  <c r="G1168" i="22" s="1"/>
  <c r="G1186" i="22" s="1"/>
  <c r="D54" i="26"/>
  <c r="D48" i="26"/>
  <c r="D13" i="26"/>
  <c r="E34" i="21"/>
  <c r="E35" i="21"/>
  <c r="E36" i="21"/>
  <c r="E33" i="21"/>
  <c r="E22" i="21"/>
  <c r="E23" i="21"/>
  <c r="E24" i="21"/>
  <c r="E25" i="21"/>
  <c r="E26" i="21"/>
  <c r="E27" i="21"/>
  <c r="E28" i="21"/>
  <c r="E21" i="21"/>
  <c r="E12" i="21"/>
  <c r="E13" i="21"/>
  <c r="E14" i="21"/>
  <c r="E15" i="21"/>
  <c r="E16" i="21"/>
  <c r="E11" i="21"/>
  <c r="E4" i="21"/>
  <c r="E5" i="21"/>
  <c r="E3" i="21"/>
  <c r="E6" i="21"/>
  <c r="E37" i="21"/>
  <c r="D1198" i="22"/>
  <c r="C1198" i="22"/>
  <c r="G1112" i="22"/>
  <c r="G1111" i="22"/>
  <c r="G1110" i="22"/>
  <c r="G1109" i="22"/>
  <c r="G1108" i="22"/>
  <c r="G1107" i="22"/>
  <c r="G1106" i="22"/>
  <c r="G1105" i="22"/>
  <c r="G1103" i="22"/>
  <c r="G1102" i="22"/>
  <c r="G1100" i="22"/>
  <c r="G1098" i="22"/>
  <c r="G1097" i="22"/>
  <c r="G1096" i="22"/>
  <c r="G1094" i="22"/>
  <c r="G1091" i="22"/>
  <c r="G1089" i="22"/>
  <c r="G1088" i="22"/>
  <c r="G1087" i="22"/>
  <c r="G1085" i="22"/>
  <c r="G1084" i="22"/>
  <c r="G1083" i="22"/>
  <c r="G1082" i="22"/>
  <c r="G1081" i="22"/>
  <c r="G1113" i="22" s="1"/>
  <c r="G1080" i="22"/>
  <c r="G1079" i="22"/>
  <c r="G1074" i="22"/>
  <c r="G1073" i="22"/>
  <c r="G1072" i="22"/>
  <c r="G1071" i="22"/>
  <c r="G1070" i="22"/>
  <c r="G1069" i="22"/>
  <c r="G1068" i="22"/>
  <c r="G1067" i="22"/>
  <c r="G1065" i="22"/>
  <c r="G1064" i="22"/>
  <c r="G1062" i="22"/>
  <c r="G1060" i="22"/>
  <c r="G1059" i="22"/>
  <c r="G1058" i="22"/>
  <c r="G1056" i="22"/>
  <c r="G1053" i="22"/>
  <c r="G1051" i="22"/>
  <c r="G1050" i="22"/>
  <c r="G1049" i="22"/>
  <c r="G1047" i="22"/>
  <c r="G1046" i="22"/>
  <c r="G1045" i="22"/>
  <c r="G1075" i="22" s="1"/>
  <c r="G1044" i="22"/>
  <c r="G1043" i="22"/>
  <c r="G1038" i="22"/>
  <c r="G1037" i="22"/>
  <c r="G1036" i="22"/>
  <c r="G1035" i="22"/>
  <c r="G1034" i="22"/>
  <c r="G1033" i="22"/>
  <c r="G1032" i="22"/>
  <c r="G1031" i="22"/>
  <c r="G1029" i="22"/>
  <c r="G1028" i="22"/>
  <c r="G1026" i="22"/>
  <c r="G1024" i="22"/>
  <c r="G1023" i="22"/>
  <c r="G1022" i="22"/>
  <c r="G1020" i="22"/>
  <c r="G1017" i="22"/>
  <c r="G1015" i="22"/>
  <c r="G1014" i="22"/>
  <c r="G1013" i="22"/>
  <c r="G1011" i="22"/>
  <c r="G1010" i="22"/>
  <c r="G1009" i="22"/>
  <c r="G1008" i="22"/>
  <c r="G1007" i="22"/>
  <c r="G1006" i="22"/>
  <c r="G1005" i="22"/>
  <c r="G1004" i="22"/>
  <c r="G1003" i="22"/>
  <c r="G1039" i="22" s="1"/>
  <c r="G998" i="22"/>
  <c r="G997" i="22"/>
  <c r="G996" i="22"/>
  <c r="G995" i="22"/>
  <c r="G994" i="22"/>
  <c r="G993" i="22"/>
  <c r="G992" i="22"/>
  <c r="G991" i="22"/>
  <c r="G989" i="22"/>
  <c r="G988" i="22"/>
  <c r="G986" i="22"/>
  <c r="G984" i="22"/>
  <c r="G981" i="22"/>
  <c r="G979" i="22"/>
  <c r="G978" i="22"/>
  <c r="G977" i="22"/>
  <c r="G976" i="22"/>
  <c r="G975" i="22"/>
  <c r="G974" i="22"/>
  <c r="G972" i="22"/>
  <c r="G971" i="22"/>
  <c r="G970" i="22"/>
  <c r="G969" i="22"/>
  <c r="G967" i="22"/>
  <c r="G966" i="22"/>
  <c r="G965" i="22"/>
  <c r="G964" i="22"/>
  <c r="G963" i="22"/>
  <c r="G958" i="22"/>
  <c r="G957" i="22"/>
  <c r="G956" i="22"/>
  <c r="G955" i="22"/>
  <c r="G954" i="22"/>
  <c r="G953" i="22"/>
  <c r="G952" i="22"/>
  <c r="G951" i="22"/>
  <c r="G949" i="22"/>
  <c r="G948" i="22"/>
  <c r="G946" i="22"/>
  <c r="G944" i="22"/>
  <c r="G943" i="22"/>
  <c r="G942" i="22"/>
  <c r="G941" i="22"/>
  <c r="G939" i="22"/>
  <c r="G936" i="22"/>
  <c r="G934" i="22"/>
  <c r="G933" i="22"/>
  <c r="G932" i="22"/>
  <c r="G931" i="22"/>
  <c r="G930" i="22"/>
  <c r="G928" i="22"/>
  <c r="G927" i="22"/>
  <c r="G926" i="22"/>
  <c r="G925" i="22"/>
  <c r="G959" i="22" s="1"/>
  <c r="G920" i="22"/>
  <c r="G919" i="22"/>
  <c r="G918" i="22"/>
  <c r="G917" i="22"/>
  <c r="G916" i="22"/>
  <c r="G915" i="22"/>
  <c r="G914" i="22"/>
  <c r="G913" i="22"/>
  <c r="G911" i="22"/>
  <c r="G910" i="22"/>
  <c r="G908" i="22"/>
  <c r="G906" i="22"/>
  <c r="G905" i="22"/>
  <c r="G903" i="22"/>
  <c r="G900" i="22"/>
  <c r="G898" i="22"/>
  <c r="G896" i="22"/>
  <c r="G895" i="22"/>
  <c r="G894" i="22"/>
  <c r="G893" i="22"/>
  <c r="G921" i="22" s="1"/>
  <c r="G888" i="22"/>
  <c r="G887" i="22"/>
  <c r="G886" i="22"/>
  <c r="G885" i="22"/>
  <c r="G884" i="22"/>
  <c r="G883" i="22"/>
  <c r="G882" i="22"/>
  <c r="G881" i="22"/>
  <c r="G879" i="22"/>
  <c r="G878" i="22"/>
  <c r="G877" i="22"/>
  <c r="G876" i="22"/>
  <c r="G874" i="22"/>
  <c r="G871" i="22"/>
  <c r="G869" i="22"/>
  <c r="G868" i="22"/>
  <c r="G866" i="22"/>
  <c r="G865" i="22"/>
  <c r="G864" i="22"/>
  <c r="G863" i="22"/>
  <c r="G862" i="22"/>
  <c r="G860" i="22"/>
  <c r="G859" i="22"/>
  <c r="G858" i="22"/>
  <c r="G889" i="22" s="1"/>
  <c r="G857" i="22"/>
  <c r="G856" i="22"/>
  <c r="G851" i="22"/>
  <c r="G850" i="22"/>
  <c r="G849" i="22"/>
  <c r="G848" i="22"/>
  <c r="G847" i="22"/>
  <c r="G846" i="22"/>
  <c r="G845" i="22"/>
  <c r="G844" i="22"/>
  <c r="G842" i="22"/>
  <c r="G841" i="22"/>
  <c r="G839" i="22"/>
  <c r="G837" i="22"/>
  <c r="G836" i="22"/>
  <c r="G835" i="22"/>
  <c r="G833" i="22"/>
  <c r="G830" i="22"/>
  <c r="G828" i="22"/>
  <c r="G827" i="22"/>
  <c r="G825" i="22"/>
  <c r="G824" i="22"/>
  <c r="G823" i="22"/>
  <c r="G822" i="22"/>
  <c r="G817" i="22"/>
  <c r="G816" i="22"/>
  <c r="G815" i="22"/>
  <c r="G814" i="22"/>
  <c r="G813" i="22"/>
  <c r="G812" i="22"/>
  <c r="G811" i="22"/>
  <c r="G810" i="22"/>
  <c r="G808" i="22"/>
  <c r="G807" i="22"/>
  <c r="G805" i="22"/>
  <c r="G803" i="22"/>
  <c r="G802" i="22"/>
  <c r="G801" i="22"/>
  <c r="G799" i="22"/>
  <c r="G796" i="22"/>
  <c r="G794" i="22"/>
  <c r="G793" i="22"/>
  <c r="G792" i="22"/>
  <c r="G790" i="22"/>
  <c r="G789" i="22"/>
  <c r="G788" i="22"/>
  <c r="G787" i="22"/>
  <c r="G786" i="22"/>
  <c r="G818" i="22" s="1"/>
  <c r="G781" i="22"/>
  <c r="G780" i="22"/>
  <c r="G779" i="22"/>
  <c r="G778" i="22"/>
  <c r="G777" i="22"/>
  <c r="G776" i="22"/>
  <c r="G775" i="22"/>
  <c r="G774" i="22"/>
  <c r="G772" i="22"/>
  <c r="G771" i="22"/>
  <c r="G769" i="22"/>
  <c r="G767" i="22"/>
  <c r="G764" i="22"/>
  <c r="G762" i="22"/>
  <c r="G761" i="22"/>
  <c r="G759" i="22"/>
  <c r="G757" i="22"/>
  <c r="G756" i="22"/>
  <c r="G755" i="22"/>
  <c r="G754" i="22"/>
  <c r="G782" i="22" s="1"/>
  <c r="G749" i="22"/>
  <c r="G748" i="22"/>
  <c r="G747" i="22"/>
  <c r="G746" i="22"/>
  <c r="G745" i="22"/>
  <c r="G744" i="22"/>
  <c r="G743" i="22"/>
  <c r="G742" i="22"/>
  <c r="G740" i="22"/>
  <c r="G739" i="22"/>
  <c r="G737" i="22"/>
  <c r="G735" i="22"/>
  <c r="G734" i="22"/>
  <c r="G732" i="22"/>
  <c r="G729" i="22"/>
  <c r="G727" i="22"/>
  <c r="G726" i="22"/>
  <c r="G725" i="22"/>
  <c r="G724" i="22"/>
  <c r="G722" i="22"/>
  <c r="G721" i="22"/>
  <c r="G720" i="22"/>
  <c r="G719" i="22"/>
  <c r="G718" i="22"/>
  <c r="G717" i="22"/>
  <c r="G716" i="22"/>
  <c r="G750" i="22" s="1"/>
  <c r="G711" i="22"/>
  <c r="G710" i="22"/>
  <c r="G709" i="22"/>
  <c r="G708" i="22"/>
  <c r="G707" i="22"/>
  <c r="G706" i="22"/>
  <c r="G705" i="22"/>
  <c r="G704" i="22"/>
  <c r="G702" i="22"/>
  <c r="G701" i="22"/>
  <c r="G699" i="22"/>
  <c r="G697" i="22"/>
  <c r="G696" i="22"/>
  <c r="G695" i="22"/>
  <c r="G693" i="22"/>
  <c r="G690" i="22"/>
  <c r="G688" i="22"/>
  <c r="G687" i="22"/>
  <c r="G685" i="22"/>
  <c r="G684" i="22"/>
  <c r="G683" i="22"/>
  <c r="G682" i="22"/>
  <c r="G712" i="22" s="1"/>
  <c r="G681" i="22"/>
  <c r="G676" i="22"/>
  <c r="G675" i="22"/>
  <c r="G674" i="22"/>
  <c r="G673" i="22"/>
  <c r="G672" i="22"/>
  <c r="G671" i="22"/>
  <c r="G670" i="22"/>
  <c r="G669" i="22"/>
  <c r="G667" i="22"/>
  <c r="G666" i="22"/>
  <c r="G664" i="22"/>
  <c r="G662" i="22"/>
  <c r="G661" i="22"/>
  <c r="G659" i="22"/>
  <c r="G656" i="22"/>
  <c r="G654" i="22"/>
  <c r="G653" i="22"/>
  <c r="G652" i="22"/>
  <c r="G651" i="22"/>
  <c r="G649" i="22"/>
  <c r="G648" i="22"/>
  <c r="G647" i="22"/>
  <c r="G643" i="22"/>
  <c r="G642" i="22"/>
  <c r="G641" i="22"/>
  <c r="G640" i="22"/>
  <c r="G639" i="22"/>
  <c r="G638" i="22"/>
  <c r="G637" i="22"/>
  <c r="G636" i="22"/>
  <c r="G634" i="22"/>
  <c r="G633" i="22"/>
  <c r="G631" i="22"/>
  <c r="G629" i="22"/>
  <c r="G628" i="22"/>
  <c r="G626" i="22"/>
  <c r="G623" i="22"/>
  <c r="G621" i="22"/>
  <c r="G620" i="22"/>
  <c r="G619" i="22"/>
  <c r="G618" i="22"/>
  <c r="G616" i="22"/>
  <c r="G615" i="22"/>
  <c r="G644" i="22" s="1"/>
  <c r="G614" i="22"/>
  <c r="G613" i="22"/>
  <c r="G612" i="22"/>
  <c r="G607" i="22"/>
  <c r="G606" i="22"/>
  <c r="G605" i="22"/>
  <c r="G604" i="22"/>
  <c r="G603" i="22"/>
  <c r="G602" i="22"/>
  <c r="G601" i="22"/>
  <c r="G600" i="22"/>
  <c r="G598" i="22"/>
  <c r="G597" i="22"/>
  <c r="G595" i="22"/>
  <c r="G593" i="22"/>
  <c r="G592" i="22"/>
  <c r="G591" i="22"/>
  <c r="G589" i="22"/>
  <c r="G586" i="22"/>
  <c r="G584" i="22"/>
  <c r="G583" i="22"/>
  <c r="G582" i="22"/>
  <c r="G581" i="22"/>
  <c r="G580" i="22"/>
  <c r="G578" i="22"/>
  <c r="G577" i="22"/>
  <c r="G576" i="22"/>
  <c r="G575" i="22"/>
  <c r="G608" i="22" s="1"/>
  <c r="G574" i="22"/>
  <c r="G569" i="22"/>
  <c r="G568" i="22"/>
  <c r="G567" i="22"/>
  <c r="G566" i="22"/>
  <c r="G565" i="22"/>
  <c r="G564" i="22"/>
  <c r="G563" i="22"/>
  <c r="G562" i="22"/>
  <c r="G560" i="22"/>
  <c r="G559" i="22"/>
  <c r="G557" i="22"/>
  <c r="G555" i="22"/>
  <c r="G554" i="22"/>
  <c r="G552" i="22"/>
  <c r="G549" i="22"/>
  <c r="G547" i="22"/>
  <c r="G546" i="22"/>
  <c r="G545" i="22"/>
  <c r="G544" i="22"/>
  <c r="G543" i="22"/>
  <c r="G542" i="22"/>
  <c r="G540" i="22"/>
  <c r="G539" i="22"/>
  <c r="G538" i="22"/>
  <c r="G537" i="22"/>
  <c r="G536" i="22"/>
  <c r="G535" i="22"/>
  <c r="G570" i="22" s="1"/>
  <c r="G534" i="22"/>
  <c r="G533" i="22"/>
  <c r="G528" i="22"/>
  <c r="G527" i="22"/>
  <c r="G526" i="22"/>
  <c r="G525" i="22"/>
  <c r="G524" i="22"/>
  <c r="G523" i="22"/>
  <c r="G522" i="22"/>
  <c r="G521" i="22"/>
  <c r="G519" i="22"/>
  <c r="G518" i="22"/>
  <c r="G516" i="22"/>
  <c r="G514" i="22"/>
  <c r="G511" i="22"/>
  <c r="G509" i="22"/>
  <c r="G508" i="22"/>
  <c r="G507" i="22"/>
  <c r="G506" i="22"/>
  <c r="G504" i="22"/>
  <c r="G503" i="22"/>
  <c r="G501" i="22"/>
  <c r="G500" i="22"/>
  <c r="G499" i="22"/>
  <c r="G498" i="22"/>
  <c r="G497" i="22"/>
  <c r="G496" i="22"/>
  <c r="G495" i="22"/>
  <c r="G529" i="22" s="1"/>
  <c r="G490" i="22"/>
  <c r="G489" i="22"/>
  <c r="G488" i="22"/>
  <c r="G487" i="22"/>
  <c r="G486" i="22"/>
  <c r="G485" i="22"/>
  <c r="G484" i="22"/>
  <c r="G483" i="22"/>
  <c r="G481" i="22"/>
  <c r="G480" i="22"/>
  <c r="G478" i="22"/>
  <c r="G476" i="22"/>
  <c r="G475" i="22"/>
  <c r="G474" i="22"/>
  <c r="G472" i="22"/>
  <c r="G469" i="22"/>
  <c r="G467" i="22"/>
  <c r="G466" i="22"/>
  <c r="G465" i="22"/>
  <c r="G464" i="22"/>
  <c r="G463" i="22"/>
  <c r="G461" i="22"/>
  <c r="G460" i="22"/>
  <c r="G459" i="22"/>
  <c r="G454" i="22"/>
  <c r="G453" i="22"/>
  <c r="G452" i="22"/>
  <c r="G451" i="22"/>
  <c r="G450" i="22"/>
  <c r="G449" i="22"/>
  <c r="G448" i="22"/>
  <c r="G447" i="22"/>
  <c r="G445" i="22"/>
  <c r="G444" i="22"/>
  <c r="G442" i="22"/>
  <c r="G440" i="22"/>
  <c r="G439" i="22"/>
  <c r="G438" i="22"/>
  <c r="G436" i="22"/>
  <c r="G433" i="22"/>
  <c r="G431" i="22"/>
  <c r="G430" i="22"/>
  <c r="G428" i="22"/>
  <c r="G427" i="22"/>
  <c r="G426" i="22"/>
  <c r="G425" i="22"/>
  <c r="G424" i="22"/>
  <c r="G423" i="22"/>
  <c r="G455" i="22" s="1"/>
  <c r="G418" i="22"/>
  <c r="G417" i="22"/>
  <c r="G416" i="22"/>
  <c r="G415" i="22"/>
  <c r="G414" i="22"/>
  <c r="G413" i="22"/>
  <c r="G412" i="22"/>
  <c r="G411" i="22"/>
  <c r="G409" i="22"/>
  <c r="G408" i="22"/>
  <c r="G406" i="22"/>
  <c r="G404" i="22"/>
  <c r="G403" i="22"/>
  <c r="G402" i="22"/>
  <c r="G400" i="22"/>
  <c r="G397" i="22"/>
  <c r="G395" i="22"/>
  <c r="G394" i="22"/>
  <c r="G392" i="22"/>
  <c r="G391" i="22"/>
  <c r="G390" i="22"/>
  <c r="G389" i="22"/>
  <c r="G388" i="22"/>
  <c r="G387" i="22"/>
  <c r="G419" i="22" s="1"/>
  <c r="G382" i="22"/>
  <c r="G381" i="22"/>
  <c r="G380" i="22"/>
  <c r="G379" i="22"/>
  <c r="G378" i="22"/>
  <c r="G377" i="22"/>
  <c r="G376" i="22"/>
  <c r="G375" i="22"/>
  <c r="G373" i="22"/>
  <c r="G372" i="22"/>
  <c r="G371" i="22"/>
  <c r="G370" i="22"/>
  <c r="G369" i="22"/>
  <c r="G368" i="22"/>
  <c r="G367" i="22"/>
  <c r="G366" i="22"/>
  <c r="G364" i="22"/>
  <c r="G361" i="22"/>
  <c r="G359" i="22"/>
  <c r="G358" i="22"/>
  <c r="G356" i="22"/>
  <c r="G355" i="22"/>
  <c r="G354" i="22"/>
  <c r="G353" i="22"/>
  <c r="G352" i="22"/>
  <c r="G347" i="22"/>
  <c r="G346" i="22"/>
  <c r="G345" i="22"/>
  <c r="G344" i="22"/>
  <c r="G343" i="22"/>
  <c r="G342" i="22"/>
  <c r="G341" i="22"/>
  <c r="G340" i="22"/>
  <c r="G338" i="22"/>
  <c r="G337" i="22"/>
  <c r="G335" i="22"/>
  <c r="G332" i="22"/>
  <c r="G331" i="22"/>
  <c r="G329" i="22"/>
  <c r="G326" i="22"/>
  <c r="G324" i="22"/>
  <c r="G323" i="22"/>
  <c r="G322" i="22"/>
  <c r="G321" i="22"/>
  <c r="G320" i="22"/>
  <c r="G318" i="22"/>
  <c r="G317" i="22"/>
  <c r="G316" i="22"/>
  <c r="G315" i="22"/>
  <c r="G314" i="22"/>
  <c r="G313" i="22"/>
  <c r="G312" i="22"/>
  <c r="G348" i="22" s="1"/>
  <c r="G307" i="22"/>
  <c r="G306" i="22"/>
  <c r="G305" i="22"/>
  <c r="G304" i="22"/>
  <c r="G303" i="22"/>
  <c r="G302" i="22"/>
  <c r="G301" i="22"/>
  <c r="G300" i="22"/>
  <c r="G298" i="22"/>
  <c r="G297" i="22"/>
  <c r="G295" i="22"/>
  <c r="G293" i="22"/>
  <c r="G292" i="22"/>
  <c r="G291" i="22"/>
  <c r="G289" i="22"/>
  <c r="G286" i="22"/>
  <c r="G284" i="22"/>
  <c r="G283" i="22"/>
  <c r="G282" i="22"/>
  <c r="G280" i="22"/>
  <c r="G279" i="22"/>
  <c r="G278" i="22"/>
  <c r="G277" i="22"/>
  <c r="G276" i="22"/>
  <c r="G308" i="22" s="1"/>
  <c r="G275" i="22"/>
  <c r="G270" i="22"/>
  <c r="G269" i="22"/>
  <c r="G268" i="22"/>
  <c r="G267" i="22"/>
  <c r="G266" i="22"/>
  <c r="G265" i="22"/>
  <c r="G264" i="22"/>
  <c r="G263" i="22"/>
  <c r="G261" i="22"/>
  <c r="G260" i="22"/>
  <c r="G258" i="22"/>
  <c r="G256" i="22"/>
  <c r="G253" i="22"/>
  <c r="G251" i="22"/>
  <c r="G250" i="22"/>
  <c r="G249" i="22"/>
  <c r="G248" i="22"/>
  <c r="G247" i="22"/>
  <c r="G245" i="22"/>
  <c r="G244" i="22"/>
  <c r="G243" i="22"/>
  <c r="G242" i="22"/>
  <c r="G241" i="22"/>
  <c r="G239" i="22"/>
  <c r="G238" i="22"/>
  <c r="G237" i="22"/>
  <c r="G236" i="22"/>
  <c r="G235" i="22"/>
  <c r="G234" i="22"/>
  <c r="G229" i="22"/>
  <c r="G228" i="22"/>
  <c r="G227" i="22"/>
  <c r="G226" i="22"/>
  <c r="G225" i="22"/>
  <c r="G224" i="22"/>
  <c r="G223" i="22"/>
  <c r="G222" i="22"/>
  <c r="G220" i="22"/>
  <c r="G219" i="22"/>
  <c r="G217" i="22"/>
  <c r="G215" i="22"/>
  <c r="G212" i="22"/>
  <c r="G210" i="22"/>
  <c r="G209" i="22"/>
  <c r="G208" i="22"/>
  <c r="G206" i="22"/>
  <c r="G205" i="22"/>
  <c r="G204" i="22"/>
  <c r="G203" i="22"/>
  <c r="G201" i="22"/>
  <c r="G200" i="22"/>
  <c r="G230" i="22" s="1"/>
  <c r="G199" i="22"/>
  <c r="G198" i="22"/>
  <c r="G197" i="22"/>
  <c r="G192" i="22"/>
  <c r="G191" i="22"/>
  <c r="G190" i="22"/>
  <c r="G189" i="22"/>
  <c r="G188" i="22"/>
  <c r="G187" i="22"/>
  <c r="G186" i="22"/>
  <c r="G185" i="22"/>
  <c r="G183" i="22"/>
  <c r="G182" i="22"/>
  <c r="G181" i="22"/>
  <c r="G179" i="22"/>
  <c r="G177" i="22"/>
  <c r="G176" i="22"/>
  <c r="G175" i="22"/>
  <c r="G174" i="22"/>
  <c r="G173" i="22"/>
  <c r="G172" i="22"/>
  <c r="G170" i="22"/>
  <c r="G167" i="22"/>
  <c r="G165" i="22"/>
  <c r="G164" i="22"/>
  <c r="G162" i="22"/>
  <c r="G161" i="22"/>
  <c r="G160" i="22"/>
  <c r="G159" i="22"/>
  <c r="G158" i="22"/>
  <c r="G157" i="22"/>
  <c r="G156" i="22"/>
  <c r="G193" i="22" s="1"/>
  <c r="G155" i="22"/>
  <c r="G154" i="22"/>
  <c r="G149" i="22"/>
  <c r="G148" i="22"/>
  <c r="G147" i="22"/>
  <c r="G146" i="22"/>
  <c r="G145" i="22"/>
  <c r="G144" i="22"/>
  <c r="G143" i="22"/>
  <c r="G142" i="22"/>
  <c r="G140" i="22"/>
  <c r="G139" i="22"/>
  <c r="G137" i="22"/>
  <c r="G135" i="22"/>
  <c r="G134" i="22"/>
  <c r="G133" i="22"/>
  <c r="G131" i="22"/>
  <c r="G128" i="22"/>
  <c r="G126" i="22"/>
  <c r="G125" i="22"/>
  <c r="G124" i="22"/>
  <c r="G123" i="22"/>
  <c r="G122" i="22"/>
  <c r="G120" i="22"/>
  <c r="G119" i="22"/>
  <c r="G118" i="22"/>
  <c r="G117" i="22"/>
  <c r="G150" i="22" s="1"/>
  <c r="G112" i="22"/>
  <c r="G111" i="22"/>
  <c r="G110" i="22"/>
  <c r="G109" i="22"/>
  <c r="G108" i="22"/>
  <c r="G107" i="22"/>
  <c r="G106" i="22"/>
  <c r="G105" i="22"/>
  <c r="G103" i="22"/>
  <c r="G102" i="22"/>
  <c r="G100" i="22"/>
  <c r="G98" i="22"/>
  <c r="G95" i="22"/>
  <c r="G93" i="22"/>
  <c r="G92" i="22"/>
  <c r="G91" i="22"/>
  <c r="G90" i="22"/>
  <c r="G88" i="22"/>
  <c r="G86" i="22"/>
  <c r="G85" i="22"/>
  <c r="G113" i="22" s="1"/>
  <c r="G80" i="22"/>
  <c r="G79" i="22"/>
  <c r="G78" i="22"/>
  <c r="G77" i="22"/>
  <c r="G76" i="22"/>
  <c r="G75" i="22"/>
  <c r="G74" i="22"/>
  <c r="G73" i="22"/>
  <c r="G71" i="22"/>
  <c r="G70" i="22"/>
  <c r="G68" i="22"/>
  <c r="G66" i="22"/>
  <c r="G65" i="22"/>
  <c r="G64" i="22"/>
  <c r="G62" i="22"/>
  <c r="G59" i="22"/>
  <c r="G57" i="22"/>
  <c r="G56" i="22"/>
  <c r="G55" i="22"/>
  <c r="G54" i="22"/>
  <c r="G52" i="22"/>
  <c r="G51" i="22"/>
  <c r="G50" i="22"/>
  <c r="G49" i="22"/>
  <c r="G48" i="22"/>
  <c r="G47" i="22"/>
  <c r="G46" i="22"/>
  <c r="G81" i="22" s="1"/>
  <c r="G41" i="22"/>
  <c r="G40" i="22"/>
  <c r="G39" i="22"/>
  <c r="G38" i="22"/>
  <c r="G37" i="22"/>
  <c r="G36" i="22"/>
  <c r="G35" i="22"/>
  <c r="G34" i="22"/>
  <c r="G32" i="22"/>
  <c r="G31" i="22"/>
  <c r="G29" i="22"/>
  <c r="G27" i="22"/>
  <c r="G26" i="22"/>
  <c r="G25" i="22"/>
  <c r="G23" i="22"/>
  <c r="G20" i="22"/>
  <c r="G18" i="22"/>
  <c r="G17" i="22"/>
  <c r="G16" i="22"/>
  <c r="G15" i="22"/>
  <c r="G14" i="22"/>
  <c r="G13" i="22"/>
  <c r="G11" i="22"/>
  <c r="G10" i="22"/>
  <c r="G9" i="22"/>
  <c r="G8" i="22"/>
  <c r="G677" i="22"/>
  <c r="G852" i="22"/>
  <c r="G42" i="22"/>
  <c r="G271" i="22"/>
  <c r="G999" i="22"/>
  <c r="G1135" i="22"/>
  <c r="G1141" i="22" s="1"/>
  <c r="G491" i="22"/>
  <c r="G1126" i="22"/>
  <c r="G1140" i="22" s="1"/>
  <c r="G383" i="22"/>
  <c r="B5" i="80"/>
  <c r="B15" i="80"/>
  <c r="C127" i="81"/>
  <c r="D127" i="81"/>
  <c r="C125" i="81"/>
  <c r="D125" i="81"/>
  <c r="C123" i="81"/>
  <c r="D123" i="81"/>
  <c r="C121" i="81"/>
  <c r="D108" i="81"/>
  <c r="D114" i="81"/>
  <c r="D64" i="81"/>
  <c r="D60" i="81"/>
  <c r="D57" i="81"/>
  <c r="D58" i="81"/>
  <c r="D56" i="81"/>
  <c r="D54" i="81"/>
  <c r="D62" i="81"/>
  <c r="C45" i="81"/>
  <c r="D23" i="81"/>
  <c r="B111" i="80" s="1"/>
  <c r="D13" i="81"/>
  <c r="B118" i="80"/>
  <c r="B108" i="80"/>
  <c r="B117" i="80"/>
  <c r="B49" i="80"/>
  <c r="B27" i="80"/>
  <c r="B12" i="80"/>
  <c r="B6" i="80"/>
  <c r="B5" i="76"/>
  <c r="C127" i="77"/>
  <c r="D127" i="77"/>
  <c r="C125" i="77"/>
  <c r="D125" i="77"/>
  <c r="C123" i="77"/>
  <c r="D123" i="77"/>
  <c r="C121" i="77"/>
  <c r="D108" i="77"/>
  <c r="D114" i="77"/>
  <c r="D64" i="77"/>
  <c r="D57" i="77"/>
  <c r="D58" i="77" s="1"/>
  <c r="D56" i="77"/>
  <c r="D54" i="77"/>
  <c r="D62" i="77"/>
  <c r="C45" i="77"/>
  <c r="B118" i="76"/>
  <c r="D13" i="77"/>
  <c r="D23" i="77"/>
  <c r="D149" i="77" s="1"/>
  <c r="B108" i="76"/>
  <c r="B117" i="76"/>
  <c r="B49" i="76"/>
  <c r="B27" i="76"/>
  <c r="B12" i="76"/>
  <c r="B6" i="76"/>
  <c r="B15" i="76"/>
  <c r="C18" i="76"/>
  <c r="D49" i="77"/>
  <c r="D50" i="77" s="1"/>
  <c r="B5" i="74"/>
  <c r="C127" i="75"/>
  <c r="D127" i="75"/>
  <c r="C125" i="75"/>
  <c r="D125" i="75"/>
  <c r="C123" i="75"/>
  <c r="D123" i="75"/>
  <c r="C121" i="75"/>
  <c r="D108" i="75"/>
  <c r="D114" i="75"/>
  <c r="D64" i="75"/>
  <c r="D60" i="75"/>
  <c r="D57" i="75"/>
  <c r="D58" i="75"/>
  <c r="D56" i="75"/>
  <c r="D54" i="75"/>
  <c r="D62" i="75"/>
  <c r="C45" i="75"/>
  <c r="B118" i="74"/>
  <c r="D13" i="75"/>
  <c r="D23" i="75"/>
  <c r="B111" i="74" s="1"/>
  <c r="B117" i="74"/>
  <c r="B108" i="74"/>
  <c r="B49" i="74"/>
  <c r="B27" i="74"/>
  <c r="B12" i="74"/>
  <c r="B6" i="74"/>
  <c r="B15" i="74"/>
  <c r="C18" i="74"/>
  <c r="D49" i="75" s="1"/>
  <c r="D50" i="75" s="1"/>
  <c r="D19" i="1"/>
  <c r="C19" i="1"/>
  <c r="B28" i="74"/>
  <c r="D52" i="75"/>
  <c r="D52" i="77"/>
  <c r="D52" i="81"/>
  <c r="C18" i="80"/>
  <c r="D49" i="81" s="1"/>
  <c r="D29" i="77"/>
  <c r="B112" i="76" s="1"/>
  <c r="B7" i="76"/>
  <c r="B93" i="76" s="1"/>
  <c r="C98" i="76" s="1"/>
  <c r="D94" i="77" s="1"/>
  <c r="D149" i="75"/>
  <c r="D31" i="75"/>
  <c r="D162" i="75" s="1"/>
  <c r="D32" i="75"/>
  <c r="B31" i="74" s="1"/>
  <c r="B52" i="74"/>
  <c r="B53" i="74"/>
  <c r="D102" i="75"/>
  <c r="D102" i="81"/>
  <c r="B85" i="76"/>
  <c r="C90" i="76" s="1"/>
  <c r="D92" i="77" s="1"/>
  <c r="D102" i="77"/>
  <c r="B29" i="76"/>
  <c r="D163" i="75"/>
  <c r="C31" i="75"/>
  <c r="C162" i="75"/>
  <c r="D120" i="75"/>
  <c r="D121" i="75"/>
  <c r="D128" i="75"/>
  <c r="D153" i="75"/>
  <c r="B6" i="25"/>
  <c r="H15" i="24"/>
  <c r="C143" i="26"/>
  <c r="C124" i="26"/>
  <c r="D124" i="26"/>
  <c r="C122" i="26"/>
  <c r="D122" i="26"/>
  <c r="C120" i="26"/>
  <c r="D120" i="26"/>
  <c r="C118" i="26"/>
  <c r="D105" i="26"/>
  <c r="D111" i="26"/>
  <c r="C61" i="26"/>
  <c r="D61" i="26"/>
  <c r="C59" i="26"/>
  <c r="D59" i="26"/>
  <c r="D62" i="26" s="1"/>
  <c r="D68" i="26" s="1"/>
  <c r="D69" i="26" s="1"/>
  <c r="D147" i="26" s="1"/>
  <c r="D56" i="26"/>
  <c r="C55" i="26"/>
  <c r="C53" i="26"/>
  <c r="D53" i="26"/>
  <c r="C51" i="26"/>
  <c r="D51" i="26"/>
  <c r="C49" i="26"/>
  <c r="D49" i="26"/>
  <c r="C47" i="26"/>
  <c r="C42" i="26"/>
  <c r="B118" i="25"/>
  <c r="D20" i="26"/>
  <c r="D29" i="26"/>
  <c r="D165" i="26"/>
  <c r="B108" i="25"/>
  <c r="B117" i="25"/>
  <c r="B49" i="25"/>
  <c r="B27" i="25"/>
  <c r="B12" i="25"/>
  <c r="B15" i="25"/>
  <c r="C18" i="25"/>
  <c r="D46" i="26"/>
  <c r="D47" i="26"/>
  <c r="C41" i="23"/>
  <c r="C47" i="23"/>
  <c r="B41" i="25"/>
  <c r="C46" i="25"/>
  <c r="D77" i="26"/>
  <c r="D28" i="26"/>
  <c r="B30" i="25"/>
  <c r="B28" i="25"/>
  <c r="D26" i="26"/>
  <c r="D163" i="26"/>
  <c r="B50" i="25"/>
  <c r="D146" i="26"/>
  <c r="C28" i="26"/>
  <c r="C159" i="26"/>
  <c r="D159" i="26"/>
  <c r="B52" i="25"/>
  <c r="B7" i="25"/>
  <c r="B111" i="25"/>
  <c r="D55" i="26"/>
  <c r="C29" i="26"/>
  <c r="C160" i="26"/>
  <c r="B53" i="25"/>
  <c r="D27" i="26"/>
  <c r="D160" i="26"/>
  <c r="B31" i="25"/>
  <c r="E17" i="21"/>
  <c r="E29" i="21"/>
  <c r="C77" i="26"/>
  <c r="D158" i="26"/>
  <c r="D164" i="26"/>
  <c r="C163" i="26"/>
  <c r="B112" i="25"/>
  <c r="B113" i="25"/>
  <c r="D99" i="26"/>
  <c r="D101" i="26" s="1"/>
  <c r="D109" i="26" s="1"/>
  <c r="D110" i="26" s="1"/>
  <c r="D112" i="26" s="1"/>
  <c r="C26" i="26"/>
  <c r="C158" i="26"/>
  <c r="B29" i="25"/>
  <c r="B32" i="25"/>
  <c r="B51" i="25"/>
  <c r="B54" i="25"/>
  <c r="B76" i="25"/>
  <c r="C82" i="25"/>
  <c r="D88" i="26"/>
  <c r="B21" i="25"/>
  <c r="C24" i="25"/>
  <c r="D74" i="26"/>
  <c r="D75" i="26"/>
  <c r="B102" i="25"/>
  <c r="B103" i="25"/>
  <c r="B104" i="25"/>
  <c r="C109" i="25"/>
  <c r="D97" i="26"/>
  <c r="B93" i="25"/>
  <c r="C98" i="25"/>
  <c r="D91" i="26"/>
  <c r="B85" i="25"/>
  <c r="C90" i="25"/>
  <c r="D89" i="26"/>
  <c r="B69" i="25"/>
  <c r="C73" i="25"/>
  <c r="D87" i="26"/>
  <c r="D120" i="81"/>
  <c r="D120" i="77"/>
  <c r="D121" i="77"/>
  <c r="D128" i="77"/>
  <c r="C27" i="26"/>
  <c r="D30" i="26"/>
  <c r="D117" i="26"/>
  <c r="D118" i="26"/>
  <c r="C59" i="25"/>
  <c r="C57" i="25"/>
  <c r="C37" i="25"/>
  <c r="C35" i="25"/>
  <c r="C38" i="25"/>
  <c r="D76" i="26"/>
  <c r="C76" i="26"/>
  <c r="C161" i="26"/>
  <c r="D94" i="26"/>
  <c r="D108" i="26"/>
  <c r="C74" i="26"/>
  <c r="D121" i="81"/>
  <c r="D128" i="81"/>
  <c r="D153" i="77"/>
  <c r="D66" i="26"/>
  <c r="D38" i="26"/>
  <c r="D34" i="26"/>
  <c r="D41" i="26"/>
  <c r="D36" i="26"/>
  <c r="D35" i="26"/>
  <c r="D37" i="26"/>
  <c r="D40" i="26"/>
  <c r="D39" i="26"/>
  <c r="D125" i="26"/>
  <c r="D150" i="26"/>
  <c r="D161" i="26"/>
  <c r="C60" i="25"/>
  <c r="D79" i="26"/>
  <c r="D153" i="81"/>
  <c r="D42" i="26"/>
  <c r="D67" i="26"/>
  <c r="C79" i="26"/>
  <c r="C162" i="26"/>
  <c r="D162" i="26"/>
  <c r="D166" i="26"/>
  <c r="D80" i="26"/>
  <c r="D148" i="26" s="1"/>
  <c r="G1194" i="22"/>
  <c r="G1197" i="22"/>
  <c r="B51" i="76" l="1"/>
  <c r="B111" i="76"/>
  <c r="B76" i="76"/>
  <c r="C82" i="76" s="1"/>
  <c r="D91" i="77" s="1"/>
  <c r="B50" i="76"/>
  <c r="D149" i="81"/>
  <c r="B50" i="80"/>
  <c r="D31" i="81"/>
  <c r="D32" i="81"/>
  <c r="D29" i="81"/>
  <c r="B7" i="80"/>
  <c r="B28" i="80"/>
  <c r="D50" i="81"/>
  <c r="D65" i="81"/>
  <c r="D71" i="81" s="1"/>
  <c r="B113" i="76"/>
  <c r="B21" i="76"/>
  <c r="C24" i="76" s="1"/>
  <c r="D77" i="77" s="1"/>
  <c r="B69" i="76"/>
  <c r="C73" i="76" s="1"/>
  <c r="D90" i="77" s="1"/>
  <c r="D97" i="77" s="1"/>
  <c r="D111" i="77" s="1"/>
  <c r="B102" i="76"/>
  <c r="D166" i="77"/>
  <c r="C29" i="77"/>
  <c r="C161" i="77" s="1"/>
  <c r="B41" i="76"/>
  <c r="C46" i="76" s="1"/>
  <c r="D80" i="77" s="1"/>
  <c r="C80" i="77" s="1"/>
  <c r="D31" i="77"/>
  <c r="D32" i="77"/>
  <c r="D161" i="77"/>
  <c r="B28" i="76"/>
  <c r="D65" i="77"/>
  <c r="D71" i="77" s="1"/>
  <c r="D30" i="75"/>
  <c r="D168" i="75"/>
  <c r="D167" i="75"/>
  <c r="B30" i="74"/>
  <c r="D29" i="75"/>
  <c r="B50" i="74"/>
  <c r="C32" i="75"/>
  <c r="C163" i="75" s="1"/>
  <c r="B7" i="74"/>
  <c r="D65" i="75"/>
  <c r="D71" i="75" s="1"/>
  <c r="H1139" i="22"/>
  <c r="G1185" i="22" s="1"/>
  <c r="B1214" i="22"/>
  <c r="D17" i="23" s="1"/>
  <c r="D18" i="23" s="1"/>
  <c r="D10" i="23"/>
  <c r="G1116" i="22"/>
  <c r="G1183" i="22" s="1"/>
  <c r="G1198" i="22"/>
  <c r="D9" i="23" s="1"/>
  <c r="F1198" i="22"/>
  <c r="H14" i="24"/>
  <c r="H16" i="24" s="1"/>
  <c r="H24" i="24" s="1"/>
  <c r="H25" i="24" s="1"/>
  <c r="D130" i="26"/>
  <c r="D131" i="26"/>
  <c r="D132" i="26" s="1"/>
  <c r="D133" i="26" s="1"/>
  <c r="D149" i="26"/>
  <c r="D151" i="26" s="1"/>
  <c r="B31" i="80" l="1"/>
  <c r="C32" i="81"/>
  <c r="C163" i="81" s="1"/>
  <c r="D163" i="81"/>
  <c r="D168" i="81"/>
  <c r="B53" i="80"/>
  <c r="B112" i="80"/>
  <c r="B113" i="80" s="1"/>
  <c r="D166" i="81"/>
  <c r="B51" i="80"/>
  <c r="D161" i="81"/>
  <c r="C29" i="81"/>
  <c r="C161" i="81" s="1"/>
  <c r="B29" i="80"/>
  <c r="B102" i="80"/>
  <c r="B69" i="80"/>
  <c r="C73" i="80" s="1"/>
  <c r="D90" i="81" s="1"/>
  <c r="D97" i="81" s="1"/>
  <c r="D111" i="81" s="1"/>
  <c r="B21" i="80"/>
  <c r="C24" i="80" s="1"/>
  <c r="D77" i="81" s="1"/>
  <c r="B76" i="80"/>
  <c r="C82" i="80" s="1"/>
  <c r="D91" i="81" s="1"/>
  <c r="B93" i="80"/>
  <c r="C98" i="80" s="1"/>
  <c r="D94" i="81" s="1"/>
  <c r="B41" i="80"/>
  <c r="C46" i="80" s="1"/>
  <c r="D80" i="81" s="1"/>
  <c r="C80" i="81" s="1"/>
  <c r="B85" i="80"/>
  <c r="C90" i="80" s="1"/>
  <c r="D92" i="81" s="1"/>
  <c r="D167" i="81"/>
  <c r="B52" i="80"/>
  <c r="B54" i="80" s="1"/>
  <c r="D162" i="81"/>
  <c r="C31" i="81"/>
  <c r="C162" i="81" s="1"/>
  <c r="D30" i="81"/>
  <c r="B30" i="80"/>
  <c r="B32" i="80" s="1"/>
  <c r="D30" i="77"/>
  <c r="D162" i="77"/>
  <c r="C31" i="77"/>
  <c r="C162" i="77" s="1"/>
  <c r="B30" i="76"/>
  <c r="B32" i="76" s="1"/>
  <c r="D167" i="77"/>
  <c r="B52" i="76"/>
  <c r="D78" i="77"/>
  <c r="C77" i="77"/>
  <c r="B103" i="76"/>
  <c r="B104" i="76"/>
  <c r="C109" i="76" s="1"/>
  <c r="D100" i="77" s="1"/>
  <c r="D104" i="77" s="1"/>
  <c r="D112" i="77" s="1"/>
  <c r="D113" i="77" s="1"/>
  <c r="D115" i="77" s="1"/>
  <c r="D152" i="77" s="1"/>
  <c r="B53" i="76"/>
  <c r="D168" i="77"/>
  <c r="C166" i="77" s="1"/>
  <c r="D163" i="77"/>
  <c r="B31" i="76"/>
  <c r="C32" i="77"/>
  <c r="C163" i="77" s="1"/>
  <c r="C30" i="75"/>
  <c r="D33" i="75"/>
  <c r="B93" i="74"/>
  <c r="C98" i="74" s="1"/>
  <c r="D94" i="75" s="1"/>
  <c r="B76" i="74"/>
  <c r="C82" i="74" s="1"/>
  <c r="D91" i="75" s="1"/>
  <c r="B85" i="74"/>
  <c r="C90" i="74" s="1"/>
  <c r="D92" i="75" s="1"/>
  <c r="B69" i="74"/>
  <c r="C73" i="74" s="1"/>
  <c r="D90" i="75" s="1"/>
  <c r="D97" i="75" s="1"/>
  <c r="D111" i="75" s="1"/>
  <c r="B41" i="74"/>
  <c r="C46" i="74" s="1"/>
  <c r="D80" i="75" s="1"/>
  <c r="C80" i="75" s="1"/>
  <c r="B21" i="74"/>
  <c r="C24" i="74" s="1"/>
  <c r="D77" i="75" s="1"/>
  <c r="B102" i="74"/>
  <c r="C29" i="75"/>
  <c r="C161" i="75" s="1"/>
  <c r="B112" i="74"/>
  <c r="B113" i="74" s="1"/>
  <c r="D166" i="75"/>
  <c r="C166" i="75" s="1"/>
  <c r="B51" i="74"/>
  <c r="B54" i="74" s="1"/>
  <c r="D161" i="75"/>
  <c r="B29" i="74"/>
  <c r="B32" i="74" s="1"/>
  <c r="D12" i="23"/>
  <c r="D13" i="23" s="1"/>
  <c r="D24" i="23"/>
  <c r="D26" i="23" s="1"/>
  <c r="D28" i="23" s="1"/>
  <c r="D29" i="23" s="1"/>
  <c r="B1218" i="22"/>
  <c r="B1202" i="22"/>
  <c r="D4" i="23" s="1"/>
  <c r="D5" i="23" s="1"/>
  <c r="D6" i="23" s="1"/>
  <c r="B1210" i="22"/>
  <c r="D136" i="26"/>
  <c r="D141" i="26"/>
  <c r="D137" i="26"/>
  <c r="C59" i="80" l="1"/>
  <c r="C57" i="80"/>
  <c r="C35" i="80"/>
  <c r="C37" i="80"/>
  <c r="C30" i="81"/>
  <c r="D33" i="81"/>
  <c r="B103" i="80"/>
  <c r="B104" i="80" s="1"/>
  <c r="C109" i="80" s="1"/>
  <c r="D100" i="81" s="1"/>
  <c r="D104" i="81" s="1"/>
  <c r="D112" i="81" s="1"/>
  <c r="D113" i="81" s="1"/>
  <c r="D115" i="81" s="1"/>
  <c r="D78" i="81"/>
  <c r="C77" i="81"/>
  <c r="C166" i="81"/>
  <c r="C37" i="76"/>
  <c r="C35" i="76"/>
  <c r="B54" i="76"/>
  <c r="D33" i="77"/>
  <c r="C30" i="77"/>
  <c r="C57" i="74"/>
  <c r="C59" i="74"/>
  <c r="B103" i="74"/>
  <c r="B104" i="74" s="1"/>
  <c r="C109" i="74" s="1"/>
  <c r="D100" i="75" s="1"/>
  <c r="D104" i="75" s="1"/>
  <c r="D112" i="75" s="1"/>
  <c r="D113" i="75" s="1"/>
  <c r="D115" i="75" s="1"/>
  <c r="D69" i="75"/>
  <c r="D37" i="75"/>
  <c r="D38" i="75"/>
  <c r="D39" i="75"/>
  <c r="D40" i="75"/>
  <c r="D43" i="75"/>
  <c r="D44" i="75"/>
  <c r="D41" i="75"/>
  <c r="D42" i="75"/>
  <c r="C37" i="74"/>
  <c r="C38" i="74" s="1"/>
  <c r="D79" i="75" s="1"/>
  <c r="C35" i="74"/>
  <c r="D78" i="75"/>
  <c r="C77" i="75"/>
  <c r="D30" i="23"/>
  <c r="D31" i="23" s="1"/>
  <c r="D143" i="26"/>
  <c r="D152" i="26" s="1"/>
  <c r="D154" i="26" s="1"/>
  <c r="C4" i="24" s="1"/>
  <c r="E4" i="24" s="1"/>
  <c r="G4" i="24" s="1"/>
  <c r="D152" i="81" l="1"/>
  <c r="D69" i="81"/>
  <c r="D41" i="81"/>
  <c r="D39" i="81"/>
  <c r="D44" i="81"/>
  <c r="D42" i="81"/>
  <c r="D43" i="81"/>
  <c r="D38" i="81"/>
  <c r="D37" i="81"/>
  <c r="D40" i="81"/>
  <c r="C38" i="80"/>
  <c r="D79" i="81" s="1"/>
  <c r="C60" i="80"/>
  <c r="D82" i="81" s="1"/>
  <c r="D69" i="77"/>
  <c r="D39" i="77"/>
  <c r="D37" i="77"/>
  <c r="D40" i="77"/>
  <c r="D38" i="77"/>
  <c r="D41" i="77"/>
  <c r="D44" i="77"/>
  <c r="D43" i="77"/>
  <c r="D42" i="77"/>
  <c r="C57" i="76"/>
  <c r="C59" i="76"/>
  <c r="C60" i="76" s="1"/>
  <c r="D82" i="77" s="1"/>
  <c r="C38" i="76"/>
  <c r="D79" i="77" s="1"/>
  <c r="D152" i="75"/>
  <c r="C79" i="75"/>
  <c r="C164" i="75" s="1"/>
  <c r="D164" i="75"/>
  <c r="D45" i="75"/>
  <c r="D70" i="75" s="1"/>
  <c r="D72" i="75"/>
  <c r="D150" i="75" s="1"/>
  <c r="C60" i="74"/>
  <c r="D82" i="75" s="1"/>
  <c r="D47" i="23"/>
  <c r="D41" i="23"/>
  <c r="G9" i="24"/>
  <c r="D37" i="23"/>
  <c r="D36" i="23"/>
  <c r="H4" i="24"/>
  <c r="D164" i="81" l="1"/>
  <c r="C79" i="81"/>
  <c r="C164" i="81" s="1"/>
  <c r="D83" i="81"/>
  <c r="D45" i="81"/>
  <c r="D70" i="81" s="1"/>
  <c r="D72" i="81" s="1"/>
  <c r="D150" i="81" s="1"/>
  <c r="D165" i="81"/>
  <c r="C82" i="81"/>
  <c r="C165" i="81" s="1"/>
  <c r="D72" i="77"/>
  <c r="D150" i="77" s="1"/>
  <c r="C79" i="77"/>
  <c r="C164" i="77" s="1"/>
  <c r="D164" i="77"/>
  <c r="D83" i="77"/>
  <c r="C82" i="77"/>
  <c r="C165" i="77" s="1"/>
  <c r="D165" i="77"/>
  <c r="D45" i="77"/>
  <c r="D70" i="77" s="1"/>
  <c r="C82" i="75"/>
  <c r="C165" i="75" s="1"/>
  <c r="D165" i="75"/>
  <c r="D83" i="75"/>
  <c r="D169" i="75"/>
  <c r="H9" i="24"/>
  <c r="H20" i="24" s="1"/>
  <c r="D151" i="81" l="1"/>
  <c r="D154" i="81" s="1"/>
  <c r="D133" i="81"/>
  <c r="D134" i="81" s="1"/>
  <c r="D135" i="81" s="1"/>
  <c r="D136" i="81" s="1"/>
  <c r="D169" i="81"/>
  <c r="D151" i="77"/>
  <c r="D154" i="77" s="1"/>
  <c r="D133" i="77"/>
  <c r="D134" i="77"/>
  <c r="D135" i="77" s="1"/>
  <c r="D136" i="77" s="1"/>
  <c r="D169" i="77"/>
  <c r="D151" i="75"/>
  <c r="D154" i="75" s="1"/>
  <c r="D133" i="75"/>
  <c r="D134" i="75" s="1"/>
  <c r="D135" i="75" s="1"/>
  <c r="D136" i="75" s="1"/>
  <c r="D140" i="81" l="1"/>
  <c r="D139" i="81"/>
  <c r="D144" i="81"/>
  <c r="D144" i="77"/>
  <c r="D139" i="77"/>
  <c r="D140" i="77"/>
  <c r="D140" i="75"/>
  <c r="D139" i="75"/>
  <c r="D144" i="75"/>
  <c r="D146" i="81" l="1"/>
  <c r="D155" i="81" s="1"/>
  <c r="D157" i="81" s="1"/>
  <c r="C7" i="24" s="1"/>
  <c r="E7" i="24" s="1"/>
  <c r="G7" i="24" s="1"/>
  <c r="H7" i="24" s="1"/>
  <c r="D146" i="77"/>
  <c r="D155" i="77" s="1"/>
  <c r="D157" i="77" s="1"/>
  <c r="C6" i="24" s="1"/>
  <c r="E6" i="24" s="1"/>
  <c r="G6" i="24" s="1"/>
  <c r="H6" i="24" s="1"/>
  <c r="D146" i="75"/>
  <c r="D155" i="75" s="1"/>
  <c r="D157" i="75" s="1"/>
  <c r="C5" i="24" s="1"/>
  <c r="E5" i="24" s="1"/>
  <c r="G5" i="24" s="1"/>
  <c r="H5" i="24" l="1"/>
  <c r="G8" i="24"/>
  <c r="G10" i="24" l="1"/>
  <c r="H8" i="24"/>
  <c r="H19" i="24" s="1"/>
  <c r="G11" i="24" l="1"/>
  <c r="H11" i="24" s="1"/>
  <c r="H17" i="24"/>
  <c r="H21" i="24" s="1"/>
  <c r="H22" i="24" s="1"/>
  <c r="H10" i="24"/>
  <c r="H18" i="24" s="1"/>
  <c r="G26" i="24" l="1"/>
  <c r="G27" i="24" s="1"/>
  <c r="H23" i="24"/>
</calcChain>
</file>

<file path=xl/sharedStrings.xml><?xml version="1.0" encoding="utf-8"?>
<sst xmlns="http://schemas.openxmlformats.org/spreadsheetml/2006/main" count="4830" uniqueCount="890">
  <si>
    <t>Nº Processo</t>
  </si>
  <si>
    <t xml:space="preserve">Licitação Nº 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</si>
  <si>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</si>
  <si>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</si>
  <si>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</si>
  <si>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</si>
  <si>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</si>
  <si>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</si>
  <si>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</si>
  <si>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</si>
  <si>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</si>
  <si>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</si>
  <si>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</si>
  <si>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Salários da Categoria</t>
  </si>
  <si>
    <t>Identificação do Serviço</t>
  </si>
  <si>
    <t>Unidade de Medida</t>
  </si>
  <si>
    <t>Tipo de Serviço</t>
  </si>
  <si>
    <t>Código da Classificação Brasileira de Ocupações (CBO)</t>
  </si>
  <si>
    <t>Total</t>
  </si>
  <si>
    <t>Nutricionista</t>
  </si>
  <si>
    <t>2237-10</t>
  </si>
  <si>
    <t>5134-25</t>
  </si>
  <si>
    <t>5143-20</t>
  </si>
  <si>
    <t>Trabalhadores nas Empresas de Refeições Coletivas</t>
  </si>
  <si>
    <t>Composição da Remuneração</t>
  </si>
  <si>
    <t>Valor (R$)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</si>
  <si>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</si>
  <si>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</si>
  <si>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</si>
  <si>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</si>
  <si>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</si>
  <si>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</si>
  <si>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</si>
  <si>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</si>
  <si>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I</t>
  </si>
  <si>
    <t>Outros (especificar)</t>
  </si>
  <si>
    <t>Total da Remuneração</t>
  </si>
  <si>
    <t>Transporte</t>
  </si>
  <si>
    <t>A.1</t>
  </si>
  <si>
    <t>Crédito PIS/COFINS</t>
  </si>
  <si>
    <t>B.1</t>
  </si>
  <si>
    <t>C.1</t>
  </si>
  <si>
    <t>E.1</t>
  </si>
  <si>
    <t>Cesta Natalina - Cláusula Décima Sexta CCT</t>
  </si>
  <si>
    <t>F.1</t>
  </si>
  <si>
    <t>Insumos Diversos</t>
  </si>
  <si>
    <t>Uniformes</t>
  </si>
  <si>
    <t>Materiais</t>
  </si>
  <si>
    <t>Equipamentos</t>
  </si>
  <si>
    <t>D.1</t>
  </si>
  <si>
    <t>4.1</t>
  </si>
  <si>
    <t>%</t>
  </si>
  <si>
    <t>INSS</t>
  </si>
  <si>
    <t>INCRA</t>
  </si>
  <si>
    <t>Salário Educação</t>
  </si>
  <si>
    <t>FGTS</t>
  </si>
  <si>
    <t>SEBRAE</t>
  </si>
  <si>
    <t>TOTAL</t>
  </si>
  <si>
    <t>4.2</t>
  </si>
  <si>
    <t>Adicional de Férias</t>
  </si>
  <si>
    <t>Provisão para Rescisão</t>
  </si>
  <si>
    <t>Férias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</si>
  <si>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</si>
  <si>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</si>
  <si>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</si>
  <si>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</si>
  <si>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</si>
  <si>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</si>
  <si>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PIS</t>
  </si>
  <si>
    <t>COFINS</t>
  </si>
  <si>
    <t>G.1</t>
  </si>
  <si>
    <t>UNIFORMES - Nutricionista e Técnico em Nutrição</t>
  </si>
  <si>
    <t>ITEM</t>
  </si>
  <si>
    <t>CUSTO UNITÁRIO (R$)</t>
  </si>
  <si>
    <t>VIDA ÚTIL (MESES)</t>
  </si>
  <si>
    <t>QTD</t>
  </si>
  <si>
    <t xml:space="preserve">CUSTO MENSAL (R$) </t>
  </si>
  <si>
    <t>Rede de malha fina</t>
  </si>
  <si>
    <t>Calçados fechados</t>
  </si>
  <si>
    <t xml:space="preserve">Custo Total Mensal </t>
  </si>
  <si>
    <t>Calça social</t>
  </si>
  <si>
    <t>Calça de brim com cordão e elástico</t>
  </si>
  <si>
    <t>Camisa de brim sem botões e sem bolsos</t>
  </si>
  <si>
    <t>Bibico</t>
  </si>
  <si>
    <t xml:space="preserve">Avental impermeável com amarras </t>
  </si>
  <si>
    <t>Botas antiderrapantes</t>
  </si>
  <si>
    <t xml:space="preserve">Avental tecido com amarras </t>
  </si>
  <si>
    <t>UNIFORMES - Copeiros</t>
  </si>
  <si>
    <t>Touca de rede com aba</t>
  </si>
  <si>
    <t>Luvas de borracha reforçada</t>
  </si>
  <si>
    <r>
      <rPr>
        <b/>
        <sz val="10"/>
        <rFont val="Cambria"/>
        <family val="1"/>
      </rPr>
      <t>Per Capita</t>
    </r>
    <r>
      <rPr>
        <sz val="10"/>
        <rFont val="Cambria"/>
        <family val="1"/>
      </rPr>
      <t xml:space="preserve"> é a quantidade de alimento, em gramas ou mililitros, necessário a preparação da refeição para uma pessoa. Foi calculado levando-se em consideração o Fator de Correção (FC) e o Índice de Cocção (IC) dos alimentos.</t>
    </r>
  </si>
  <si>
    <t>R$ Un</t>
  </si>
  <si>
    <t>Per Capita (g)</t>
  </si>
  <si>
    <t>R$ Per Capita</t>
  </si>
  <si>
    <t>Cardápio 2</t>
  </si>
  <si>
    <t>VALOR CARDÁPIO 2 - MATÉRIA-PRIMA ALIMENTAR</t>
  </si>
  <si>
    <t>Cardápio 3</t>
  </si>
  <si>
    <t>VALOR CARDÁPIO 3 - MATÉRIA-PRIMA ALIMENTAR</t>
  </si>
  <si>
    <t>Cardápio 4</t>
  </si>
  <si>
    <t>VALOR CARDÁPIO 4 - MATÉRIA-PRIMA ALIMENTAR</t>
  </si>
  <si>
    <t>Cardápio 5</t>
  </si>
  <si>
    <t>Cardápio 6</t>
  </si>
  <si>
    <t>Cardápio 7</t>
  </si>
  <si>
    <t>VALOR CARDÁPIO 7 - MATÉRIA-PRIMA ALIMENTAR</t>
  </si>
  <si>
    <t>VALOR CARDÁPIO 8 - MATÉRIA-PRIMA ALIMENTAR</t>
  </si>
  <si>
    <t>Cardápio 10</t>
  </si>
  <si>
    <t>VALOR CARDÁPIO 10 - MATÉRIA-PRIMA ALIMENTAR</t>
  </si>
  <si>
    <t>Cardápio 11</t>
  </si>
  <si>
    <t>VALOR CARDÁPIO 11 - MATÉRIA-PRIMA ALIMENTAR</t>
  </si>
  <si>
    <t>Cardápio 12</t>
  </si>
  <si>
    <t>VALOR CARDÁPIO 12 - MATÉRIA-PRIMA ALIMENTAR</t>
  </si>
  <si>
    <t>Cardápio 13</t>
  </si>
  <si>
    <t>VALOR CARDÁPIO 13 - MATÉRIA-PRIMA ALIMENTAR</t>
  </si>
  <si>
    <t>Cardápio 14</t>
  </si>
  <si>
    <t>VALOR CARDÁPIO 14 - MATÉRIA-PRIMA ALIMENTAR</t>
  </si>
  <si>
    <t>Cardápio 15</t>
  </si>
  <si>
    <t>Cardápio 16</t>
  </si>
  <si>
    <t>Cardápio 17</t>
  </si>
  <si>
    <t>Cardápio 18</t>
  </si>
  <si>
    <t>Cardápio 19</t>
  </si>
  <si>
    <t>Cardápio 20</t>
  </si>
  <si>
    <t>Material</t>
  </si>
  <si>
    <t>Per capita</t>
  </si>
  <si>
    <t>R$ Per capita</t>
  </si>
  <si>
    <t>CUSTO MÉDIO DE DESCARTÁVEIS PARA PREPARO DE REFEIÇÕES</t>
  </si>
  <si>
    <t>Utensílios individuais descartáveis (copos, guardanapos, recipientes de sobremesa, palito dental, etc.)</t>
  </si>
  <si>
    <t>Descartáveis para preparo de refeições (sacos plásticos, filmes plásticos, luvas, máscaras, papel alumínio, cross-hatch, toucas,  etc)</t>
  </si>
  <si>
    <t>PRODUTOS DE HIGIENIZAÇÃO E LIMPEZA</t>
  </si>
  <si>
    <t>PAPEL TOALHA BRANCO</t>
  </si>
  <si>
    <t>CUSTO MÉDIO DE PRODUTOS DE HIGIENIZAÇÃO E LIMPEZA</t>
  </si>
  <si>
    <t xml:space="preserve"> MATERIAL DE HIGIENIZAÇÃO E LIMPEZA - VALOR MÉDIO UNITÁRIO DO CARDÁPIO </t>
  </si>
  <si>
    <t>RESUMINDO</t>
  </si>
  <si>
    <t>INSUMOS DE PRODUÇÃO</t>
  </si>
  <si>
    <t>I - GRUPO MATÉRIA-PRIMA ALIMENTAR</t>
  </si>
  <si>
    <t>VALOR MENSAL</t>
  </si>
  <si>
    <t>Gêneros/Produtos Alimentícios</t>
  </si>
  <si>
    <t>Valores com base na Planilha materia prima alimentar e não alimentar</t>
  </si>
  <si>
    <t>TOTAL MATÉRIA-PRIMA ALIMENTAR</t>
  </si>
  <si>
    <t>II - GRUPO MATÉRIA-PRIMA NÃO ALIMENTAR</t>
  </si>
  <si>
    <t>frasco 100 mL</t>
  </si>
  <si>
    <t>Escabin</t>
  </si>
  <si>
    <t>TOTAL MATÉRIA-PRIMA NÃO-ALIMENTAR</t>
  </si>
  <si>
    <t>III - CUSTOS DIVERSOS</t>
  </si>
  <si>
    <t>Manutenção de Equipamentos</t>
  </si>
  <si>
    <t>Valores com base na experiência de outros contratos e não passíveis de redução de preços por todos os licitantes, quando da apresentação da planilha atualizada - preços já incluem o Crédito PIS/COFINS. OBS: Todos os equipamentos são novos, não carecendo de maiores manutenções</t>
  </si>
  <si>
    <t>Produtos de Higienização e Limpeza</t>
  </si>
  <si>
    <t>Crédito PIS/COFINS de Produtos de Higienização e Limpeza</t>
  </si>
  <si>
    <t>Reposição de Utensílios</t>
  </si>
  <si>
    <t>Valores com base na experiência de outros contratos e não passíveis de redução de preços por todos os licitantes, quando da apresentação da planilha atualizada - preços já incluem o Crédito PIS/COFINS.</t>
  </si>
  <si>
    <t>Controle Integrado de Pragas</t>
  </si>
  <si>
    <t>Valores globais, já com crédito PIS/COFINS</t>
  </si>
  <si>
    <t>Manutenção Predial</t>
  </si>
  <si>
    <t>Valores com base na experiência de outros contratos e não passíveis de redução de preços por todos os licitantes, quando da apresentação da planilha atualizada - preços já incluem o Crédito PIS/COFINS</t>
  </si>
  <si>
    <t>Análises Microbiológicas</t>
  </si>
  <si>
    <t>Outros (Especificar)</t>
  </si>
  <si>
    <t>TOTAL DOS CUSTOS DIVERSOS</t>
  </si>
  <si>
    <t>IV - SUBTOTAL ( TOTAL I + TOTAL II + TOTAL III)</t>
  </si>
  <si>
    <t>V - CUSTOS INDIRETOS</t>
  </si>
  <si>
    <t>VI - LUCRO</t>
  </si>
  <si>
    <t>VII - SUBTOTAL + CUSTOS INDIRETOS + LUCRO = PO</t>
  </si>
  <si>
    <t>VIII - VALOR MENSAL DOS INSUMOS DE PRODUÇÃO (INCLUINDO OS TRIBUTOS) = PO/(1-TO)</t>
  </si>
  <si>
    <t>OBS: TO = % TOTAL DOS TRIBUTOS</t>
  </si>
  <si>
    <t>IX - DISCRIMINAÇÃO DOS TRIBUTOS</t>
  </si>
  <si>
    <t>TRIBUTOS FEDERAIS (EXCETO IRPJ E CSLL)</t>
  </si>
  <si>
    <t>OUTROS(ESPECIFICAR)</t>
  </si>
  <si>
    <t>TRIBUTOS ESTADUAIS/MUNICIPAIS</t>
  </si>
  <si>
    <t>ISSQN ou ISS</t>
  </si>
  <si>
    <t>OUTROS TRIBUTOS</t>
  </si>
  <si>
    <t>ESPECIFICAR</t>
  </si>
  <si>
    <t>Total dos Tributos</t>
  </si>
  <si>
    <t>Obs: Para a discriminação dos tributos as empresas deverão aplicar o respectivo percentual do tributo sobre o valor mensal dos serviços(incluindo os tributos)</t>
  </si>
  <si>
    <t>QUADRO-RESUMO – VALOR MENSAL DOS SERVIÇOS</t>
  </si>
  <si>
    <t>Tipo de serviço</t>
  </si>
  <si>
    <t>Valor proposto por empregado</t>
  </si>
  <si>
    <t>Qtde de empregados por posto</t>
  </si>
  <si>
    <t>Valor proposto por posto</t>
  </si>
  <si>
    <t>Qtde de postos</t>
  </si>
  <si>
    <t>Total mensal do serviço com mão de obra</t>
  </si>
  <si>
    <t>Parcela Mensal dos Tributos</t>
  </si>
  <si>
    <t>(A)</t>
  </si>
  <si>
    <t>(B)</t>
  </si>
  <si>
    <t>(C)</t>
  </si>
  <si>
    <t>(D) = (B x C)</t>
  </si>
  <si>
    <t>(E)</t>
  </si>
  <si>
    <t>(F) = (D x E)</t>
  </si>
  <si>
    <t>II</t>
  </si>
  <si>
    <t>VALOR MENSAL DA MÃO-DE-OBRA</t>
  </si>
  <si>
    <t>VALOR MENSAL DOS INSUMOS DE PRODUÇÃO</t>
  </si>
  <si>
    <t>VALOR MENSAL DOS SERVIÇOS</t>
  </si>
  <si>
    <t>DISCRIMINAÇÃO DO VALOR DA REFEIÇÃO</t>
  </si>
  <si>
    <t>QUANTIDADE DE DIAS ÚTEIS NO MÊS</t>
  </si>
  <si>
    <t>QUANTIDADE DE REFEIÇÕES/MÊS</t>
  </si>
  <si>
    <t>PARCELA DOS TRIBUTOS</t>
  </si>
  <si>
    <t>PARCELA REFERENTE AOS INSUMOS DE PRODUÇÃO</t>
  </si>
  <si>
    <t>CUSTO MENSAL PARA OS ESTUDANTES, CONSIDERANDO 100% DAS REFEIÇÕES VENDIDAS A ELES</t>
  </si>
  <si>
    <t>VALOR MENSAL DOS SERVIÇOS APÓS O ARREDONDAMENTO</t>
  </si>
  <si>
    <t>VALOR DOS SERVIÇOS PARA UM PERÍODO DE 12 MESES APÓS O ARREDONDAMENTO</t>
  </si>
  <si>
    <t>Divisor de Horas no mês - CCT</t>
  </si>
  <si>
    <t>Total de Dias do Ano</t>
  </si>
  <si>
    <t>Total de Dias Trabalhados no Mês por empregado</t>
  </si>
  <si>
    <t>Salário-Base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</si>
  <si>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</si>
  <si>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</si>
  <si>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</si>
  <si>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</si>
  <si>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</si>
  <si>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</si>
  <si>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</si>
  <si>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</si>
  <si>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</si>
  <si>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Aviso Prévio Indenizado (Módulo 3)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</si>
  <si>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</si>
  <si>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</si>
  <si>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</si>
  <si>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</si>
  <si>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</si>
  <si>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</si>
  <si>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13º Salário</t>
  </si>
  <si>
    <t xml:space="preserve">Férias 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</si>
  <si>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</si>
  <si>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</si>
  <si>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</si>
  <si>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</si>
  <si>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</si>
  <si>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</si>
  <si>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</si>
  <si>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</si>
  <si>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</si>
  <si>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</si>
  <si>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</si>
  <si>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</si>
  <si>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</si>
  <si>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</si>
  <si>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</si>
  <si>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</si>
  <si>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</si>
  <si>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</si>
  <si>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</si>
  <si>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</si>
  <si>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</si>
  <si>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</si>
  <si>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</si>
  <si>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</si>
  <si>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</si>
  <si>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</si>
  <si>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</si>
  <si>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</si>
  <si>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</si>
  <si>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</si>
  <si>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</si>
  <si>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</si>
  <si>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</si>
  <si>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</si>
  <si>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</si>
  <si>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</si>
  <si>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</si>
  <si>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</si>
  <si>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</si>
  <si>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</si>
  <si>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</si>
  <si>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</si>
  <si>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</si>
  <si>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</si>
  <si>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</si>
  <si>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</si>
  <si>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</si>
  <si>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</si>
  <si>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</si>
  <si>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</si>
  <si>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</si>
  <si>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</si>
  <si>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Adicional de Periculosidade</t>
  </si>
  <si>
    <t>Adicional de Insalubridade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</si>
  <si>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</si>
  <si>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</si>
  <si>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</si>
  <si>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</si>
  <si>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Férias e Adicional de Férias</t>
  </si>
  <si>
    <t>B.2</t>
  </si>
  <si>
    <t>Sub-Módulo 2.2 - Encargos Previdenciários (GPS), Fundo de Garantia por Tempo de Serviço (FGTS) e outras contribuições</t>
  </si>
  <si>
    <t>2.2</t>
  </si>
  <si>
    <t>GPS, FGTS e outras contribuições</t>
  </si>
  <si>
    <t>RAT/ FAP(Risco ambiental do trabalho)</t>
  </si>
  <si>
    <t>SESC ou SESI</t>
  </si>
  <si>
    <t>SENAI - SENAC</t>
  </si>
  <si>
    <t>Sub-Módulo 2.3 - Benefícios Mensais e Diários</t>
  </si>
  <si>
    <t>2.3</t>
  </si>
  <si>
    <t>Benefícios Mensais e Diários</t>
  </si>
  <si>
    <t>Vale compras - Cláusula Décima primeira CCT</t>
  </si>
  <si>
    <t>Auxílio-Refeição/Alimentação</t>
  </si>
  <si>
    <t>Auxílio Saúde</t>
  </si>
  <si>
    <t>Auxílio creche - Cláusula décima terceira CCT</t>
  </si>
  <si>
    <t>Contribuição Assistencial Patronal - Cláusula 42° CCT</t>
  </si>
  <si>
    <t>Cesta Natalina - Cláusula Décima Primeira CCT</t>
  </si>
  <si>
    <t>Outros (Seguro de Vida / Invalidez / Auxílio Funeral)</t>
  </si>
  <si>
    <t>H.1</t>
  </si>
  <si>
    <t>Quadro Resumo do Módulo 2 - Encargos e Benefícios anuais, mensais e diários</t>
  </si>
  <si>
    <t>Encargos e Benefícios Anuais, Mensais e Diários</t>
  </si>
  <si>
    <t>Módulo 3 - 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</si>
  <si>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</si>
  <si>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</si>
  <si>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</si>
  <si>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</si>
  <si>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</si>
  <si>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</si>
  <si>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</si>
  <si>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</si>
  <si>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Ausências Legais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</si>
  <si>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</si>
  <si>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</si>
  <si>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</si>
  <si>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</si>
  <si>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</si>
  <si>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</si>
  <si>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</si>
  <si>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</si>
  <si>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</si>
  <si>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</si>
  <si>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Quadro-Resumo do Módulo 4 - Custo de Reposição do Profissional Ausente</t>
  </si>
  <si>
    <t>Total das Ausências Legais</t>
  </si>
  <si>
    <t>Módulo 5 - Insumos Diversos</t>
  </si>
  <si>
    <t>Módulo 6 - Custos Indiretos, Tributos e Lucro</t>
  </si>
  <si>
    <t>Tributos Federais</t>
  </si>
  <si>
    <t>C.1.1</t>
  </si>
  <si>
    <t>C.1.2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</si>
  <si>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</si>
  <si>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</si>
  <si>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</si>
  <si>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</si>
  <si>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</si>
  <si>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</si>
  <si>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</si>
  <si>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</si>
  <si>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</si>
  <si>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</si>
  <si>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</si>
  <si>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</si>
  <si>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</si>
  <si>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</si>
  <si>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</si>
  <si>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</si>
  <si>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</si>
  <si>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</si>
  <si>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</si>
  <si>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</si>
  <si>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Reserva Mensal para o Pagamento de Encargos Trabalhistas</t>
  </si>
  <si>
    <t>Incidência do Sub-Modulo 2.2 sobre 13º Salário</t>
  </si>
  <si>
    <t>F.2</t>
  </si>
  <si>
    <t>Incidência do Sub-Modulo 2.2 sobre Férias</t>
  </si>
  <si>
    <t>F.3</t>
  </si>
  <si>
    <t>Incidência do Sub-Modulo 2.2 sobre Adicional de Férias</t>
  </si>
  <si>
    <r>
      <rPr>
        <vertAlign val="superscript"/>
        <sz val="10"/>
        <color theme="1"/>
        <rFont val="Spranq eco sans"/>
        <family val="2"/>
      </rPr>
      <t xml:space="preserve">(1) </t>
    </r>
    <r>
      <rPr>
        <sz val="10"/>
        <rFont val="Arial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</si>
  <si>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t>Adicional Noturno</t>
  </si>
  <si>
    <t>Adicional de Hora Noturna Reduzida</t>
  </si>
  <si>
    <t>DSR sobre o Adicional Noturno</t>
  </si>
  <si>
    <t>Adicional de Hora Extra no Feriado Trabalhado</t>
  </si>
  <si>
    <t>DSR sobre a Hora Extra no Feriado Trabalhado</t>
  </si>
  <si>
    <t>Adicional de Liderança / Gratificação de Encarregado</t>
  </si>
  <si>
    <t>J</t>
  </si>
  <si>
    <t>Intervalo Intrajornada (caso o empregado trabalhe no periodo destinado)</t>
  </si>
  <si>
    <t>K</t>
  </si>
  <si>
    <t>Auxílio Saúde - Cláusula Décima Nona CCT</t>
  </si>
  <si>
    <t>OBS. O uniforme dos nutricionistas e técnicos deverá ser diferenciado dos demais colaboradores</t>
  </si>
  <si>
    <t>Alíquota mensal de Recolhimento do FGTS</t>
  </si>
  <si>
    <t>III</t>
  </si>
  <si>
    <t>IV</t>
  </si>
  <si>
    <t>CÁLCULO DE CUSTO DA REFEIÇÃO CONSIDERANDO MATÉRIA-PRIMA ALIMENTAR, MATÉRIA-PRIMA NÃO ALIMENTAR E MATERIAIS DE LIMPEZA</t>
  </si>
  <si>
    <t>MÉDIA DE CUSTO DE GÊNEROS FIXOS</t>
  </si>
  <si>
    <t>ALHO - KG</t>
  </si>
  <si>
    <t>SALSA</t>
  </si>
  <si>
    <t>Almoço - segunda a sexta</t>
  </si>
  <si>
    <t>VALOR CARDÁPIO 1 - MATÉRIA-PRIMA ALIMENTAR</t>
  </si>
  <si>
    <r>
      <t xml:space="preserve">CUSTO MÉDIO MENSAL DA REFEIÇÃO </t>
    </r>
    <r>
      <rPr>
        <b/>
        <sz val="11"/>
        <color indexed="10"/>
        <rFont val="Calibri"/>
        <family val="2"/>
      </rPr>
      <t>SEM MÃO-DE-OBRA</t>
    </r>
    <r>
      <rPr>
        <b/>
        <sz val="11"/>
        <rFont val="Calibri"/>
        <family val="2"/>
      </rPr>
      <t xml:space="preserve"> 
(Custo médio individual da refeição X Total de refeições mensal)</t>
    </r>
  </si>
  <si>
    <t>4211-25</t>
  </si>
  <si>
    <r>
      <rPr>
        <b/>
        <sz val="12"/>
        <color indexed="10"/>
        <rFont val="Calibri"/>
        <family val="2"/>
      </rPr>
      <t xml:space="preserve"> GRUPO I</t>
    </r>
    <r>
      <rPr>
        <b/>
        <sz val="12"/>
        <color indexed="56"/>
        <rFont val="Calibri"/>
        <family val="2"/>
      </rPr>
      <t xml:space="preserve"> - MATÉRIA-PRIMA ALIMENTAR                                                                                                                                                                                                                                                                                                                                                       (Gêneros Alimentícios Variáveis e Fixos)                                                                                                                                   </t>
    </r>
    <r>
      <rPr>
        <b/>
        <sz val="12"/>
        <rFont val="Calibri"/>
        <family val="2"/>
      </rPr>
      <t xml:space="preserve">   Considerado o cálculo de 30 Cardápios    </t>
    </r>
    <r>
      <rPr>
        <b/>
        <sz val="12"/>
        <color indexed="56"/>
        <rFont val="Calibri"/>
        <family val="2"/>
      </rPr>
      <t xml:space="preserve">           </t>
    </r>
  </si>
  <si>
    <t>Cardápio 1</t>
  </si>
  <si>
    <t>Un</t>
  </si>
  <si>
    <t>Porção corrigida (gramas)</t>
  </si>
  <si>
    <t>PICADINHO MISTO</t>
  </si>
  <si>
    <t>COXAO MOLE / CHA DE DENTRO</t>
  </si>
  <si>
    <t>KG</t>
  </si>
  <si>
    <t>LINGUICA CALABRESA</t>
  </si>
  <si>
    <t xml:space="preserve">CEBOLA </t>
  </si>
  <si>
    <t>0,00800</t>
  </si>
  <si>
    <t xml:space="preserve">EXTRATO DE TOMATE </t>
  </si>
  <si>
    <t>0,00500</t>
  </si>
  <si>
    <t>FAROFA DE AMEIXA</t>
  </si>
  <si>
    <t xml:space="preserve">MARGARINA CREMOSA </t>
  </si>
  <si>
    <t xml:space="preserve">SALSA </t>
  </si>
  <si>
    <t>0,00100</t>
  </si>
  <si>
    <t xml:space="preserve">FARINHA DE MANDIOCA </t>
  </si>
  <si>
    <t>0,05000</t>
  </si>
  <si>
    <t xml:space="preserve">AMEIXA DESIDRATADA </t>
  </si>
  <si>
    <t>0,02000</t>
  </si>
  <si>
    <t xml:space="preserve">OLEO DE SOJA </t>
  </si>
  <si>
    <t>L</t>
  </si>
  <si>
    <t>ARROZ PARBOLIZADO</t>
  </si>
  <si>
    <t xml:space="preserve">ARROZ PARBOILIZADO </t>
  </si>
  <si>
    <t>ARROZ INTEGRAL</t>
  </si>
  <si>
    <t>FEIJAO CARIOCA</t>
  </si>
  <si>
    <t xml:space="preserve">FEIJAO CARIOCA </t>
  </si>
  <si>
    <t>SALADA DE RUCULA C/ CEBOLA E TOMATE</t>
  </si>
  <si>
    <t xml:space="preserve">RUCULA </t>
  </si>
  <si>
    <t xml:space="preserve">TOMATE SALADA </t>
  </si>
  <si>
    <t>0,07000</t>
  </si>
  <si>
    <t xml:space="preserve"> BANANA PRATA</t>
  </si>
  <si>
    <t>BANANA PRATA</t>
  </si>
  <si>
    <t>SUCO DE ABACAXI C/ HORTELA</t>
  </si>
  <si>
    <t>POLPA DE ABACAXI</t>
  </si>
  <si>
    <t xml:space="preserve">ACUCAR REFINADO </t>
  </si>
  <si>
    <t xml:space="preserve">ALHO </t>
  </si>
  <si>
    <t xml:space="preserve">VINAGRE TINTO </t>
  </si>
  <si>
    <t xml:space="preserve">SAL REFINADO </t>
  </si>
  <si>
    <t xml:space="preserve">SAL REFINADO SACHE </t>
  </si>
  <si>
    <t>UN</t>
  </si>
  <si>
    <t>FARINHA DE MANDIOCA</t>
  </si>
  <si>
    <t>OLEO DE SOJA</t>
  </si>
  <si>
    <t xml:space="preserve">AZEITE DE OLIVA </t>
  </si>
  <si>
    <t>STROGONOFF DE FRANGO</t>
  </si>
  <si>
    <t>FILE DE PEITO DE FRANGO</t>
  </si>
  <si>
    <t xml:space="preserve">CREME DE LEITE </t>
  </si>
  <si>
    <t>LEITE EM PO INTEGRAL</t>
  </si>
  <si>
    <t>0,00600</t>
  </si>
  <si>
    <t>FARINHA DE TRIGO</t>
  </si>
  <si>
    <t xml:space="preserve">KATCHUP </t>
  </si>
  <si>
    <t xml:space="preserve">MOLHO INGLES </t>
  </si>
  <si>
    <t>CHAMPIGNON / COGUMELO</t>
  </si>
  <si>
    <t>0,00900</t>
  </si>
  <si>
    <t>BATATA SAUTE</t>
  </si>
  <si>
    <t>MARGARINA CREMOSA C/</t>
  </si>
  <si>
    <t>0,00200</t>
  </si>
  <si>
    <t>BATATA INGLESA C/ CASCA</t>
  </si>
  <si>
    <t>FEIJAO PRETO</t>
  </si>
  <si>
    <t xml:space="preserve">FEIJAO PRETO </t>
  </si>
  <si>
    <t>SALADA DE ALFACE C/ TOMATE E PETIT-</t>
  </si>
  <si>
    <t xml:space="preserve">ALFACE CRESPA </t>
  </si>
  <si>
    <t>ERVILHA EM CONSERVA</t>
  </si>
  <si>
    <t>MELANCIA A FRANCESA</t>
  </si>
  <si>
    <t xml:space="preserve">MELANCIA </t>
  </si>
  <si>
    <t>0,25000</t>
  </si>
  <si>
    <t>SUCO DE ACEROLA POLPA</t>
  </si>
  <si>
    <t>POLPA DE LARANJA</t>
  </si>
  <si>
    <t>ALHO</t>
  </si>
  <si>
    <t>SAL REFINADO</t>
  </si>
  <si>
    <t>BIFE ACEBOLADO</t>
  </si>
  <si>
    <t>COXAO MOLE / CHA DE</t>
  </si>
  <si>
    <t>0,06000</t>
  </si>
  <si>
    <t>VAGEM REFOGADA</t>
  </si>
  <si>
    <t xml:space="preserve">    </t>
  </si>
  <si>
    <t>VAGEM</t>
  </si>
  <si>
    <t>SOPA DE FUBA C/ COUVE</t>
  </si>
  <si>
    <t>0,00080</t>
  </si>
  <si>
    <t xml:space="preserve">COUVE MANTEIGA </t>
  </si>
  <si>
    <t xml:space="preserve">FUBA </t>
  </si>
  <si>
    <t>FEIJAO MULATINHO</t>
  </si>
  <si>
    <t xml:space="preserve">FEIJAO MULATINHO </t>
  </si>
  <si>
    <t>MACA</t>
  </si>
  <si>
    <t>MACA NACIONAL GALA</t>
  </si>
  <si>
    <t>SUCO DE CAJU</t>
  </si>
  <si>
    <t xml:space="preserve">POLPA DE CAJU </t>
  </si>
  <si>
    <t xml:space="preserve">ACUCAR REFINADO  </t>
  </si>
  <si>
    <t>ALMONDEGAS AO SUGO</t>
  </si>
  <si>
    <t xml:space="preserve">ALMONDEGA BOVINA </t>
  </si>
  <si>
    <t>CEBOLA</t>
  </si>
  <si>
    <t>TOMATE MOLHO</t>
  </si>
  <si>
    <t>PURE ROSE</t>
  </si>
  <si>
    <t xml:space="preserve">LEITE LONGA VIDA  </t>
  </si>
  <si>
    <t xml:space="preserve">MARGARINA CREMOSA C/  </t>
  </si>
  <si>
    <t xml:space="preserve">BATATA INGLESA </t>
  </si>
  <si>
    <t>BETERRABA</t>
  </si>
  <si>
    <t>ARROZ PARBOILIZADO</t>
  </si>
  <si>
    <t>SALADA DE CENOURA C/ AGRIAO</t>
  </si>
  <si>
    <t xml:space="preserve">AGRIAO </t>
  </si>
  <si>
    <t>0,02500</t>
  </si>
  <si>
    <t>CENOURA COZIDA</t>
  </si>
  <si>
    <t xml:space="preserve"> PERA</t>
  </si>
  <si>
    <t>PERA</t>
  </si>
  <si>
    <t>SUCO DE MANGA</t>
  </si>
  <si>
    <t xml:space="preserve">POLPA DE MANGA </t>
  </si>
  <si>
    <t>FRANGO XADREZ</t>
  </si>
  <si>
    <t xml:space="preserve">MARGARINA CREMOSA C/   </t>
  </si>
  <si>
    <t xml:space="preserve">PIMENTAO AMARELO </t>
  </si>
  <si>
    <t xml:space="preserve">PIMENTAO VERDE </t>
  </si>
  <si>
    <t xml:space="preserve">PIMENTAO VERMELHO  </t>
  </si>
  <si>
    <t xml:space="preserve">AMENDOIM </t>
  </si>
  <si>
    <t xml:space="preserve">MOLHO SHOYO </t>
  </si>
  <si>
    <t>ABOBORA SAUTE</t>
  </si>
  <si>
    <t xml:space="preserve">     </t>
  </si>
  <si>
    <t>MARGARINA CREMOSA</t>
  </si>
  <si>
    <t xml:space="preserve">ABOBORA   </t>
  </si>
  <si>
    <t>CEASAR SALAD</t>
  </si>
  <si>
    <t>IOGURTE NATURAL DESNATADO</t>
  </si>
  <si>
    <t xml:space="preserve">LEITE UHT INTEGRAL </t>
  </si>
  <si>
    <t>QUEIJO PARMESÃO</t>
  </si>
  <si>
    <t>QUEIJO MINAS</t>
  </si>
  <si>
    <t xml:space="preserve">ALFACE AMERICANA </t>
  </si>
  <si>
    <t>CROUTON (PAO DE FORMA TRAD.)</t>
  </si>
  <si>
    <t>COCADA MORENA</t>
  </si>
  <si>
    <t xml:space="preserve">DOCE DE COCADA MORENA  </t>
  </si>
  <si>
    <t xml:space="preserve"> SUCO DE UVA</t>
  </si>
  <si>
    <t xml:space="preserve">POLPA DE UVA </t>
  </si>
  <si>
    <t>VALOR CARDÁPIO 5 - MATÉRIA-PRIMA ALIMENTAR</t>
  </si>
  <si>
    <t xml:space="preserve"> GOULASH AO SHOYO</t>
  </si>
  <si>
    <t xml:space="preserve">TOMATE MOLHO </t>
  </si>
  <si>
    <t>0,00300</t>
  </si>
  <si>
    <t>EXTRATO DE TOMATE</t>
  </si>
  <si>
    <t>FAROFA DE OVOS</t>
  </si>
  <si>
    <t xml:space="preserve">MARGARINA CREMOSA    </t>
  </si>
  <si>
    <t xml:space="preserve">OVO DE GALINHA </t>
  </si>
  <si>
    <t>SOPA CREME DE CENOURA</t>
  </si>
  <si>
    <t xml:space="preserve">CENOURA  </t>
  </si>
  <si>
    <t xml:space="preserve">LARANJA PERA </t>
  </si>
  <si>
    <t>LARANJA PERA</t>
  </si>
  <si>
    <t>SUCO DE GOIABA</t>
  </si>
  <si>
    <t xml:space="preserve">POLPA DE GOIABA </t>
  </si>
  <si>
    <t>ACUCAR REFINADO</t>
  </si>
  <si>
    <t>VALOR CARDÁPIO 6 - MATÉRIA-PRIMA ALIMENTAR</t>
  </si>
  <si>
    <t>FILE DE FRANGO AO MOLHO DE MOSTARDA</t>
  </si>
  <si>
    <t xml:space="preserve">FILE DE PEITO DE FRANGO </t>
  </si>
  <si>
    <t xml:space="preserve">LIMAO </t>
  </si>
  <si>
    <t>AMIDO DE MILHO</t>
  </si>
  <si>
    <t xml:space="preserve">MOSTARDA CONDIMENTO   </t>
  </si>
  <si>
    <t>ABOBRINHA AO PARMESAO</t>
  </si>
  <si>
    <t xml:space="preserve">QUEIJO PARMESAO    </t>
  </si>
  <si>
    <t xml:space="preserve">ALECRIM </t>
  </si>
  <si>
    <t xml:space="preserve">ABOBRINHA    </t>
  </si>
  <si>
    <t xml:space="preserve">TOMATE MOLHO  </t>
  </si>
  <si>
    <t>SOPA MINESTRONE</t>
  </si>
  <si>
    <t>REPOLHO</t>
  </si>
  <si>
    <t>0,04000</t>
  </si>
  <si>
    <t>CENOURA</t>
  </si>
  <si>
    <t>BATATA INGLESA</t>
  </si>
  <si>
    <t>FEIJAO BRANCO</t>
  </si>
  <si>
    <t xml:space="preserve">FEIJAO PRETO    </t>
  </si>
  <si>
    <t>DOCE DE LEITE</t>
  </si>
  <si>
    <t xml:space="preserve">DOCE DE LEITE </t>
  </si>
  <si>
    <t>Cardápio 8</t>
  </si>
  <si>
    <t>BIFE AO MOLHO VINHO C/ CHAMPGNON</t>
  </si>
  <si>
    <t xml:space="preserve">VINHO TINTO  </t>
  </si>
  <si>
    <t xml:space="preserve">CHAMPIGNON / COGUMELO  </t>
  </si>
  <si>
    <t xml:space="preserve">MACARRAO PARAFUSO AO ALHO E OLEO    </t>
  </si>
  <si>
    <t>ÓLEO DE SOJA</t>
  </si>
  <si>
    <t>MACARRAO PARAFUSO</t>
  </si>
  <si>
    <t xml:space="preserve"> SALADA DE ACELGA C/ TOMATE</t>
  </si>
  <si>
    <t xml:space="preserve">ACELGA </t>
  </si>
  <si>
    <t xml:space="preserve">ORÉGANO DESIDRATADO </t>
  </si>
  <si>
    <t xml:space="preserve"> TANGERINA</t>
  </si>
  <si>
    <t>TANGERINA PONKAN</t>
  </si>
  <si>
    <t xml:space="preserve"> SUCO DE GOIABA</t>
  </si>
  <si>
    <t>POLPA DE GOIABA</t>
  </si>
  <si>
    <t>Cardápio 9</t>
  </si>
  <si>
    <t xml:space="preserve"> FILE DE PEIXE A MILANESA</t>
  </si>
  <si>
    <t xml:space="preserve">FILE DE MERLUZA </t>
  </si>
  <si>
    <t xml:space="preserve">COENTRO </t>
  </si>
  <si>
    <t xml:space="preserve">LIMAO    </t>
  </si>
  <si>
    <t xml:space="preserve">FARINHA DE ROSCA </t>
  </si>
  <si>
    <t xml:space="preserve">FARINHA DE TRIGO </t>
  </si>
  <si>
    <t>CREME DE ESPINAFRE</t>
  </si>
  <si>
    <t xml:space="preserve">ESPINAFRE </t>
  </si>
  <si>
    <t>0,12000</t>
  </si>
  <si>
    <t>SALADA DE TOMATE C/ ALFACE ROXA</t>
  </si>
  <si>
    <t xml:space="preserve">ALFACE ROXA </t>
  </si>
  <si>
    <t>SUCO DE UVA</t>
  </si>
  <si>
    <t>HG</t>
  </si>
  <si>
    <t>VALOR CARDÁPIO 9 - MATÉRIA-PRIMA ALIMENTAR</t>
  </si>
  <si>
    <t>GOULASH MISTO</t>
  </si>
  <si>
    <t xml:space="preserve">LINGUICA CALABRESA </t>
  </si>
  <si>
    <t>CENOURA PALITO C/ SALSA</t>
  </si>
  <si>
    <t xml:space="preserve">CENOURA </t>
  </si>
  <si>
    <t>SALADA DE RUCULA</t>
  </si>
  <si>
    <t>TOMATE SALADA</t>
  </si>
  <si>
    <t xml:space="preserve">UVA PASSA PRETA </t>
  </si>
  <si>
    <t>GOIABA</t>
  </si>
  <si>
    <t xml:space="preserve">GOIABA VERMELHA </t>
  </si>
  <si>
    <t>SUCO DE MARACUJA</t>
  </si>
  <si>
    <t>POLPA DE MARACUJA</t>
  </si>
  <si>
    <t>SAL REFINADO SACHE</t>
  </si>
  <si>
    <t>FRANGO C/ QUIABO</t>
  </si>
  <si>
    <t xml:space="preserve"> COXA E SOBRECOXA DE FRANGO</t>
  </si>
  <si>
    <t xml:space="preserve">QUIABO </t>
  </si>
  <si>
    <t>POLENTA AO PARMESAO</t>
  </si>
  <si>
    <t>SALADA DE ALFACE ROXA</t>
  </si>
  <si>
    <t xml:space="preserve">PEPINO </t>
  </si>
  <si>
    <t>MAÇÃ</t>
  </si>
  <si>
    <t>MAÇÃ GALA</t>
  </si>
  <si>
    <t>SUCO DE ACEROLA</t>
  </si>
  <si>
    <t>BIFE A ITALIANA</t>
  </si>
  <si>
    <t xml:space="preserve">QUEIJO PARMESAO   </t>
  </si>
  <si>
    <t xml:space="preserve">MANJERICAO </t>
  </si>
  <si>
    <t>CHUCHU C/ SALSA</t>
  </si>
  <si>
    <t xml:space="preserve">CHUCHU </t>
  </si>
  <si>
    <t>SALADA DE ALFACE C/ ABACAXI E PASSAS</t>
  </si>
  <si>
    <t xml:space="preserve">ABACAXI </t>
  </si>
  <si>
    <t>DOCE DE BANANA</t>
  </si>
  <si>
    <t xml:space="preserve">DOCE DE BANANA  </t>
  </si>
  <si>
    <t>SUCO DE TANGERINA</t>
  </si>
  <si>
    <t>CUBOS DE FRANGO AO SHOYO</t>
  </si>
  <si>
    <t>BATATA GRATINADA</t>
  </si>
  <si>
    <t>SALADA DE ALFACE, PEPINO E TOMATE</t>
  </si>
  <si>
    <t>ALFACE AMERICANA</t>
  </si>
  <si>
    <t>POLPA DE UVA</t>
  </si>
  <si>
    <t>LOMBO SUÍNO AO MOLHO</t>
  </si>
  <si>
    <t>LOMBO SUÍNO</t>
  </si>
  <si>
    <t>LIMAO</t>
  </si>
  <si>
    <t>COUVE AO ALHO</t>
  </si>
  <si>
    <t>SOPA CREME DE ABOBORA</t>
  </si>
  <si>
    <t>0,00060</t>
  </si>
  <si>
    <t>ABOBORA</t>
  </si>
  <si>
    <t>MAMAO A FRANCESA</t>
  </si>
  <si>
    <t>MAMAO FORMOSA</t>
  </si>
  <si>
    <t>0,24000</t>
  </si>
  <si>
    <t>POLPA DE CAJU</t>
  </si>
  <si>
    <t>SILVEIRINHA</t>
  </si>
  <si>
    <t xml:space="preserve">AZEITONA VERDE EM CONSERVA  </t>
  </si>
  <si>
    <t xml:space="preserve">ERVILHA EM CONSERVA </t>
  </si>
  <si>
    <t>MILHO VERDE EM CONSERVA</t>
  </si>
  <si>
    <t>NHOQUE AO SUGO</t>
  </si>
  <si>
    <t>NHOQUE FRESCO DE BATATA</t>
  </si>
  <si>
    <t>SALADA DE CHICORIA C/ CEBOLA</t>
  </si>
  <si>
    <t xml:space="preserve">CHICORIA </t>
  </si>
  <si>
    <t xml:space="preserve">CEBOLA  </t>
  </si>
  <si>
    <t>MELAO</t>
  </si>
  <si>
    <t xml:space="preserve">MELAO </t>
  </si>
  <si>
    <t>VALOR CARDÁPIO 15 - MATÉRIA-PRIMA ALIMENTAR</t>
  </si>
  <si>
    <t>SUPREMO DE FRANGO</t>
  </si>
  <si>
    <t>CREME DE MILHO</t>
  </si>
  <si>
    <t xml:space="preserve">MILHO VERDE EM CONSERVA </t>
  </si>
  <si>
    <t>SALADA DE REPOLHO BICOLOR</t>
  </si>
  <si>
    <t xml:space="preserve">REPOLHO </t>
  </si>
  <si>
    <t xml:space="preserve">REPOLHO ROXO </t>
  </si>
  <si>
    <t xml:space="preserve">ACUCAR REFINADO   </t>
  </si>
  <si>
    <t>VALOR CARDÁPIO 16 - MATÉRIA-PRIMA ALIMENTAR</t>
  </si>
  <si>
    <t xml:space="preserve"> ISCA DE CARNE AO MOLHO DE VINHO</t>
  </si>
  <si>
    <t xml:space="preserve"> COXAO MOLE / CHA DE DENTRO</t>
  </si>
  <si>
    <t xml:space="preserve"> CEBOLA </t>
  </si>
  <si>
    <t xml:space="preserve"> MOLHO INGLES</t>
  </si>
  <si>
    <t xml:space="preserve"> VINHO TINTO </t>
  </si>
  <si>
    <t>PURE DE BATATA BAROA</t>
  </si>
  <si>
    <t>BATATA BAROA</t>
  </si>
  <si>
    <t xml:space="preserve"> ARROZ PARBOILIZADO </t>
  </si>
  <si>
    <t xml:space="preserve"> FEIJAO PRETO </t>
  </si>
  <si>
    <t>SALADA DE ALFACE CRESPA C/ TOMATE</t>
  </si>
  <si>
    <t>ALFACE CRESPA</t>
  </si>
  <si>
    <t>VALOR CARDÁPIO 17 - MATÉRIA-PRIMA ALIMENTAR</t>
  </si>
  <si>
    <t>FILE DE FRANGO AO MOLHO ESCURO</t>
  </si>
  <si>
    <t xml:space="preserve"> FILE DE PEITO DE FRANGO</t>
  </si>
  <si>
    <t>REPOLHO REFOGADO</t>
  </si>
  <si>
    <t xml:space="preserve"> ALHO </t>
  </si>
  <si>
    <t xml:space="preserve"> REPOLHO</t>
  </si>
  <si>
    <t xml:space="preserve"> SALSA </t>
  </si>
  <si>
    <t xml:space="preserve">  CEBOLA</t>
  </si>
  <si>
    <t>SALADA DE RÚCULA C/ BETERRABA</t>
  </si>
  <si>
    <t xml:space="preserve">RÚCULA </t>
  </si>
  <si>
    <t xml:space="preserve">  LARANJA PERA </t>
  </si>
  <si>
    <t xml:space="preserve">  POLPA DE CAJU</t>
  </si>
  <si>
    <t xml:space="preserve">  ACUCAR REFINADO </t>
  </si>
  <si>
    <t>VALOR CARDÁPIO 18 - MATÉRIA-PRIMA ALIMENTAR</t>
  </si>
  <si>
    <t>CARNE SECA AO MOLHO</t>
  </si>
  <si>
    <t xml:space="preserve">CARNE SECA / CHARQUE </t>
  </si>
  <si>
    <t xml:space="preserve"> PIMENTAO VERDE</t>
  </si>
  <si>
    <t xml:space="preserve"> EXTRATO DE TOMATE</t>
  </si>
  <si>
    <t>QUIBEBE</t>
  </si>
  <si>
    <t xml:space="preserve"> ABOBORA</t>
  </si>
  <si>
    <t xml:space="preserve"> CEBOLA</t>
  </si>
  <si>
    <t xml:space="preserve">  FEIJAO PRETO </t>
  </si>
  <si>
    <t>SALADA DE ACELGA</t>
  </si>
  <si>
    <t>0,03000</t>
  </si>
  <si>
    <t xml:space="preserve"> ACELGA </t>
  </si>
  <si>
    <t>0,09000</t>
  </si>
  <si>
    <t>MACA UND</t>
  </si>
  <si>
    <t xml:space="preserve">  MAÇA GALA</t>
  </si>
  <si>
    <t>SUCO DE ABACAXI</t>
  </si>
  <si>
    <t xml:space="preserve">  POLPA DE ABACAXI</t>
  </si>
  <si>
    <t xml:space="preserve"> ACUCAR REFINADO</t>
  </si>
  <si>
    <t>VALOR CARDÁPIO 19 - MATÉRIA-PRIMA ALIMENTAR</t>
  </si>
  <si>
    <t>POSTA DE PEIXE AO ESCABECHE</t>
  </si>
  <si>
    <t xml:space="preserve"> POSTAS DE CAÇÃO </t>
  </si>
  <si>
    <t xml:space="preserve"> COENTRO </t>
  </si>
  <si>
    <t xml:space="preserve"> CENOURA </t>
  </si>
  <si>
    <t xml:space="preserve"> PIMENTAO VERDE </t>
  </si>
  <si>
    <t>PIRAO</t>
  </si>
  <si>
    <t>0,00090</t>
  </si>
  <si>
    <t xml:space="preserve"> FARINHA DE MANDIOCA</t>
  </si>
  <si>
    <t xml:space="preserve"> FEIJAO PRETO</t>
  </si>
  <si>
    <t>SALADA DE CHUCHU COM CEBOLA</t>
  </si>
  <si>
    <t xml:space="preserve"> CHUCHU </t>
  </si>
  <si>
    <t>TANGERINA</t>
  </si>
  <si>
    <t xml:space="preserve">TANGERINA </t>
  </si>
  <si>
    <t xml:space="preserve"> POLPA DE GOIABA</t>
  </si>
  <si>
    <t>VALOR CARDÁPIO 20 - MATÉRIA-PRIMA ALIMENTAR</t>
  </si>
  <si>
    <t>Cardápio 21</t>
  </si>
  <si>
    <t>FRANGO ASSADO AO MOLHO DE ERVAS</t>
  </si>
  <si>
    <t>COXA E SOBRECOXA DE FRANGO</t>
  </si>
  <si>
    <t>MANJERONA</t>
  </si>
  <si>
    <t xml:space="preserve">VAGEM </t>
  </si>
  <si>
    <t>SOPA DE ERVILHA</t>
  </si>
  <si>
    <t xml:space="preserve">ERVILHA SECA </t>
  </si>
  <si>
    <t xml:space="preserve">FEIJAO BRANCO </t>
  </si>
  <si>
    <t>DOCE DE ABOBORA C/ COCO</t>
  </si>
  <si>
    <t>POLPA DE MANGA</t>
  </si>
  <si>
    <t>VALOR CARDÁPIO 21 - MATÉRIA-PRIMA ALIMENTAR</t>
  </si>
  <si>
    <t>Cardápio 22</t>
  </si>
  <si>
    <t>PICADINHO A MODA</t>
  </si>
  <si>
    <t xml:space="preserve">MACARRAO PARAFUSO AO ALHO E OLEO </t>
  </si>
  <si>
    <t xml:space="preserve">MACARRAO PARAFUSO </t>
  </si>
  <si>
    <t>SALADA DE ALFACE C/ BETERRABA E</t>
  </si>
  <si>
    <t>0,08000</t>
  </si>
  <si>
    <t>VALOR CARDÁPIO 22 - MATÉRIA-PRIMA ALIMENTAR</t>
  </si>
  <si>
    <t>Cardápio 23</t>
  </si>
  <si>
    <t>FILE DE FRANGO AO MOLHO DE ERVAS</t>
  </si>
  <si>
    <t xml:space="preserve">AIPO </t>
  </si>
  <si>
    <t>0,00070</t>
  </si>
  <si>
    <t>MANJERICAO</t>
  </si>
  <si>
    <t xml:space="preserve">BROCOLIS AO ALHO </t>
  </si>
  <si>
    <t xml:space="preserve">BROCOLIS </t>
  </si>
  <si>
    <t>SALADA DE GRAO DE BICO C/ TOMATE</t>
  </si>
  <si>
    <t>0,03500</t>
  </si>
  <si>
    <t xml:space="preserve">GRAO DE BICO </t>
  </si>
  <si>
    <t>SUCO DE TANGERINA POLPA</t>
  </si>
  <si>
    <t>POLPA DE MARACUJÁ</t>
  </si>
  <si>
    <t>VALOR CARDÁPIO 23 - MATÉRIA-PRIMA ALIMENTAR</t>
  </si>
  <si>
    <t>Cardápio 24</t>
  </si>
  <si>
    <t>BIFE A MILANESA</t>
  </si>
  <si>
    <t>CENOURA A MODA</t>
  </si>
  <si>
    <t xml:space="preserve">  SALSA </t>
  </si>
  <si>
    <t>AZEITONA VERDE EM CONSERVA</t>
  </si>
  <si>
    <t xml:space="preserve"> MILHO VERDE EM CONSERVA</t>
  </si>
  <si>
    <t>VALOR CARDÁPIO 24 - MATÉRIA-PRIMA ALIMENTAR</t>
  </si>
  <si>
    <t>Cardápio 25</t>
  </si>
  <si>
    <t>LOMBO SUÍNO À PORTUGUESA</t>
  </si>
  <si>
    <t>LIMÃO</t>
  </si>
  <si>
    <t>AZEITONA PRETA EM CONSERVA</t>
  </si>
  <si>
    <t>BATATA PALHA</t>
  </si>
  <si>
    <t xml:space="preserve">BATATA PALHA </t>
  </si>
  <si>
    <t>SALADA DE ALFACE C/ TOMATE</t>
  </si>
  <si>
    <t>VALOR CARDÁPIO 25 - MATÉRIA-PRIMA ALIMENTAR</t>
  </si>
  <si>
    <t>Cardápio 26</t>
  </si>
  <si>
    <t>ISCA DE FRANGO AO MOLHO</t>
  </si>
  <si>
    <t>SALADA DE CHICORIA AO VINAGRETE</t>
  </si>
  <si>
    <t>PIMENTAO VERDE</t>
  </si>
  <si>
    <t xml:space="preserve">MACA </t>
  </si>
  <si>
    <t>MACA GALA</t>
  </si>
  <si>
    <t>VALOR CARDÁPIO 26 - MATÉRIA-PRIMA ALIMENTAR</t>
  </si>
  <si>
    <t>Cardápio 27</t>
  </si>
  <si>
    <t>BIFE AO MOLHO DE VINHO</t>
  </si>
  <si>
    <t>SOPA DE ARROZ, CENOURA E HORTELÃ</t>
  </si>
  <si>
    <t>HORTELA</t>
  </si>
  <si>
    <t>ARROZ POLIDO</t>
  </si>
  <si>
    <t>VALOR CARDÁPIO 27 - MATÉRIA-PRIMA ALIMENTAR</t>
  </si>
  <si>
    <t>Cardápio 28</t>
  </si>
  <si>
    <t>FILÉ DE PEIXE A ESCABECHE</t>
  </si>
  <si>
    <t>FILÉ DE CAÇÃO</t>
  </si>
  <si>
    <t>FUBA - KG</t>
  </si>
  <si>
    <t>ERVILHA EM CONSERVA -</t>
  </si>
  <si>
    <t>SALADA VERDE C/ RUCULA</t>
  </si>
  <si>
    <t>VALOR CARDÁPIO 28 - MATÉRIA-PRIMA ALIMENTAR</t>
  </si>
  <si>
    <t>Cardápio 29</t>
  </si>
  <si>
    <t>PEIXE A MILANESA</t>
  </si>
  <si>
    <t>FILE DE CAÇÃO</t>
  </si>
  <si>
    <t>ABOBRINHA AO MOLHO</t>
  </si>
  <si>
    <t>ABOBRINHA</t>
  </si>
  <si>
    <t xml:space="preserve"> ARROZ PARBOILIZADO</t>
  </si>
  <si>
    <t>SALADA DE REPOLHO ROXO</t>
  </si>
  <si>
    <t>REPOLHO ROXO</t>
  </si>
  <si>
    <t xml:space="preserve">PIMENTAO VERMELHO </t>
  </si>
  <si>
    <t>VALOR CARDÁPIO 29 - MATÉRIA-PRIMA ALIMENTAR</t>
  </si>
  <si>
    <t>Cardápio 30</t>
  </si>
  <si>
    <t>STROGONOFF DE CARNE</t>
  </si>
  <si>
    <t>SALADA D ALFACE C/ BETERRABA E ERVILHA</t>
  </si>
  <si>
    <t xml:space="preserve">BETERRABA </t>
  </si>
  <si>
    <t xml:space="preserve"> POLPA DE UVA</t>
  </si>
  <si>
    <t>VALOR CARDÁPIO 30 - MATÉRIA-PRIMA ALIMENTAR</t>
  </si>
  <si>
    <r>
      <t xml:space="preserve"> MATÉRIA-PRIMA ALIMENTAR  - VALOR MÉDIO UNITÁRIO DO CARDÁPIO                                                                         (</t>
    </r>
    <r>
      <rPr>
        <b/>
        <sz val="10"/>
        <color indexed="10"/>
        <rFont val="Arial"/>
        <family val="2"/>
      </rPr>
      <t>Média dos 30 cardápios considerando os custos com gêneros alimentícios variáveis e fixos)</t>
    </r>
  </si>
  <si>
    <t>Medida</t>
  </si>
  <si>
    <t>R$ Med</t>
  </si>
  <si>
    <r>
      <rPr>
        <b/>
        <sz val="9"/>
        <rFont val="Cambria"/>
        <family val="1"/>
      </rPr>
      <t>Utensílios individuais descartáveis</t>
    </r>
    <r>
      <rPr>
        <sz val="9"/>
        <rFont val="Cambria"/>
        <family val="1"/>
      </rPr>
      <t xml:space="preserve"> (copos, guardanapos, recipientes de sobremesa, palito dental, etc.)</t>
    </r>
  </si>
  <si>
    <t>COPO DESCARTÁVEL P/ SUCO</t>
  </si>
  <si>
    <t xml:space="preserve">GUARDANAPO 30 X 32 </t>
  </si>
  <si>
    <t xml:space="preserve">PALITO DENTAL SACHE </t>
  </si>
  <si>
    <t>CUSTO MÉDIO DE UTENSÍLIOS INDIVIDUAIS DESCARTÁVEIS</t>
  </si>
  <si>
    <t>SACO DE AMOSTRA 15X35</t>
  </si>
  <si>
    <t>ROLO</t>
  </si>
  <si>
    <t>LUVA EM PVC</t>
  </si>
  <si>
    <t xml:space="preserve">LUVA PROCEDIMENTO N” 7 </t>
  </si>
  <si>
    <t>TOUCA DESCARTÁVEL</t>
  </si>
  <si>
    <t xml:space="preserve"> MATÉRIA-PRIMA NÃO ALIMENTAR  - VALOR MÉDIO UNITÁRIO DO CARDÁPIO </t>
  </si>
  <si>
    <r>
      <rPr>
        <b/>
        <sz val="11"/>
        <color indexed="10"/>
        <rFont val="Calibri"/>
        <family val="2"/>
      </rPr>
      <t xml:space="preserve"> GRUPO III</t>
    </r>
    <r>
      <rPr>
        <b/>
        <sz val="11"/>
        <color indexed="56"/>
        <rFont val="Calibri"/>
        <family val="2"/>
      </rPr>
      <t xml:space="preserve"> -  PRODUTOS DE HIGIENIZAÇÃO E LIMPEZA</t>
    </r>
  </si>
  <si>
    <t>SACO DE LIXO 100 L</t>
  </si>
  <si>
    <t>SACO DE LIXO 200 L</t>
  </si>
  <si>
    <t xml:space="preserve">SACO DE LIXO 240 L </t>
  </si>
  <si>
    <t xml:space="preserve">PANO BRANCO P/ CHAO </t>
  </si>
  <si>
    <t>PAPEL HIGIENICO BRANCO - ROLO</t>
  </si>
  <si>
    <t xml:space="preserve">PERFEX 300 M </t>
  </si>
  <si>
    <t xml:space="preserve">ALCOOL 70% </t>
  </si>
  <si>
    <t xml:space="preserve">DESINFETANTE </t>
  </si>
  <si>
    <t>PAR</t>
  </si>
  <si>
    <t xml:space="preserve">ESPONJA DUPLA FACE </t>
  </si>
  <si>
    <t xml:space="preserve">FIBRAÇO </t>
  </si>
  <si>
    <t>SANITIZANTE EM PÓ P/ HORTALIÇAS</t>
  </si>
  <si>
    <t>DETERGENTE LÍQ. CONCENTRADO</t>
  </si>
  <si>
    <t>SECANTE PARA MÁQUINA</t>
  </si>
  <si>
    <t>DESENGORDURANTE</t>
  </si>
  <si>
    <t>CUSTO MÉDIO MATÉRIA-PRIMA ALIMENTAR POR REFEIÇÃO</t>
  </si>
  <si>
    <t>CUSTO MÉDIO MATÉRIA-PRIMA NÃO ALIMENTAR POR REFEIÇÃO</t>
  </si>
  <si>
    <t>CUSTO MÉDIO DE MATERIAL DE HIGIENIZAÇÃO E LIMPEZA POR REFEIÇÃO</t>
  </si>
  <si>
    <t xml:space="preserve">QUANTITATIVO MÉDIO MENSAL DE REFEIÇÕES </t>
  </si>
  <si>
    <t>Almoço - sab, dom e feriados</t>
  </si>
  <si>
    <t>Jantar - segunda a sexta</t>
  </si>
  <si>
    <t>Jantar - sab, dom e feriados</t>
  </si>
  <si>
    <r>
      <rPr>
        <b/>
        <sz val="14"/>
        <color indexed="10"/>
        <rFont val="Cambria"/>
        <family val="1"/>
      </rPr>
      <t xml:space="preserve">CUSTO MÉDIO INDIVIDUAL DA REFEIÇÃO
</t>
    </r>
    <r>
      <rPr>
        <sz val="11"/>
        <rFont val="Cambria"/>
        <family val="1"/>
      </rPr>
      <t>(custo médio matéria-prima alimentar + custo médio matéria prima não alimentar + custo médio de material de higienização e limpeza)</t>
    </r>
  </si>
  <si>
    <r>
      <rPr>
        <b/>
        <sz val="11"/>
        <color indexed="10"/>
        <rFont val="Calibri"/>
        <family val="2"/>
      </rPr>
      <t>CUSTO MÉDIO MENSAL DA MATÉRIA-PRIMA ALIMENTAR</t>
    </r>
    <r>
      <rPr>
        <b/>
        <sz val="11"/>
        <rFont val="Calibri"/>
        <family val="2"/>
      </rPr>
      <t xml:space="preserve"> 
(Custo médio matéria-prima alimentar por refeição X Total de refeições mensal)</t>
    </r>
  </si>
  <si>
    <r>
      <rPr>
        <b/>
        <sz val="11"/>
        <color indexed="10"/>
        <rFont val="Calibri"/>
        <family val="2"/>
      </rPr>
      <t>CUSTO MÉDIO MENSAL DA MATÉRIA-PRIMA NÃO ALIMENTAR</t>
    </r>
    <r>
      <rPr>
        <b/>
        <sz val="11"/>
        <rFont val="Calibri"/>
        <family val="2"/>
      </rPr>
      <t xml:space="preserve"> 
(Custo médio matéria-prima não alimentar por refeição X Total de refeições mensal)</t>
    </r>
  </si>
  <si>
    <r>
      <rPr>
        <b/>
        <sz val="11"/>
        <color indexed="10"/>
        <rFont val="Calibri"/>
        <family val="2"/>
      </rPr>
      <t>CUSTO MÉDIO MENSAL DE MATERIAL DE HIGIENIZAÇÃO E LIMPEZA</t>
    </r>
    <r>
      <rPr>
        <b/>
        <sz val="11"/>
        <rFont val="Calibri"/>
        <family val="2"/>
      </rPr>
      <t xml:space="preserve"> 
(Custo médio material de higienização e limpeza por refeição X Total de refeições mensal)</t>
    </r>
  </si>
  <si>
    <t>IX</t>
  </si>
  <si>
    <t>QUANTIDADE DE REFEIÇÕES DIÁRIAS (segunda-feira a sexta-feira)</t>
  </si>
  <si>
    <t>PARCELA REFERENTE À MÃO-DE-OBRA</t>
  </si>
  <si>
    <t>CUSTO POR REFEIÇÃO PARA A UFRJ, CONSIDERANDO A REFEIÇÃO VENDIDA AO ESTUDANTE</t>
  </si>
  <si>
    <t>CUSTO MENSAL PARA A UFRJ, CONSIDERANDO 100% DE REFEIÇÕES VENDIDAS AOS ESTUDANTES</t>
  </si>
  <si>
    <t>44h - seg a sex</t>
  </si>
  <si>
    <t>6 x 1 - folga em três domingos</t>
  </si>
  <si>
    <t>blusa ou camisa social com manga curta</t>
  </si>
  <si>
    <t>UNIFORMES - Auxiliar de Serviços Gerais</t>
  </si>
  <si>
    <t>CLORO - L</t>
  </si>
  <si>
    <t>DETERGENTE ALC p/ COIFAS, GRELHAS,CHAPAS</t>
  </si>
  <si>
    <t xml:space="preserve">FITA FILME PVC 40/1000 </t>
  </si>
  <si>
    <t xml:space="preserve">BOBINA PLASTICA 5KG C/1000 </t>
  </si>
  <si>
    <r>
      <rPr>
        <b/>
        <sz val="11"/>
        <color indexed="10"/>
        <rFont val="Calibri"/>
        <family val="2"/>
      </rPr>
      <t xml:space="preserve"> GRUPO II</t>
    </r>
    <r>
      <rPr>
        <b/>
        <sz val="11"/>
        <color indexed="56"/>
        <rFont val="Calibri"/>
        <family val="2"/>
      </rPr>
      <t xml:space="preserve"> -  MATÉRIA-PRIMA NÃO ALIMENTAR 
(Utensílios Individuais Descartáveis  e Descartáveis para Preparo de Refeições)</t>
    </r>
  </si>
  <si>
    <t>QUENTINHAS DE ISOPOR C/TAMPA</t>
  </si>
  <si>
    <t>JALECO DESCARTÁVEL PARA VISITANTE</t>
  </si>
  <si>
    <t>Valores com base na Planilha materia prima alimentar, não alimentar e materiais eventuais</t>
  </si>
  <si>
    <t>6300 Refeições/dia (segunda a sexta-feira) + 1200 Refeições/dia (sabádos, domingos e feriados)</t>
  </si>
  <si>
    <t>Materiais de fornecimento em quantidade definida</t>
  </si>
  <si>
    <t>CUSTO DE MATERIAIS DE FORNECIMENTO EM QTD DEFINIDA</t>
  </si>
  <si>
    <r>
      <rPr>
        <b/>
        <sz val="11"/>
        <color indexed="10"/>
        <rFont val="Calibri"/>
        <family val="2"/>
      </rPr>
      <t xml:space="preserve"> GRUPO IV</t>
    </r>
    <r>
      <rPr>
        <b/>
        <sz val="11"/>
        <color indexed="56"/>
        <rFont val="Calibri"/>
        <family val="2"/>
      </rPr>
      <t xml:space="preserve"> -  MATERIAIS DE FORNECIMENTO EM QUANTIDADE DEFINIDA
(Obrigatória a entrega do quantitativo mensalmente)</t>
    </r>
  </si>
  <si>
    <t xml:space="preserve">CUSTO DOS MATERIAIS DE FORNECIMENTO EM QUANTIDADE DEFINIDA
</t>
  </si>
  <si>
    <r>
      <rPr>
        <b/>
        <sz val="9"/>
        <color indexed="8"/>
        <rFont val="Cambria"/>
        <family val="1"/>
      </rPr>
      <t>Descartáveis para preparo de refeições</t>
    </r>
    <r>
      <rPr>
        <sz val="9"/>
        <color indexed="8"/>
        <rFont val="Cambria"/>
        <family val="1"/>
      </rPr>
      <t xml:space="preserve"> (sacos plásticos, filmes plásticos, luvas, máscaras, papel alumínio, cross-hatch, etc)</t>
    </r>
  </si>
  <si>
    <t>PV</t>
  </si>
  <si>
    <t>Centro</t>
  </si>
  <si>
    <t>Mão-de-obra a contratar (em função da unidade de medida) - Restaurante Centro</t>
  </si>
  <si>
    <t>Mão-de-obra a contratar (em função da unidade de medida) - Restaurante Praia Vermelha</t>
  </si>
  <si>
    <t>MEMORIAL DE CÁLCULO - OPERADOR DE CAIXA 44H escala 5x2</t>
  </si>
  <si>
    <t>Operador de Caixa
44h - escala 5x2</t>
  </si>
  <si>
    <t>Copeiro
44h 
escala 5x2</t>
  </si>
  <si>
    <t>MEMORIAL DE CÁLCULO - COPEIRO 44h escala 5x2</t>
  </si>
  <si>
    <t>Auxiliar de Serviços Gerais
44h - escala 5x2</t>
  </si>
  <si>
    <t>MEMORIAL DE CÁLCULO - ASG 44h escala 5x2</t>
  </si>
  <si>
    <t>Operador de Caixa 5x2</t>
  </si>
  <si>
    <t>Copeiro 5x2</t>
  </si>
  <si>
    <t>Auxiliar de Serviços Gerais 5x2</t>
  </si>
  <si>
    <t>LT</t>
  </si>
  <si>
    <t>copo</t>
  </si>
  <si>
    <t>CARNE MOÍDA - COXÃO MOLE</t>
  </si>
  <si>
    <t xml:space="preserve"> MANGA PALMER</t>
  </si>
  <si>
    <t xml:space="preserve">SACO DE LIXO 40 L </t>
  </si>
  <si>
    <t>Jaleco branco manga longa em gabardine</t>
  </si>
  <si>
    <t>Touca em tecido</t>
  </si>
  <si>
    <t>Meia</t>
  </si>
  <si>
    <t>CUSTO DA REFEIÇÃO - valor arredondado com duas casas decimais</t>
  </si>
  <si>
    <t xml:space="preserve">Total de Refeições </t>
  </si>
  <si>
    <t>Total Diário</t>
  </si>
  <si>
    <t>Total Mensal</t>
  </si>
  <si>
    <t>Piso Mínimo Profissional  estabelecido pelo SINDICATO DOS TRABALHADORES NAS EMPRESAS DE REFEICOES COLETIVAS REFEICOES RAPIDAS(FAST FOOD) E AFINS DO ESTADO DO RIO DE JANEIRO - SINDIREFEICOES-RJ E SINDICATO DAS EMPR DE REF COLET D EST DO RIO DE JANEIRO. Os salários não poderão ser inferiores ao Projeto de Lei do Estado Rio de Janeiro nº 7898 DE 07 DE MARÇO DE 2018.</t>
  </si>
  <si>
    <t>VALOR DOS SERVIÇOS PARA UM PERÍODO DE 12 MESES</t>
  </si>
  <si>
    <t>CUSTO ANUAL PARA A UFRJ, CONSIDERANDO 100% DE REFEIÇÕES VENDIDAS AOS ESTUDANTES</t>
  </si>
  <si>
    <t>CUSTO ANUAL PARA OS ESTUDANTES, CONSIDERANDO 100% DAS REFEIÇÕES VENDIDAS A ELES</t>
  </si>
  <si>
    <t>OBS: O VALOR FINAL ACEITO PELA UFRJ NO SISTEMA COMPRASNET SERÁ O VALOR DOS SERVIÇOS PARA UM PERÍODO DE 12 MESES APÓS O ARREDONDAMENTO</t>
  </si>
  <si>
    <t>SINDICATO DOS NUTRICIONISTAS DO EST DO RIO DE JANEIRO CCT : RJ001504/2018</t>
  </si>
  <si>
    <t>Revogado pela IN 07/2018</t>
  </si>
  <si>
    <t>Intervalo de repouso e alimentação (somente se houver cobertura do profissional no período de intervalo para repouso e alimentação)</t>
  </si>
  <si>
    <t>DETERGENTE PARA MÁQUINA DE LAVAR</t>
  </si>
  <si>
    <t>COPINHO DESCARTÁVEL P/ DOCE</t>
  </si>
  <si>
    <t>Nutricionista 
44h - 5x2</t>
  </si>
  <si>
    <t>MEMORIAL DE CÁLCULO  - NUTRICIONISTA 44h 5x2</t>
  </si>
  <si>
    <t>Obs: Considerando 22 dias úteis (segunda a sexta)</t>
  </si>
  <si>
    <t>Mão-de-obra a contratar (em função da unidade de medida) - Restaurante Caxias</t>
  </si>
  <si>
    <t>CAXIAS</t>
  </si>
  <si>
    <t>CONJUNTO DE TALHERES (GARFO E FACA) DESCARTÁVEL</t>
  </si>
  <si>
    <t>UNIFORMES - Assistente Administrativo, Administrador de Edifícios, Operador de Caixa, Fiscal de Caixa</t>
  </si>
  <si>
    <t>Gêneros Alimentícios para Aquisição da Agricultura Familiar</t>
  </si>
  <si>
    <t>VALOR TOTAL DOS CARDÁPIOS</t>
  </si>
  <si>
    <t>PERCENTUAL ACRÉSCIMO REFERENTE A AGRICULTURA FAMILIAR</t>
  </si>
  <si>
    <t>VALOR TOTAL DO ACRÉSCIMO</t>
  </si>
  <si>
    <r>
      <rPr>
        <b/>
        <sz val="11"/>
        <color indexed="10"/>
        <rFont val="Calibri"/>
        <family val="2"/>
      </rPr>
      <t>CUSTO MÉDIO MENSAL DA MATÉRIA-PRIMA ALIMENTAR DA AGRICULTURA FAMILIAR</t>
    </r>
    <r>
      <rPr>
        <b/>
        <sz val="11"/>
        <rFont val="Calibri"/>
        <family val="2"/>
      </rPr>
      <t xml:space="preserve">
(acrescido 30% )</t>
    </r>
  </si>
  <si>
    <t>CUSTO MÉDIO MATÉRIA-PRIMA ALIMENTAR POR REFEIÇÃO (AGRICULTURA FAMILIAR)</t>
  </si>
  <si>
    <t>CCT 2019-2020 RJ002047/2018</t>
  </si>
  <si>
    <t>Contribuição Assistencial Patronal - Cláusula 44° CCT</t>
  </si>
  <si>
    <t>Auxílio creche - Cláusula Vigésima Terceira CCT</t>
  </si>
  <si>
    <t>Auxílio-Refeição/Alimentação - Cláusula 18° CCT</t>
  </si>
  <si>
    <t>Vale compras - Cláusula Décima Sétima CCT</t>
  </si>
  <si>
    <t xml:space="preserve">2018 - SINDICATO DOS TRABALHADORES NAS EMPRESAS DE REFEICOES COLETIVAS REFEICOES RAPIDAS(FAST FOOD) E AFINS DO ESTADO DO RIO DE JANEIRO - SINDIREFEICOES-RJ E SINDICATO DAS EMPR DE REF COLET D EST DO RIO DE JANEIRO / Registro no MTE RJ002047/2018 - Convenção Coletiva de Trabalho (CCT).
2017/2019 - SINDICATO DOS NUTRICIONISTAS DO EST DO RIO DE JANEIRO - SINDICATO DAS EMPR DE REF COLET D EST DO RIO DE JANEIRO  / Registro no MTE RJ001504/2018 - Convenção Coletiva de Trabalho (CCT)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</si>
</sst>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&quot;R$ &quot;#,##0.00_);&quot;(R$ &quot;#,##0.00\)"/>
    <numFmt numFmtId="166" formatCode="_(&quot;R$ &quot;* #,##0.00_);_(&quot;R$ &quot;* \(#,##0.00\);_(&quot;R$ &quot;* \-??_);_(@_)"/>
    <numFmt numFmtId="167" formatCode="&quot;R$ &quot;#,##0.00_);\(&quot;R$ &quot;#,##0.00\)"/>
    <numFmt numFmtId="168" formatCode="#,##0_ ;\-#,##0\ "/>
    <numFmt numFmtId="169" formatCode="dd/mmm/yyyy"/>
    <numFmt numFmtId="170" formatCode="&quot;R$&quot;\ #,##0.00"/>
    <numFmt numFmtId="171" formatCode="&quot;R$&quot;\ #,##0.000;[Red]\-&quot;R$&quot;\ #,##0.000"/>
    <numFmt numFmtId="172" formatCode="0.000000"/>
    <numFmt numFmtId="173" formatCode="&quot;R$ &quot;#,##0.000;[Red]&quot;-R$ &quot;#,##0.000"/>
    <numFmt numFmtId="174" formatCode="0.00000"/>
    <numFmt numFmtId="175" formatCode="&quot;R$ &quot;#,##0.00;[Red]&quot;-R$ &quot;#,##0.00"/>
    <numFmt numFmtId="176" formatCode="&quot;R$ &quot;#,##0.0000;[Red]&quot;-R$ &quot;#,##0.0000"/>
  </numFmts>
  <fonts count="78">
    <font>
      <sz val="10"/>
      <name val="Arial"/>
    </font>
    <font>
      <sz val="11"/>
      <color theme="1"/>
      <name val="Calibri"/>
      <family val="2"/>
      <scheme val="minor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60"/>
      <name val="Arial"/>
      <family val="2"/>
    </font>
    <font>
      <sz val="10"/>
      <color indexed="16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ambria"/>
      <family val="1"/>
    </font>
    <font>
      <b/>
      <sz val="10"/>
      <name val="Cambria"/>
      <family val="1"/>
    </font>
    <font>
      <b/>
      <sz val="10"/>
      <color indexed="10"/>
      <name val="Cambria"/>
      <family val="1"/>
    </font>
    <font>
      <sz val="8"/>
      <name val="Cambria"/>
      <family val="1"/>
    </font>
    <font>
      <b/>
      <sz val="14"/>
      <color indexed="9"/>
      <name val="Calibri"/>
      <family val="2"/>
    </font>
    <font>
      <sz val="16"/>
      <name val="Cambria"/>
      <family val="1"/>
    </font>
    <font>
      <b/>
      <sz val="12"/>
      <color indexed="56"/>
      <name val="Calibri"/>
      <family val="2"/>
    </font>
    <font>
      <b/>
      <sz val="11"/>
      <name val="Calibri"/>
      <family val="2"/>
    </font>
    <font>
      <b/>
      <sz val="8"/>
      <name val="Cambria"/>
      <family val="1"/>
    </font>
    <font>
      <sz val="8"/>
      <color indexed="8"/>
      <name val="Cambria"/>
      <family val="1"/>
    </font>
    <font>
      <sz val="11"/>
      <color indexed="8"/>
      <name val="Calibri"/>
      <family val="2"/>
    </font>
    <font>
      <b/>
      <sz val="8"/>
      <color indexed="10"/>
      <name val="Cambria"/>
      <family val="1"/>
    </font>
    <font>
      <sz val="8"/>
      <color indexed="10"/>
      <name val="Cambria"/>
      <family val="1"/>
    </font>
    <font>
      <b/>
      <sz val="10"/>
      <color indexed="10"/>
      <name val="Arial"/>
      <family val="2"/>
    </font>
    <font>
      <b/>
      <sz val="11"/>
      <color indexed="10"/>
      <name val="Cambria"/>
      <family val="1"/>
    </font>
    <font>
      <b/>
      <sz val="11"/>
      <color indexed="10"/>
      <name val="Calibri"/>
      <family val="2"/>
    </font>
    <font>
      <sz val="10"/>
      <color indexed="10"/>
      <name val="Cambria"/>
      <family val="1"/>
    </font>
    <font>
      <b/>
      <sz val="14"/>
      <color indexed="10"/>
      <name val="Cambria"/>
      <family val="1"/>
    </font>
    <font>
      <b/>
      <sz val="12"/>
      <name val="Cambria"/>
      <family val="1"/>
    </font>
    <font>
      <sz val="11"/>
      <name val="Cambria"/>
      <family val="1"/>
    </font>
    <font>
      <b/>
      <sz val="12"/>
      <color indexed="10"/>
      <name val="Cambria"/>
      <family val="1"/>
    </font>
    <font>
      <b/>
      <sz val="12"/>
      <color indexed="8"/>
      <name val="Cambria"/>
      <family val="1"/>
    </font>
    <font>
      <b/>
      <sz val="8"/>
      <name val="Bookman Old Style"/>
      <family val="1"/>
    </font>
    <font>
      <sz val="10"/>
      <color indexed="10"/>
      <name val="Arial"/>
      <family val="2"/>
    </font>
    <font>
      <sz val="10"/>
      <name val="Arial"/>
      <family val="2"/>
    </font>
    <font>
      <b/>
      <sz val="13"/>
      <color theme="1"/>
      <name val="Spranq eco sans"/>
      <family val="2"/>
    </font>
    <font>
      <sz val="10"/>
      <color theme="1"/>
      <name val="Spranq eco sans"/>
      <family val="2"/>
    </font>
    <font>
      <b/>
      <sz val="10"/>
      <color theme="1"/>
      <name val="Spranq eco sans"/>
      <family val="2"/>
    </font>
    <font>
      <i/>
      <sz val="10"/>
      <color theme="1"/>
      <name val="Spranq eco sans"/>
      <family val="2"/>
    </font>
    <font>
      <sz val="10"/>
      <color rgb="FFFF0000"/>
      <name val="Spranq eco sans"/>
      <family val="2"/>
    </font>
    <font>
      <sz val="8"/>
      <color theme="1"/>
      <name val="Spranq eco sans"/>
      <family val="2"/>
    </font>
    <font>
      <sz val="10"/>
      <name val="Spranq eco sans"/>
      <family val="2"/>
    </font>
    <font>
      <sz val="8"/>
      <name val="Spranq eco sans"/>
      <family val="2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0"/>
      <color theme="1"/>
      <name val="Spranq eco sans"/>
    </font>
    <font>
      <b/>
      <sz val="10"/>
      <name val="Cambria"/>
      <family val="1"/>
      <charset val="1"/>
    </font>
    <font>
      <sz val="10"/>
      <name val="Cambria"/>
      <family val="1"/>
      <charset val="1"/>
    </font>
    <font>
      <b/>
      <sz val="10"/>
      <color rgb="FFFF0000"/>
      <name val="Cambria"/>
      <family val="1"/>
      <charset val="1"/>
    </font>
    <font>
      <sz val="11"/>
      <color theme="0"/>
      <name val="Calibri"/>
      <family val="2"/>
      <scheme val="minor"/>
    </font>
    <font>
      <sz val="8"/>
      <color rgb="FFFF0000"/>
      <name val="Cambria"/>
      <family val="1"/>
    </font>
    <font>
      <b/>
      <sz val="12"/>
      <color indexed="10"/>
      <name val="Calibri"/>
      <family val="2"/>
    </font>
    <font>
      <b/>
      <sz val="12"/>
      <name val="Calibri"/>
      <family val="2"/>
    </font>
    <font>
      <sz val="7"/>
      <color indexed="8"/>
      <name val="Cambria"/>
      <family val="1"/>
    </font>
    <font>
      <sz val="7"/>
      <name val="Cambria"/>
      <family val="1"/>
    </font>
    <font>
      <sz val="12"/>
      <color indexed="8"/>
      <name val="Cambria"/>
      <family val="1"/>
    </font>
    <font>
      <b/>
      <sz val="11"/>
      <color indexed="56"/>
      <name val="Calibri"/>
      <family val="2"/>
    </font>
    <font>
      <sz val="9"/>
      <name val="Cambria"/>
      <family val="1"/>
    </font>
    <font>
      <b/>
      <sz val="9"/>
      <name val="Cambria"/>
      <family val="1"/>
    </font>
    <font>
      <sz val="9"/>
      <color indexed="8"/>
      <name val="Cambria"/>
      <family val="1"/>
    </font>
    <font>
      <b/>
      <sz val="9"/>
      <color indexed="8"/>
      <name val="Cambria"/>
      <family val="1"/>
    </font>
    <font>
      <sz val="14"/>
      <color indexed="8"/>
      <name val="Cambria"/>
      <family val="1"/>
    </font>
    <font>
      <b/>
      <sz val="11"/>
      <name val="Cambria"/>
      <family val="1"/>
    </font>
    <font>
      <sz val="9"/>
      <color indexed="9"/>
      <name val="Cambria"/>
      <family val="1"/>
    </font>
    <font>
      <sz val="10"/>
      <color indexed="9"/>
      <name val="Cambria"/>
      <family val="1"/>
    </font>
    <font>
      <sz val="12"/>
      <color theme="1"/>
      <name val="Calibri"/>
      <family val="2"/>
      <scheme val="minor"/>
    </font>
    <font>
      <b/>
      <sz val="14"/>
      <name val="Calibri"/>
      <family val="2"/>
    </font>
    <font>
      <sz val="10"/>
      <color theme="1"/>
      <name val="Cambria"/>
      <family val="1"/>
    </font>
    <font>
      <b/>
      <u/>
      <sz val="12"/>
      <color theme="1"/>
      <name val="Calibri"/>
      <family val="2"/>
      <scheme val="minor"/>
    </font>
    <font>
      <sz val="12"/>
      <name val="Cambria"/>
      <family val="1"/>
    </font>
  </fonts>
  <fills count="5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1"/>
      </patternFill>
    </fill>
    <fill>
      <patternFill patternType="solid">
        <fgColor indexed="41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9CCFF"/>
        <bgColor rgb="FFC0C0C0"/>
      </patternFill>
    </fill>
    <fill>
      <patternFill patternType="solid">
        <fgColor rgb="FFCCFFFF"/>
        <bgColor rgb="FFCCFFCC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indexed="47"/>
        <bgColor indexed="41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93B99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57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3">
    <xf numFmtId="0" fontId="0" fillId="0" borderId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27" fillId="7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6" fontId="41" fillId="0" borderId="0" applyFill="0" applyBorder="0" applyAlignment="0" applyProtection="0"/>
    <xf numFmtId="0" fontId="8" fillId="9" borderId="0" applyNumberFormat="0" applyBorder="0" applyAlignment="0" applyProtection="0"/>
    <xf numFmtId="0" fontId="5" fillId="9" borderId="1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41" fillId="0" borderId="0" applyFont="0" applyFill="0" applyBorder="0" applyAlignment="0" applyProtection="0"/>
    <xf numFmtId="0" fontId="5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57" fillId="27" borderId="0" applyNumberFormat="0" applyBorder="0" applyAlignment="0" applyProtection="0"/>
    <xf numFmtId="0" fontId="1" fillId="28" borderId="0" applyNumberFormat="0" applyBorder="0" applyAlignment="0" applyProtection="0"/>
    <xf numFmtId="0" fontId="57" fillId="29" borderId="0" applyNumberFormat="0" applyBorder="0" applyAlignment="0" applyProtection="0"/>
    <xf numFmtId="0" fontId="57" fillId="30" borderId="0" applyNumberFormat="0" applyBorder="0" applyAlignment="0" applyProtection="0"/>
    <xf numFmtId="0" fontId="1" fillId="31" borderId="0" applyNumberFormat="0" applyBorder="0" applyAlignment="0" applyProtection="0"/>
    <xf numFmtId="43" fontId="41" fillId="0" borderId="0" applyFont="0" applyFill="0" applyBorder="0" applyAlignment="0" applyProtection="0"/>
    <xf numFmtId="0" fontId="57" fillId="42" borderId="0" applyNumberFormat="0" applyBorder="0" applyAlignment="0" applyProtection="0"/>
    <xf numFmtId="0" fontId="27" fillId="46" borderId="0" applyNumberFormat="0" applyBorder="0" applyAlignment="0" applyProtection="0"/>
    <xf numFmtId="0" fontId="27" fillId="0" borderId="0"/>
    <xf numFmtId="0" fontId="73" fillId="0" borderId="0"/>
  </cellStyleXfs>
  <cellXfs count="633"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Alignment="1">
      <alignment shrinkToFit="1"/>
    </xf>
    <xf numFmtId="0" fontId="22" fillId="0" borderId="0" xfId="0" applyFont="1" applyAlignment="1">
      <alignment shrinkToFit="1"/>
    </xf>
    <xf numFmtId="0" fontId="25" fillId="0" borderId="0" xfId="0" applyFont="1" applyAlignment="1">
      <alignment shrinkToFit="1"/>
    </xf>
    <xf numFmtId="0" fontId="29" fillId="0" borderId="0" xfId="0" applyFont="1" applyAlignment="1">
      <alignment shrinkToFit="1"/>
    </xf>
    <xf numFmtId="0" fontId="25" fillId="0" borderId="0" xfId="0" applyFont="1" applyAlignment="1">
      <alignment horizontal="center" vertical="center" shrinkToFit="1"/>
    </xf>
    <xf numFmtId="0" fontId="20" fillId="0" borderId="0" xfId="0" applyFont="1" applyAlignment="1"/>
    <xf numFmtId="0" fontId="28" fillId="0" borderId="0" xfId="0" applyFont="1" applyAlignment="1">
      <alignment shrinkToFit="1"/>
    </xf>
    <xf numFmtId="0" fontId="20" fillId="0" borderId="0" xfId="0" applyFont="1" applyFill="1" applyAlignment="1">
      <alignment shrinkToFit="1"/>
    </xf>
    <xf numFmtId="0" fontId="15" fillId="0" borderId="0" xfId="0" applyFont="1" applyAlignment="1">
      <alignment horizontal="right" vertical="center"/>
    </xf>
    <xf numFmtId="0" fontId="16" fillId="0" borderId="3" xfId="0" applyFont="1" applyBorder="1" applyAlignment="1">
      <alignment horizontal="center"/>
    </xf>
    <xf numFmtId="164" fontId="16" fillId="0" borderId="3" xfId="0" applyNumberFormat="1" applyFont="1" applyBorder="1" applyAlignment="1">
      <alignment horizontal="right" vertical="center"/>
    </xf>
    <xf numFmtId="164" fontId="15" fillId="0" borderId="3" xfId="0" applyNumberFormat="1" applyFont="1" applyFill="1" applyBorder="1" applyAlignment="1">
      <alignment horizontal="right" vertical="center"/>
    </xf>
    <xf numFmtId="165" fontId="15" fillId="0" borderId="3" xfId="0" applyNumberFormat="1" applyFont="1" applyFill="1" applyBorder="1" applyAlignment="1">
      <alignment horizontal="right" vertical="center"/>
    </xf>
    <xf numFmtId="164" fontId="16" fillId="0" borderId="3" xfId="0" applyNumberFormat="1" applyFont="1" applyFill="1" applyBorder="1" applyAlignment="1">
      <alignment horizontal="right" vertical="center"/>
    </xf>
    <xf numFmtId="0" fontId="16" fillId="0" borderId="3" xfId="0" applyFont="1" applyBorder="1" applyAlignment="1"/>
    <xf numFmtId="0" fontId="16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10" fontId="39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3" xfId="0" applyFont="1" applyBorder="1" applyAlignment="1">
      <alignment horizontal="right" vertical="center"/>
    </xf>
    <xf numFmtId="10" fontId="16" fillId="0" borderId="3" xfId="0" applyNumberFormat="1" applyFont="1" applyBorder="1" applyAlignment="1">
      <alignment horizontal="center" vertical="center"/>
    </xf>
    <xf numFmtId="10" fontId="16" fillId="0" borderId="3" xfId="0" applyNumberFormat="1" applyFont="1" applyBorder="1" applyAlignment="1">
      <alignment horizontal="center"/>
    </xf>
    <xf numFmtId="0" fontId="40" fillId="0" borderId="0" xfId="0" applyFont="1"/>
    <xf numFmtId="4" fontId="0" fillId="0" borderId="0" xfId="0" applyNumberFormat="1"/>
    <xf numFmtId="164" fontId="0" fillId="0" borderId="0" xfId="0" applyNumberFormat="1"/>
    <xf numFmtId="0" fontId="0" fillId="0" borderId="5" xfId="0" applyBorder="1"/>
    <xf numFmtId="39" fontId="43" fillId="0" borderId="5" xfId="13" applyNumberFormat="1" applyFont="1" applyBorder="1"/>
    <xf numFmtId="0" fontId="0" fillId="0" borderId="5" xfId="0" applyFill="1" applyBorder="1"/>
    <xf numFmtId="44" fontId="0" fillId="0" borderId="5" xfId="0" applyNumberFormat="1" applyBorder="1"/>
    <xf numFmtId="10" fontId="0" fillId="0" borderId="0" xfId="19" applyNumberFormat="1" applyFont="1"/>
    <xf numFmtId="0" fontId="0" fillId="15" borderId="5" xfId="0" applyFill="1" applyBorder="1"/>
    <xf numFmtId="10" fontId="0" fillId="0" borderId="5" xfId="19" applyNumberFormat="1" applyFont="1" applyBorder="1"/>
    <xf numFmtId="39" fontId="0" fillId="0" borderId="5" xfId="0" applyNumberFormat="1" applyBorder="1"/>
    <xf numFmtId="0" fontId="0" fillId="16" borderId="5" xfId="0" applyFill="1" applyBorder="1"/>
    <xf numFmtId="44" fontId="0" fillId="16" borderId="5" xfId="13" applyNumberFormat="1" applyFont="1" applyFill="1" applyBorder="1"/>
    <xf numFmtId="44" fontId="44" fillId="14" borderId="5" xfId="13" applyNumberFormat="1" applyFont="1" applyFill="1" applyBorder="1"/>
    <xf numFmtId="0" fontId="0" fillId="17" borderId="5" xfId="0" applyFill="1" applyBorder="1"/>
    <xf numFmtId="10" fontId="0" fillId="17" borderId="5" xfId="19" applyNumberFormat="1" applyFont="1" applyFill="1" applyBorder="1"/>
    <xf numFmtId="0" fontId="0" fillId="17" borderId="5" xfId="0" applyFont="1" applyFill="1" applyBorder="1" applyAlignment="1">
      <alignment horizontal="left" wrapText="1"/>
    </xf>
    <xf numFmtId="0" fontId="0" fillId="0" borderId="0" xfId="0" applyFill="1"/>
    <xf numFmtId="0" fontId="0" fillId="0" borderId="5" xfId="0" applyFont="1" applyBorder="1"/>
    <xf numFmtId="0" fontId="45" fillId="0" borderId="5" xfId="0" applyFont="1" applyFill="1" applyBorder="1"/>
    <xf numFmtId="44" fontId="45" fillId="0" borderId="5" xfId="0" applyNumberFormat="1" applyFont="1" applyBorder="1"/>
    <xf numFmtId="0" fontId="0" fillId="0" borderId="5" xfId="0" applyFont="1" applyFill="1" applyBorder="1"/>
    <xf numFmtId="44" fontId="44" fillId="18" borderId="5" xfId="13" applyNumberFormat="1" applyFont="1" applyFill="1" applyBorder="1"/>
    <xf numFmtId="44" fontId="44" fillId="18" borderId="5" xfId="0" applyNumberFormat="1" applyFont="1" applyFill="1" applyBorder="1"/>
    <xf numFmtId="44" fontId="44" fillId="14" borderId="5" xfId="0" applyNumberFormat="1" applyFont="1" applyFill="1" applyBorder="1"/>
    <xf numFmtId="168" fontId="0" fillId="0" borderId="5" xfId="0" applyNumberFormat="1" applyBorder="1"/>
    <xf numFmtId="0" fontId="0" fillId="17" borderId="5" xfId="0" applyFill="1" applyBorder="1" applyAlignment="1">
      <alignment horizontal="left" wrapText="1"/>
    </xf>
    <xf numFmtId="0" fontId="0" fillId="0" borderId="0" xfId="0" applyAlignment="1">
      <alignment vertical="top" wrapText="1"/>
    </xf>
    <xf numFmtId="0" fontId="44" fillId="14" borderId="5" xfId="0" applyFont="1" applyFill="1" applyBorder="1"/>
    <xf numFmtId="0" fontId="13" fillId="0" borderId="5" xfId="0" applyFont="1" applyFill="1" applyBorder="1"/>
    <xf numFmtId="0" fontId="44" fillId="0" borderId="0" xfId="0" applyFont="1" applyFill="1" applyBorder="1" applyAlignment="1"/>
    <xf numFmtId="0" fontId="0" fillId="0" borderId="5" xfId="0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0" fillId="0" borderId="0" xfId="0" applyAlignment="1">
      <alignment vertical="center"/>
    </xf>
    <xf numFmtId="0" fontId="46" fillId="0" borderId="0" xfId="0" applyFont="1" applyFill="1" applyAlignment="1">
      <alignment horizontal="center" vertical="center" wrapText="1"/>
    </xf>
    <xf numFmtId="0" fontId="0" fillId="19" borderId="5" xfId="0" applyFill="1" applyBorder="1" applyAlignment="1">
      <alignment horizontal="right" vertical="center"/>
    </xf>
    <xf numFmtId="0" fontId="0" fillId="19" borderId="5" xfId="0" applyFill="1" applyBorder="1" applyAlignment="1">
      <alignment vertical="center"/>
    </xf>
    <xf numFmtId="0" fontId="44" fillId="19" borderId="5" xfId="0" applyFont="1" applyFill="1" applyBorder="1" applyAlignment="1">
      <alignment horizontal="center" vertical="center"/>
    </xf>
    <xf numFmtId="0" fontId="0" fillId="19" borderId="5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44" fontId="0" fillId="0" borderId="5" xfId="13" applyNumberFormat="1" applyFont="1" applyBorder="1" applyAlignment="1">
      <alignment horizontal="right" vertic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vertical="center"/>
    </xf>
    <xf numFmtId="9" fontId="0" fillId="0" borderId="5" xfId="19" applyFont="1" applyBorder="1" applyAlignment="1">
      <alignment vertical="center"/>
    </xf>
    <xf numFmtId="44" fontId="0" fillId="0" borderId="0" xfId="0" applyNumberFormat="1"/>
    <xf numFmtId="0" fontId="13" fillId="0" borderId="5" xfId="0" applyFont="1" applyBorder="1" applyAlignment="1">
      <alignment horizontal="left" vertical="center"/>
    </xf>
    <xf numFmtId="44" fontId="0" fillId="0" borderId="5" xfId="13" applyNumberFormat="1" applyFont="1" applyFill="1" applyBorder="1" applyAlignment="1">
      <alignment horizontal="right" vertical="center"/>
    </xf>
    <xf numFmtId="44" fontId="0" fillId="0" borderId="5" xfId="13" applyNumberFormat="1" applyFont="1" applyBorder="1"/>
    <xf numFmtId="39" fontId="47" fillId="0" borderId="0" xfId="13" quotePrefix="1" applyNumberFormat="1" applyFont="1" applyBorder="1"/>
    <xf numFmtId="44" fontId="44" fillId="19" borderId="5" xfId="13" applyNumberFormat="1" applyFont="1" applyFill="1" applyBorder="1"/>
    <xf numFmtId="0" fontId="44" fillId="19" borderId="5" xfId="0" applyFont="1" applyFill="1" applyBorder="1"/>
    <xf numFmtId="0" fontId="44" fillId="19" borderId="5" xfId="0" applyFont="1" applyFill="1" applyBorder="1" applyAlignment="1">
      <alignment vertical="center"/>
    </xf>
    <xf numFmtId="10" fontId="0" fillId="0" borderId="5" xfId="19" applyNumberFormat="1" applyFont="1" applyFill="1" applyBorder="1"/>
    <xf numFmtId="0" fontId="45" fillId="20" borderId="5" xfId="0" applyFont="1" applyFill="1" applyBorder="1" applyAlignment="1">
      <alignment horizontal="left" vertical="center"/>
    </xf>
    <xf numFmtId="0" fontId="0" fillId="20" borderId="5" xfId="0" applyFont="1" applyFill="1" applyBorder="1"/>
    <xf numFmtId="10" fontId="43" fillId="20" borderId="5" xfId="19" applyNumberFormat="1" applyFont="1" applyFill="1" applyBorder="1"/>
    <xf numFmtId="44" fontId="43" fillId="20" borderId="5" xfId="13" applyNumberFormat="1" applyFont="1" applyFill="1" applyBorder="1"/>
    <xf numFmtId="0" fontId="45" fillId="0" borderId="5" xfId="0" applyFont="1" applyBorder="1"/>
    <xf numFmtId="10" fontId="45" fillId="0" borderId="5" xfId="19" applyNumberFormat="1" applyFont="1" applyFill="1" applyBorder="1"/>
    <xf numFmtId="44" fontId="45" fillId="0" borderId="5" xfId="13" applyNumberFormat="1" applyFont="1" applyBorder="1"/>
    <xf numFmtId="0" fontId="44" fillId="19" borderId="6" xfId="0" applyFont="1" applyFill="1" applyBorder="1" applyAlignment="1">
      <alignment horizontal="left" vertical="center"/>
    </xf>
    <xf numFmtId="0" fontId="44" fillId="19" borderId="7" xfId="0" applyFont="1" applyFill="1" applyBorder="1" applyAlignment="1">
      <alignment horizontal="left" vertical="center"/>
    </xf>
    <xf numFmtId="10" fontId="44" fillId="19" borderId="5" xfId="19" applyNumberFormat="1" applyFont="1" applyFill="1" applyBorder="1" applyAlignment="1">
      <alignment horizontal="center" vertical="center"/>
    </xf>
    <xf numFmtId="44" fontId="44" fillId="19" borderId="5" xfId="13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10" fontId="0" fillId="15" borderId="5" xfId="19" applyNumberFormat="1" applyFont="1" applyFill="1" applyBorder="1"/>
    <xf numFmtId="8" fontId="0" fillId="0" borderId="5" xfId="0" applyNumberFormat="1" applyFill="1" applyBorder="1"/>
    <xf numFmtId="0" fontId="0" fillId="0" borderId="0" xfId="0" applyFill="1" applyBorder="1"/>
    <xf numFmtId="10" fontId="0" fillId="0" borderId="0" xfId="19" applyNumberFormat="1" applyFont="1" applyFill="1" applyBorder="1"/>
    <xf numFmtId="0" fontId="0" fillId="0" borderId="9" xfId="0" applyBorder="1" applyAlignment="1">
      <alignment horizontal="left" vertical="center"/>
    </xf>
    <xf numFmtId="0" fontId="13" fillId="0" borderId="5" xfId="0" applyFont="1" applyBorder="1"/>
    <xf numFmtId="0" fontId="0" fillId="0" borderId="10" xfId="0" applyFill="1" applyBorder="1" applyAlignment="1">
      <alignment horizontal="left" vertical="center"/>
    </xf>
    <xf numFmtId="167" fontId="48" fillId="0" borderId="5" xfId="0" applyNumberFormat="1" applyFont="1" applyBorder="1" applyAlignment="1">
      <alignment vertical="center" wrapText="1"/>
    </xf>
    <xf numFmtId="167" fontId="49" fillId="0" borderId="0" xfId="0" applyNumberFormat="1" applyFont="1" applyBorder="1" applyAlignment="1">
      <alignment vertical="center" wrapText="1"/>
    </xf>
    <xf numFmtId="10" fontId="44" fillId="19" borderId="5" xfId="19" applyNumberFormat="1" applyFont="1" applyFill="1" applyBorder="1" applyAlignment="1">
      <alignment vertical="center"/>
    </xf>
    <xf numFmtId="0" fontId="44" fillId="14" borderId="5" xfId="0" applyFont="1" applyFill="1" applyBorder="1" applyAlignment="1">
      <alignment horizontal="center" vertical="center"/>
    </xf>
    <xf numFmtId="8" fontId="0" fillId="0" borderId="5" xfId="0" applyNumberFormat="1" applyBorder="1"/>
    <xf numFmtId="44" fontId="44" fillId="14" borderId="5" xfId="13" applyNumberFormat="1" applyFont="1" applyFill="1" applyBorder="1" applyAlignment="1">
      <alignment horizontal="center" vertical="center"/>
    </xf>
    <xf numFmtId="44" fontId="0" fillId="0" borderId="5" xfId="0" applyNumberFormat="1" applyFill="1" applyBorder="1"/>
    <xf numFmtId="44" fontId="44" fillId="19" borderId="5" xfId="0" applyNumberFormat="1" applyFont="1" applyFill="1" applyBorder="1"/>
    <xf numFmtId="44" fontId="0" fillId="0" borderId="5" xfId="13" applyNumberFormat="1" applyFont="1" applyFill="1" applyBorder="1"/>
    <xf numFmtId="44" fontId="0" fillId="0" borderId="0" xfId="0" applyNumberFormat="1" applyFill="1"/>
    <xf numFmtId="44" fontId="0" fillId="0" borderId="5" xfId="13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18" borderId="5" xfId="0" applyFill="1" applyBorder="1"/>
    <xf numFmtId="0" fontId="44" fillId="19" borderId="7" xfId="0" applyFont="1" applyFill="1" applyBorder="1" applyAlignment="1">
      <alignment horizontal="center" vertical="center"/>
    </xf>
    <xf numFmtId="44" fontId="44" fillId="18" borderId="5" xfId="0" applyNumberFormat="1" applyFont="1" applyFill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10" fontId="44" fillId="19" borderId="7" xfId="0" applyNumberFormat="1" applyFont="1" applyFill="1" applyBorder="1" applyAlignment="1">
      <alignment vertical="center"/>
    </xf>
    <xf numFmtId="44" fontId="44" fillId="0" borderId="5" xfId="13" applyNumberFormat="1" applyFont="1" applyBorder="1"/>
    <xf numFmtId="44" fontId="52" fillId="13" borderId="5" xfId="0" applyNumberFormat="1" applyFont="1" applyFill="1" applyBorder="1"/>
    <xf numFmtId="10" fontId="0" fillId="0" borderId="5" xfId="0" applyNumberFormat="1" applyBorder="1"/>
    <xf numFmtId="0" fontId="0" fillId="0" borderId="11" xfId="0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/>
    <xf numFmtId="0" fontId="0" fillId="0" borderId="5" xfId="0" applyBorder="1" applyAlignment="1">
      <alignment vertical="center"/>
    </xf>
    <xf numFmtId="0" fontId="0" fillId="19" borderId="6" xfId="0" applyFill="1" applyBorder="1" applyAlignment="1">
      <alignment vertical="center"/>
    </xf>
    <xf numFmtId="0" fontId="44" fillId="19" borderId="12" xfId="0" applyFont="1" applyFill="1" applyBorder="1"/>
    <xf numFmtId="0" fontId="44" fillId="19" borderId="13" xfId="0" applyFont="1" applyFill="1" applyBorder="1" applyAlignment="1">
      <alignment horizontal="center" vertical="center"/>
    </xf>
    <xf numFmtId="0" fontId="44" fillId="19" borderId="12" xfId="0" applyFont="1" applyFill="1" applyBorder="1" applyAlignment="1">
      <alignment horizontal="center" vertical="center"/>
    </xf>
    <xf numFmtId="10" fontId="43" fillId="0" borderId="5" xfId="19" applyNumberFormat="1" applyFont="1" applyFill="1" applyBorder="1"/>
    <xf numFmtId="44" fontId="43" fillId="0" borderId="5" xfId="13" applyNumberFormat="1" applyFont="1" applyFill="1" applyBorder="1"/>
    <xf numFmtId="44" fontId="45" fillId="0" borderId="5" xfId="13" applyNumberFormat="1" applyFont="1" applyFill="1" applyBorder="1"/>
    <xf numFmtId="0" fontId="44" fillId="19" borderId="12" xfId="0" applyFont="1" applyFill="1" applyBorder="1" applyAlignment="1">
      <alignment vertical="center"/>
    </xf>
    <xf numFmtId="167" fontId="48" fillId="0" borderId="5" xfId="0" applyNumberFormat="1" applyFont="1" applyFill="1" applyBorder="1" applyAlignment="1">
      <alignment vertical="center" wrapText="1"/>
    </xf>
    <xf numFmtId="10" fontId="53" fillId="15" borderId="5" xfId="19" applyNumberFormat="1" applyFont="1" applyFill="1" applyBorder="1"/>
    <xf numFmtId="0" fontId="55" fillId="0" borderId="0" xfId="0" applyFont="1"/>
    <xf numFmtId="0" fontId="54" fillId="0" borderId="15" xfId="0" applyFont="1" applyBorder="1" applyAlignment="1">
      <alignment horizontal="left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 wrapText="1"/>
    </xf>
    <xf numFmtId="0" fontId="55" fillId="0" borderId="0" xfId="0" applyFont="1" applyBorder="1"/>
    <xf numFmtId="0" fontId="55" fillId="0" borderId="0" xfId="0" applyFont="1" applyAlignment="1">
      <alignment horizontal="left"/>
    </xf>
    <xf numFmtId="0" fontId="55" fillId="0" borderId="18" xfId="0" applyFont="1" applyBorder="1" applyAlignment="1">
      <alignment horizontal="left" vertical="center"/>
    </xf>
    <xf numFmtId="164" fontId="55" fillId="23" borderId="19" xfId="13" applyNumberFormat="1" applyFont="1" applyFill="1" applyBorder="1" applyAlignment="1" applyProtection="1">
      <alignment horizontal="center" vertical="center"/>
      <protection locked="0"/>
    </xf>
    <xf numFmtId="0" fontId="55" fillId="23" borderId="19" xfId="0" applyFont="1" applyFill="1" applyBorder="1" applyAlignment="1" applyProtection="1">
      <alignment horizontal="center" vertical="center"/>
      <protection locked="0"/>
    </xf>
    <xf numFmtId="165" fontId="55" fillId="0" borderId="20" xfId="13" applyNumberFormat="1" applyFont="1" applyBorder="1" applyAlignment="1" applyProtection="1">
      <alignment horizontal="center" vertical="center"/>
    </xf>
    <xf numFmtId="165" fontId="56" fillId="0" borderId="22" xfId="13" applyNumberFormat="1" applyFont="1" applyBorder="1" applyAlignment="1" applyProtection="1">
      <alignment horizontal="center" vertical="center"/>
    </xf>
    <xf numFmtId="0" fontId="22" fillId="33" borderId="0" xfId="0" applyFont="1" applyFill="1" applyAlignment="1">
      <alignment shrinkToFit="1"/>
    </xf>
    <xf numFmtId="164" fontId="26" fillId="0" borderId="0" xfId="24" applyNumberFormat="1" applyFont="1" applyFill="1" applyAlignment="1" applyProtection="1">
      <alignment horizontal="center" vertical="center" shrinkToFit="1"/>
      <protection locked="0"/>
    </xf>
    <xf numFmtId="0" fontId="20" fillId="33" borderId="0" xfId="0" applyFont="1" applyFill="1" applyAlignment="1">
      <alignment shrinkToFit="1"/>
    </xf>
    <xf numFmtId="0" fontId="20" fillId="0" borderId="0" xfId="0" applyFont="1" applyFill="1" applyAlignment="1"/>
    <xf numFmtId="171" fontId="28" fillId="33" borderId="0" xfId="0" applyNumberFormat="1" applyFont="1" applyFill="1" applyAlignment="1">
      <alignment horizontal="center" vertical="center" shrinkToFit="1"/>
    </xf>
    <xf numFmtId="171" fontId="26" fillId="0" borderId="0" xfId="27" applyNumberFormat="1" applyFont="1" applyFill="1" applyAlignment="1">
      <alignment horizontal="center" vertical="center"/>
    </xf>
    <xf numFmtId="171" fontId="31" fillId="0" borderId="0" xfId="0" applyNumberFormat="1" applyFont="1" applyFill="1" applyAlignment="1">
      <alignment horizontal="center" vertical="center" shrinkToFit="1"/>
    </xf>
    <xf numFmtId="0" fontId="0" fillId="33" borderId="0" xfId="0" applyFill="1"/>
    <xf numFmtId="0" fontId="13" fillId="33" borderId="0" xfId="0" applyFont="1" applyFill="1"/>
    <xf numFmtId="0" fontId="16" fillId="0" borderId="27" xfId="0" applyFont="1" applyBorder="1" applyAlignment="1">
      <alignment vertical="top" wrapText="1"/>
    </xf>
    <xf numFmtId="0" fontId="16" fillId="32" borderId="27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8" fontId="28" fillId="37" borderId="0" xfId="0" applyNumberFormat="1" applyFont="1" applyFill="1" applyAlignment="1">
      <alignment horizontal="center" vertical="center" shrinkToFit="1"/>
    </xf>
    <xf numFmtId="0" fontId="21" fillId="33" borderId="0" xfId="25" applyFont="1" applyFill="1" applyAlignment="1">
      <alignment horizontal="center" wrapText="1"/>
    </xf>
    <xf numFmtId="172" fontId="21" fillId="33" borderId="0" xfId="25" applyNumberFormat="1" applyFont="1" applyFill="1" applyAlignment="1">
      <alignment horizontal="center" wrapText="1"/>
    </xf>
    <xf numFmtId="0" fontId="23" fillId="33" borderId="0" xfId="25" applyFont="1" applyFill="1" applyAlignment="1">
      <alignment horizontal="center" wrapText="1" shrinkToFit="1"/>
    </xf>
    <xf numFmtId="172" fontId="23" fillId="33" borderId="0" xfId="25" applyNumberFormat="1" applyFont="1" applyFill="1" applyAlignment="1">
      <alignment horizontal="center" wrapText="1" shrinkToFit="1"/>
    </xf>
    <xf numFmtId="0" fontId="26" fillId="0" borderId="0" xfId="24" applyFont="1" applyFill="1" applyAlignment="1" applyProtection="1">
      <alignment shrinkToFit="1"/>
      <protection locked="0"/>
    </xf>
    <xf numFmtId="0" fontId="26" fillId="0" borderId="0" xfId="24" applyFont="1" applyFill="1" applyAlignment="1">
      <alignment shrinkToFit="1"/>
    </xf>
    <xf numFmtId="0" fontId="26" fillId="0" borderId="0" xfId="24" applyFont="1" applyFill="1" applyAlignment="1">
      <alignment horizontal="center" vertical="center" shrinkToFit="1"/>
    </xf>
    <xf numFmtId="172" fontId="26" fillId="0" borderId="0" xfId="24" applyNumberFormat="1" applyFont="1" applyFill="1" applyAlignment="1" applyProtection="1">
      <alignment horizontal="center" vertical="center" shrinkToFit="1"/>
      <protection locked="0"/>
    </xf>
    <xf numFmtId="164" fontId="26" fillId="0" borderId="0" xfId="24" applyNumberFormat="1" applyFont="1" applyFill="1" applyAlignment="1" applyProtection="1">
      <alignment horizontal="center" vertical="center" wrapText="1"/>
      <protection locked="0"/>
    </xf>
    <xf numFmtId="0" fontId="26" fillId="0" borderId="0" xfId="24" applyFont="1" applyFill="1" applyAlignment="1" applyProtection="1">
      <alignment horizontal="center" vertical="center" shrinkToFit="1"/>
      <protection locked="0"/>
    </xf>
    <xf numFmtId="172" fontId="20" fillId="0" borderId="0" xfId="24" applyNumberFormat="1" applyFont="1" applyFill="1" applyAlignment="1" applyProtection="1">
      <alignment horizontal="center" vertical="center" shrinkToFit="1"/>
      <protection locked="0"/>
    </xf>
    <xf numFmtId="0" fontId="20" fillId="0" borderId="0" xfId="24" applyFont="1" applyFill="1" applyAlignment="1" applyProtection="1">
      <alignment horizontal="center" vertical="center" wrapText="1"/>
      <protection locked="0"/>
    </xf>
    <xf numFmtId="0" fontId="26" fillId="0" borderId="0" xfId="24" applyFont="1" applyFill="1" applyAlignment="1" applyProtection="1">
      <alignment horizontal="center" vertical="center" wrapText="1"/>
      <protection locked="0"/>
    </xf>
    <xf numFmtId="172" fontId="26" fillId="0" borderId="0" xfId="24" applyNumberFormat="1" applyFont="1" applyFill="1" applyAlignment="1">
      <alignment horizontal="center" vertical="center" shrinkToFit="1"/>
    </xf>
    <xf numFmtId="0" fontId="20" fillId="0" borderId="0" xfId="24" applyFont="1" applyFill="1" applyAlignment="1" applyProtection="1">
      <alignment shrinkToFit="1"/>
      <protection locked="0"/>
    </xf>
    <xf numFmtId="0" fontId="26" fillId="0" borderId="0" xfId="24" applyFont="1" applyFill="1" applyAlignment="1" applyProtection="1">
      <alignment horizontal="center" vertical="center"/>
      <protection locked="0"/>
    </xf>
    <xf numFmtId="172" fontId="26" fillId="0" borderId="0" xfId="0" applyNumberFormat="1" applyFont="1" applyFill="1" applyAlignment="1">
      <alignment horizontal="center"/>
    </xf>
    <xf numFmtId="171" fontId="26" fillId="0" borderId="0" xfId="24" applyNumberFormat="1" applyFont="1" applyFill="1" applyAlignment="1">
      <alignment horizontal="center" vertical="center"/>
    </xf>
    <xf numFmtId="0" fontId="26" fillId="0" borderId="0" xfId="24" applyFont="1" applyFill="1" applyAlignment="1" applyProtection="1">
      <protection locked="0"/>
    </xf>
    <xf numFmtId="0" fontId="28" fillId="37" borderId="0" xfId="0" applyFont="1" applyFill="1" applyAlignment="1"/>
    <xf numFmtId="0" fontId="28" fillId="37" borderId="0" xfId="0" applyFont="1" applyFill="1" applyAlignment="1">
      <alignment shrinkToFit="1"/>
    </xf>
    <xf numFmtId="0" fontId="28" fillId="37" borderId="0" xfId="0" applyFont="1" applyFill="1" applyAlignment="1">
      <alignment horizontal="center" vertical="center" shrinkToFit="1"/>
    </xf>
    <xf numFmtId="172" fontId="28" fillId="37" borderId="0" xfId="0" applyNumberFormat="1" applyFont="1" applyFill="1" applyAlignment="1">
      <alignment horizontal="center" vertical="center" shrinkToFit="1"/>
    </xf>
    <xf numFmtId="164" fontId="28" fillId="37" borderId="0" xfId="0" applyNumberFormat="1" applyFont="1" applyFill="1" applyAlignment="1">
      <alignment horizontal="center" vertical="center" shrinkToFit="1"/>
    </xf>
    <xf numFmtId="0" fontId="29" fillId="0" borderId="0" xfId="0" applyFont="1" applyFill="1" applyAlignment="1" applyProtection="1">
      <alignment horizontal="center" vertical="center" wrapText="1"/>
      <protection locked="0"/>
    </xf>
    <xf numFmtId="0" fontId="20" fillId="33" borderId="0" xfId="0" applyFont="1" applyFill="1" applyAlignment="1">
      <alignment horizontal="center" vertical="center" shrinkToFit="1"/>
    </xf>
    <xf numFmtId="172" fontId="20" fillId="33" borderId="0" xfId="0" applyNumberFormat="1" applyFont="1" applyFill="1" applyAlignment="1">
      <alignment horizontal="center" vertical="center" shrinkToFit="1"/>
    </xf>
    <xf numFmtId="0" fontId="20" fillId="33" borderId="0" xfId="0" applyFont="1" applyFill="1" applyAlignment="1">
      <alignment horizontal="center" vertical="center" wrapText="1"/>
    </xf>
    <xf numFmtId="164" fontId="20" fillId="0" borderId="0" xfId="24" applyNumberFormat="1" applyFont="1" applyFill="1" applyAlignment="1" applyProtection="1">
      <alignment horizontal="center" vertical="center" shrinkToFit="1"/>
      <protection locked="0"/>
    </xf>
    <xf numFmtId="0" fontId="26" fillId="0" borderId="0" xfId="24" applyFont="1" applyFill="1" applyAlignment="1">
      <alignment horizontal="center" vertical="center" wrapText="1"/>
    </xf>
    <xf numFmtId="0" fontId="29" fillId="37" borderId="0" xfId="0" applyFont="1" applyFill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shrinkToFit="1"/>
      <protection locked="0"/>
    </xf>
    <xf numFmtId="172" fontId="20" fillId="0" borderId="0" xfId="0" applyNumberFormat="1" applyFont="1" applyAlignment="1">
      <alignment horizontal="center" vertical="center" shrinkToFit="1"/>
    </xf>
    <xf numFmtId="0" fontId="20" fillId="0" borderId="0" xfId="0" applyFont="1" applyAlignment="1">
      <alignment horizontal="center" vertical="center" wrapText="1"/>
    </xf>
    <xf numFmtId="0" fontId="26" fillId="0" borderId="0" xfId="0" applyFont="1" applyFill="1"/>
    <xf numFmtId="170" fontId="26" fillId="0" borderId="0" xfId="24" applyNumberFormat="1" applyFont="1" applyFill="1" applyAlignment="1" applyProtection="1">
      <alignment horizontal="center" vertical="center" shrinkToFit="1"/>
      <protection locked="0"/>
    </xf>
    <xf numFmtId="170" fontId="26" fillId="0" borderId="0" xfId="24" applyNumberFormat="1" applyFont="1" applyFill="1" applyAlignment="1">
      <alignment horizontal="center" vertical="center" shrinkToFit="1"/>
    </xf>
    <xf numFmtId="170" fontId="28" fillId="37" borderId="0" xfId="0" applyNumberFormat="1" applyFont="1" applyFill="1" applyAlignment="1">
      <alignment horizontal="center" vertical="center" shrinkToFit="1"/>
    </xf>
    <xf numFmtId="0" fontId="25" fillId="33" borderId="0" xfId="0" applyFont="1" applyFill="1" applyAlignment="1">
      <alignment horizontal="left" shrinkToFit="1"/>
    </xf>
    <xf numFmtId="170" fontId="25" fillId="33" borderId="0" xfId="0" applyNumberFormat="1" applyFont="1" applyFill="1" applyAlignment="1">
      <alignment horizontal="left" shrinkToFit="1"/>
    </xf>
    <xf numFmtId="0" fontId="25" fillId="33" borderId="0" xfId="0" applyFont="1" applyFill="1" applyAlignment="1">
      <alignment horizontal="center" vertical="center" shrinkToFit="1"/>
    </xf>
    <xf numFmtId="172" fontId="25" fillId="33" borderId="0" xfId="0" applyNumberFormat="1" applyFont="1" applyFill="1" applyAlignment="1">
      <alignment horizontal="center" vertical="center" shrinkToFit="1"/>
    </xf>
    <xf numFmtId="0" fontId="20" fillId="33" borderId="0" xfId="0" applyFont="1" applyFill="1" applyAlignment="1" applyProtection="1">
      <alignment horizontal="center" vertical="center" wrapText="1"/>
      <protection locked="0"/>
    </xf>
    <xf numFmtId="170" fontId="28" fillId="37" borderId="0" xfId="0" applyNumberFormat="1" applyFont="1" applyFill="1" applyAlignment="1">
      <alignment horizontal="left" shrinkToFit="1"/>
    </xf>
    <xf numFmtId="0" fontId="20" fillId="33" borderId="0" xfId="0" applyFont="1" applyFill="1" applyAlignment="1" applyProtection="1">
      <alignment shrinkToFit="1"/>
      <protection locked="0"/>
    </xf>
    <xf numFmtId="0" fontId="20" fillId="33" borderId="0" xfId="0" applyFont="1" applyFill="1" applyAlignment="1" applyProtection="1">
      <alignment horizontal="center" vertical="center" shrinkToFit="1"/>
      <protection locked="0"/>
    </xf>
    <xf numFmtId="172" fontId="20" fillId="33" borderId="0" xfId="0" applyNumberFormat="1" applyFont="1" applyFill="1" applyAlignment="1" applyProtection="1">
      <alignment horizontal="center" vertical="center" shrinkToFit="1"/>
      <protection locked="0"/>
    </xf>
    <xf numFmtId="0" fontId="61" fillId="0" borderId="0" xfId="0" applyFont="1" applyFill="1"/>
    <xf numFmtId="0" fontId="62" fillId="0" borderId="0" xfId="0" applyFont="1" applyFill="1"/>
    <xf numFmtId="0" fontId="58" fillId="0" borderId="0" xfId="0" applyFont="1" applyFill="1"/>
    <xf numFmtId="0" fontId="58" fillId="0" borderId="0" xfId="24" applyFont="1" applyFill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center" vertical="center" shrinkToFit="1"/>
      <protection locked="0"/>
    </xf>
    <xf numFmtId="170" fontId="20" fillId="0" borderId="0" xfId="0" applyNumberFormat="1" applyFont="1" applyAlignment="1" applyProtection="1">
      <alignment horizontal="center" vertical="center" shrinkToFit="1"/>
      <protection locked="0"/>
    </xf>
    <xf numFmtId="172" fontId="20" fillId="0" borderId="0" xfId="0" applyNumberFormat="1" applyFont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170" fontId="20" fillId="36" borderId="0" xfId="24" applyNumberFormat="1" applyFont="1" applyFill="1" applyAlignment="1" applyProtection="1">
      <alignment horizontal="center" vertical="center" shrinkToFit="1"/>
      <protection locked="0"/>
    </xf>
    <xf numFmtId="164" fontId="26" fillId="0" borderId="0" xfId="24" applyNumberFormat="1" applyFont="1" applyFill="1" applyAlignment="1">
      <alignment horizontal="center" vertical="center" shrinkToFit="1"/>
    </xf>
    <xf numFmtId="172" fontId="20" fillId="0" borderId="0" xfId="0" applyNumberFormat="1" applyFont="1" applyFill="1" applyAlignment="1">
      <alignment horizontal="center" vertical="center" shrinkToFit="1"/>
    </xf>
    <xf numFmtId="0" fontId="25" fillId="0" borderId="0" xfId="0" applyFont="1" applyAlignment="1">
      <alignment horizontal="left" shrinkToFit="1"/>
    </xf>
    <xf numFmtId="170" fontId="25" fillId="0" borderId="0" xfId="0" applyNumberFormat="1" applyFont="1" applyAlignment="1">
      <alignment horizontal="left" shrinkToFit="1"/>
    </xf>
    <xf numFmtId="172" fontId="25" fillId="0" borderId="0" xfId="0" applyNumberFormat="1" applyFont="1" applyAlignment="1">
      <alignment horizontal="center" vertical="center" shrinkToFit="1"/>
    </xf>
    <xf numFmtId="172" fontId="25" fillId="0" borderId="0" xfId="0" applyNumberFormat="1" applyFont="1" applyFill="1" applyAlignment="1">
      <alignment horizontal="center" vertical="center" shrinkToFit="1"/>
    </xf>
    <xf numFmtId="164" fontId="20" fillId="36" borderId="0" xfId="24" applyNumberFormat="1" applyFont="1" applyFill="1" applyAlignment="1" applyProtection="1">
      <alignment horizontal="center" vertical="center" shrinkToFit="1"/>
      <protection locked="0"/>
    </xf>
    <xf numFmtId="0" fontId="63" fillId="0" borderId="0" xfId="24" applyFont="1" applyFill="1" applyAlignment="1" applyProtection="1">
      <alignment shrinkToFit="1"/>
      <protection locked="0"/>
    </xf>
    <xf numFmtId="8" fontId="20" fillId="36" borderId="0" xfId="24" applyNumberFormat="1" applyFont="1" applyFill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shrinkToFit="1"/>
    </xf>
    <xf numFmtId="0" fontId="25" fillId="0" borderId="0" xfId="0" applyFont="1" applyFill="1" applyAlignment="1">
      <alignment horizontal="center" vertical="center" shrinkToFit="1"/>
    </xf>
    <xf numFmtId="0" fontId="26" fillId="0" borderId="0" xfId="21" applyFont="1" applyFill="1" applyAlignment="1" applyProtection="1">
      <alignment shrinkToFit="1"/>
      <protection locked="0"/>
    </xf>
    <xf numFmtId="0" fontId="26" fillId="0" borderId="0" xfId="21" applyFont="1" applyFill="1" applyAlignment="1">
      <alignment horizontal="center" vertical="center"/>
    </xf>
    <xf numFmtId="0" fontId="20" fillId="0" borderId="0" xfId="0" applyFont="1" applyAlignment="1">
      <alignment wrapText="1"/>
    </xf>
    <xf numFmtId="0" fontId="26" fillId="0" borderId="0" xfId="21" applyFont="1" applyFill="1" applyAlignment="1" applyProtection="1">
      <protection locked="0"/>
    </xf>
    <xf numFmtId="0" fontId="26" fillId="0" borderId="0" xfId="21" applyFont="1" applyFill="1" applyAlignment="1" applyProtection="1">
      <alignment horizontal="center" vertical="center"/>
      <protection locked="0"/>
    </xf>
    <xf numFmtId="0" fontId="28" fillId="0" borderId="0" xfId="0" applyFont="1" applyAlignment="1">
      <alignment horizontal="center" vertical="center" wrapText="1"/>
    </xf>
    <xf numFmtId="0" fontId="20" fillId="0" borderId="0" xfId="27" applyFont="1" applyFill="1" applyAlignment="1" applyProtection="1">
      <protection locked="0"/>
    </xf>
    <xf numFmtId="0" fontId="58" fillId="0" borderId="0" xfId="27" applyFont="1" applyFill="1" applyAlignment="1" applyProtection="1">
      <protection locked="0"/>
    </xf>
    <xf numFmtId="0" fontId="26" fillId="0" borderId="0" xfId="27" applyFont="1" applyFill="1" applyAlignment="1" applyProtection="1">
      <alignment horizontal="center" vertical="center"/>
      <protection locked="0"/>
    </xf>
    <xf numFmtId="0" fontId="26" fillId="0" borderId="0" xfId="27" applyFont="1" applyFill="1" applyAlignment="1" applyProtection="1">
      <protection locked="0"/>
    </xf>
    <xf numFmtId="0" fontId="28" fillId="33" borderId="0" xfId="0" applyFont="1" applyFill="1" applyAlignment="1">
      <alignment horizontal="center" vertical="center" wrapText="1" shrinkToFit="1"/>
    </xf>
    <xf numFmtId="0" fontId="28" fillId="33" borderId="0" xfId="0" applyFont="1" applyFill="1" applyAlignment="1">
      <alignment shrinkToFit="1"/>
    </xf>
    <xf numFmtId="0" fontId="28" fillId="33" borderId="0" xfId="0" applyFont="1" applyFill="1" applyAlignment="1">
      <alignment horizontal="center" vertical="center" shrinkToFit="1"/>
    </xf>
    <xf numFmtId="172" fontId="28" fillId="33" borderId="0" xfId="0" applyNumberFormat="1" applyFont="1" applyFill="1" applyAlignment="1">
      <alignment horizontal="center" vertical="center" shrinkToFit="1"/>
    </xf>
    <xf numFmtId="0" fontId="28" fillId="33" borderId="0" xfId="0" applyFont="1" applyFill="1" applyAlignment="1">
      <alignment horizontal="center" vertical="center" wrapText="1"/>
    </xf>
    <xf numFmtId="0" fontId="19" fillId="35" borderId="0" xfId="0" applyFont="1" applyFill="1" applyAlignment="1">
      <alignment vertical="center" wrapText="1" shrinkToFit="1"/>
    </xf>
    <xf numFmtId="0" fontId="29" fillId="35" borderId="0" xfId="0" applyFont="1" applyFill="1" applyAlignment="1">
      <alignment shrinkToFit="1"/>
    </xf>
    <xf numFmtId="0" fontId="70" fillId="0" borderId="0" xfId="0" applyFont="1" applyFill="1" applyAlignment="1">
      <alignment horizontal="center" vertical="center" wrapText="1" shrinkToFit="1"/>
    </xf>
    <xf numFmtId="0" fontId="31" fillId="0" borderId="0" xfId="0" applyFont="1" applyFill="1" applyAlignment="1">
      <alignment horizontal="center" vertical="center" wrapText="1"/>
    </xf>
    <xf numFmtId="0" fontId="67" fillId="0" borderId="0" xfId="22" applyFont="1" applyFill="1" applyAlignment="1">
      <alignment vertical="center" shrinkToFit="1"/>
    </xf>
    <xf numFmtId="0" fontId="71" fillId="0" borderId="0" xfId="20" applyFont="1" applyFill="1" applyAlignment="1">
      <alignment vertical="center" shrinkToFit="1"/>
    </xf>
    <xf numFmtId="0" fontId="71" fillId="0" borderId="0" xfId="20" applyFont="1" applyFill="1" applyAlignment="1">
      <alignment horizontal="center" vertical="center" shrinkToFit="1"/>
    </xf>
    <xf numFmtId="0" fontId="66" fillId="0" borderId="0" xfId="20" applyFont="1" applyFill="1" applyAlignment="1">
      <alignment vertical="center" shrinkToFit="1"/>
    </xf>
    <xf numFmtId="0" fontId="24" fillId="0" borderId="0" xfId="26" applyFont="1" applyFill="1" applyAlignment="1">
      <alignment vertical="center" shrinkToFit="1"/>
    </xf>
    <xf numFmtId="170" fontId="70" fillId="33" borderId="0" xfId="0" applyNumberFormat="1" applyFont="1" applyFill="1" applyAlignment="1">
      <alignment vertical="center" wrapText="1"/>
    </xf>
    <xf numFmtId="8" fontId="70" fillId="33" borderId="0" xfId="0" applyNumberFormat="1" applyFont="1" applyFill="1" applyAlignment="1">
      <alignment vertical="center" wrapText="1"/>
    </xf>
    <xf numFmtId="0" fontId="18" fillId="0" borderId="0" xfId="20" applyFont="1" applyFill="1" applyAlignment="1">
      <alignment vertical="center" shrinkToFit="1"/>
    </xf>
    <xf numFmtId="0" fontId="18" fillId="0" borderId="0" xfId="20" applyFont="1" applyFill="1" applyAlignment="1">
      <alignment horizontal="center" vertical="center" shrinkToFit="1"/>
    </xf>
    <xf numFmtId="0" fontId="20" fillId="0" borderId="0" xfId="0" applyFont="1" applyFill="1" applyAlignment="1">
      <alignment horizontal="center" vertical="center" wrapText="1"/>
    </xf>
    <xf numFmtId="8" fontId="33" fillId="35" borderId="0" xfId="0" applyNumberFormat="1" applyFont="1" applyFill="1" applyAlignment="1">
      <alignment horizontal="center" vertical="center" shrinkToFi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30" xfId="0" applyFont="1" applyFill="1" applyBorder="1" applyAlignment="1">
      <alignment horizontal="center" vertical="center" wrapText="1"/>
    </xf>
    <xf numFmtId="0" fontId="16" fillId="32" borderId="34" xfId="0" applyFont="1" applyFill="1" applyBorder="1" applyAlignment="1">
      <alignment horizontal="center" vertical="center" wrapText="1"/>
    </xf>
    <xf numFmtId="164" fontId="16" fillId="0" borderId="27" xfId="0" applyNumberFormat="1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164" fontId="16" fillId="0" borderId="30" xfId="0" applyNumberFormat="1" applyFont="1" applyBorder="1" applyAlignment="1">
      <alignment horizontal="center" vertical="center" wrapText="1"/>
    </xf>
    <xf numFmtId="164" fontId="16" fillId="32" borderId="27" xfId="0" applyNumberFormat="1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164" fontId="16" fillId="0" borderId="29" xfId="0" applyNumberFormat="1" applyFont="1" applyBorder="1" applyAlignment="1">
      <alignment horizontal="center" vertical="center"/>
    </xf>
    <xf numFmtId="164" fontId="16" fillId="0" borderId="26" xfId="0" applyNumberFormat="1" applyFont="1" applyBorder="1" applyAlignment="1">
      <alignment horizontal="center" vertical="center"/>
    </xf>
    <xf numFmtId="164" fontId="16" fillId="0" borderId="26" xfId="0" applyNumberFormat="1" applyFont="1" applyBorder="1" applyAlignment="1">
      <alignment horizontal="center" vertical="center"/>
    </xf>
    <xf numFmtId="0" fontId="15" fillId="33" borderId="24" xfId="0" applyFont="1" applyFill="1" applyBorder="1" applyAlignment="1">
      <alignment horizontal="center"/>
    </xf>
    <xf numFmtId="0" fontId="15" fillId="33" borderId="25" xfId="0" applyFont="1" applyFill="1" applyBorder="1" applyAlignment="1">
      <alignment horizontal="center"/>
    </xf>
    <xf numFmtId="0" fontId="15" fillId="33" borderId="26" xfId="0" applyFont="1" applyFill="1" applyBorder="1" applyAlignment="1">
      <alignment horizontal="center"/>
    </xf>
    <xf numFmtId="0" fontId="15" fillId="0" borderId="35" xfId="0" applyFont="1" applyBorder="1" applyAlignment="1">
      <alignment vertical="top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left" vertical="top" wrapText="1"/>
    </xf>
    <xf numFmtId="0" fontId="16" fillId="0" borderId="36" xfId="0" applyFont="1" applyBorder="1" applyAlignment="1">
      <alignment vertical="top" wrapText="1"/>
    </xf>
    <xf numFmtId="0" fontId="16" fillId="0" borderId="36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top" wrapText="1"/>
    </xf>
    <xf numFmtId="0" fontId="16" fillId="0" borderId="36" xfId="0" applyFont="1" applyBorder="1" applyAlignment="1">
      <alignment horizontal="left" vertical="center" wrapText="1"/>
    </xf>
    <xf numFmtId="0" fontId="16" fillId="0" borderId="39" xfId="0" applyFont="1" applyBorder="1" applyAlignment="1">
      <alignment vertical="top" wrapText="1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32" borderId="27" xfId="0" applyFont="1" applyFill="1" applyBorder="1" applyAlignment="1">
      <alignment vertical="center" wrapText="1"/>
    </xf>
    <xf numFmtId="43" fontId="0" fillId="0" borderId="0" xfId="28" applyFont="1"/>
    <xf numFmtId="43" fontId="0" fillId="0" borderId="0" xfId="0" applyNumberFormat="1"/>
    <xf numFmtId="43" fontId="0" fillId="0" borderId="0" xfId="28" applyFont="1" applyFill="1"/>
    <xf numFmtId="0" fontId="16" fillId="0" borderId="36" xfId="0" applyFont="1" applyBorder="1" applyAlignment="1">
      <alignment horizontal="justify" vertical="center" wrapText="1"/>
    </xf>
    <xf numFmtId="0" fontId="17" fillId="0" borderId="0" xfId="0" applyFont="1"/>
    <xf numFmtId="0" fontId="18" fillId="0" borderId="15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left" vertical="center"/>
    </xf>
    <xf numFmtId="167" fontId="17" fillId="0" borderId="42" xfId="13" applyNumberFormat="1" applyFont="1" applyBorder="1" applyAlignment="1">
      <alignment horizontal="center" vertical="center"/>
    </xf>
    <xf numFmtId="0" fontId="17" fillId="0" borderId="40" xfId="0" applyFont="1" applyBorder="1" applyAlignment="1">
      <alignment horizontal="left" vertical="center"/>
    </xf>
    <xf numFmtId="0" fontId="16" fillId="0" borderId="30" xfId="0" applyFont="1" applyFill="1" applyBorder="1" applyAlignment="1">
      <alignment horizontal="left" vertical="center" wrapText="1"/>
    </xf>
    <xf numFmtId="0" fontId="16" fillId="0" borderId="27" xfId="0" applyFont="1" applyFill="1" applyBorder="1" applyAlignment="1">
      <alignment horizontal="left" vertical="center" wrapText="1"/>
    </xf>
    <xf numFmtId="173" fontId="26" fillId="0" borderId="0" xfId="7" applyNumberFormat="1" applyFont="1" applyFill="1" applyBorder="1" applyAlignment="1" applyProtection="1">
      <alignment horizontal="center" vertical="center" shrinkToFit="1"/>
      <protection locked="0"/>
    </xf>
    <xf numFmtId="174" fontId="26" fillId="0" borderId="0" xfId="0" applyNumberFormat="1" applyFont="1" applyFill="1" applyAlignment="1">
      <alignment horizontal="center"/>
    </xf>
    <xf numFmtId="173" fontId="26" fillId="0" borderId="0" xfId="7" applyNumberFormat="1" applyFont="1" applyFill="1" applyBorder="1" applyAlignment="1" applyProtection="1">
      <alignment horizontal="center" vertical="center"/>
    </xf>
    <xf numFmtId="173" fontId="26" fillId="0" borderId="0" xfId="7" applyNumberFormat="1" applyFont="1" applyFill="1" applyBorder="1" applyAlignment="1" applyProtection="1">
      <alignment horizontal="center" vertical="center"/>
      <protection locked="0"/>
    </xf>
    <xf numFmtId="171" fontId="26" fillId="0" borderId="0" xfId="21" applyNumberFormat="1" applyFont="1" applyFill="1" applyAlignment="1">
      <alignment horizontal="center" vertical="center"/>
    </xf>
    <xf numFmtId="173" fontId="26" fillId="0" borderId="0" xfId="30" applyNumberFormat="1" applyFont="1" applyFill="1" applyBorder="1" applyAlignment="1" applyProtection="1">
      <alignment horizontal="center" vertical="center"/>
    </xf>
    <xf numFmtId="176" fontId="26" fillId="0" borderId="0" xfId="30" applyNumberFormat="1" applyFont="1" applyFill="1" applyBorder="1" applyAlignment="1" applyProtection="1">
      <alignment horizontal="center" vertical="center"/>
    </xf>
    <xf numFmtId="0" fontId="26" fillId="0" borderId="0" xfId="30" applyNumberFormat="1" applyFont="1" applyFill="1" applyBorder="1" applyAlignment="1" applyProtection="1">
      <protection locked="0"/>
    </xf>
    <xf numFmtId="0" fontId="26" fillId="0" borderId="0" xfId="30" applyNumberFormat="1" applyFont="1" applyFill="1" applyBorder="1" applyAlignment="1" applyProtection="1">
      <alignment horizontal="center" vertical="center"/>
      <protection locked="0"/>
    </xf>
    <xf numFmtId="1" fontId="26" fillId="0" borderId="0" xfId="0" applyNumberFormat="1" applyFont="1" applyFill="1" applyAlignment="1">
      <alignment horizontal="center"/>
    </xf>
    <xf numFmtId="175" fontId="26" fillId="0" borderId="0" xfId="7" applyNumberFormat="1" applyFont="1" applyFill="1" applyBorder="1" applyAlignment="1" applyProtection="1">
      <alignment horizontal="center" vertical="center"/>
    </xf>
    <xf numFmtId="0" fontId="31" fillId="0" borderId="0" xfId="0" applyFont="1" applyFill="1" applyAlignment="1">
      <alignment horizontal="center" vertical="center" wrapText="1" shrinkToFit="1"/>
    </xf>
    <xf numFmtId="8" fontId="31" fillId="0" borderId="0" xfId="0" applyNumberFormat="1" applyFont="1" applyFill="1" applyAlignment="1">
      <alignment horizontal="center" vertical="center" shrinkToFit="1"/>
    </xf>
    <xf numFmtId="170" fontId="37" fillId="0" borderId="0" xfId="0" applyNumberFormat="1" applyFont="1" applyFill="1" applyAlignment="1">
      <alignment horizontal="center" vertical="center" shrinkToFit="1"/>
    </xf>
    <xf numFmtId="0" fontId="16" fillId="0" borderId="0" xfId="0" applyFont="1"/>
    <xf numFmtId="176" fontId="26" fillId="0" borderId="0" xfId="7" applyNumberFormat="1" applyFont="1" applyFill="1" applyBorder="1" applyAlignment="1" applyProtection="1">
      <alignment horizontal="center" vertical="center" shrinkToFit="1"/>
      <protection locked="0"/>
    </xf>
    <xf numFmtId="164" fontId="16" fillId="0" borderId="27" xfId="0" applyNumberFormat="1" applyFont="1" applyBorder="1" applyAlignment="1">
      <alignment horizontal="center" vertical="center"/>
    </xf>
    <xf numFmtId="170" fontId="37" fillId="0" borderId="0" xfId="0" applyNumberFormat="1" applyFont="1" applyFill="1" applyAlignment="1">
      <alignment vertical="center" shrinkToFit="1"/>
    </xf>
    <xf numFmtId="170" fontId="70" fillId="0" borderId="0" xfId="0" applyNumberFormat="1" applyFont="1" applyFill="1" applyAlignment="1">
      <alignment horizontal="center" vertical="center" wrapText="1"/>
    </xf>
    <xf numFmtId="170" fontId="70" fillId="0" borderId="0" xfId="0" applyNumberFormat="1" applyFont="1" applyFill="1" applyAlignment="1">
      <alignment vertical="center" wrapText="1"/>
    </xf>
    <xf numFmtId="8" fontId="70" fillId="0" borderId="0" xfId="0" applyNumberFormat="1" applyFont="1" applyFill="1" applyAlignment="1">
      <alignment vertical="center" wrapText="1"/>
    </xf>
    <xf numFmtId="1" fontId="20" fillId="0" borderId="0" xfId="0" applyNumberFormat="1" applyFont="1" applyAlignment="1">
      <alignment shrinkToFit="1"/>
    </xf>
    <xf numFmtId="0" fontId="16" fillId="32" borderId="26" xfId="0" applyFont="1" applyFill="1" applyBorder="1" applyAlignment="1">
      <alignment horizontal="center" vertical="center" wrapText="1"/>
    </xf>
    <xf numFmtId="0" fontId="44" fillId="14" borderId="5" xfId="0" applyFont="1" applyFill="1" applyBorder="1" applyAlignment="1">
      <alignment horizontal="left"/>
    </xf>
    <xf numFmtId="0" fontId="0" fillId="0" borderId="5" xfId="0" applyBorder="1" applyAlignment="1">
      <alignment horizontal="left" vertical="center"/>
    </xf>
    <xf numFmtId="0" fontId="44" fillId="19" borderId="6" xfId="0" applyFont="1" applyFill="1" applyBorder="1" applyAlignment="1">
      <alignment horizontal="left" vertical="center"/>
    </xf>
    <xf numFmtId="0" fontId="44" fillId="19" borderId="7" xfId="0" applyFont="1" applyFill="1" applyBorder="1" applyAlignment="1">
      <alignment horizontal="center" vertical="center"/>
    </xf>
    <xf numFmtId="44" fontId="0" fillId="0" borderId="5" xfId="13" applyNumberFormat="1" applyFont="1" applyFill="1" applyBorder="1" applyAlignment="1">
      <alignment horizontal="left" vertical="center"/>
    </xf>
    <xf numFmtId="0" fontId="44" fillId="19" borderId="7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43" fontId="15" fillId="0" borderId="0" xfId="28" applyFont="1"/>
    <xf numFmtId="0" fontId="16" fillId="0" borderId="52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164" fontId="16" fillId="0" borderId="5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shrinkToFit="1"/>
    </xf>
    <xf numFmtId="0" fontId="65" fillId="0" borderId="0" xfId="0" applyFont="1" applyFill="1" applyAlignment="1">
      <alignment horizontal="center" vertical="center" wrapText="1"/>
    </xf>
    <xf numFmtId="0" fontId="28" fillId="37" borderId="0" xfId="0" applyFont="1" applyFill="1" applyAlignment="1">
      <alignment horizontal="center" vertical="center" wrapText="1" shrinkToFit="1"/>
    </xf>
    <xf numFmtId="0" fontId="74" fillId="33" borderId="0" xfId="25" applyFont="1" applyFill="1" applyAlignment="1">
      <alignment horizontal="center" wrapText="1"/>
    </xf>
    <xf numFmtId="0" fontId="60" fillId="33" borderId="0" xfId="25" applyFont="1" applyFill="1" applyAlignment="1">
      <alignment horizontal="center" wrapText="1" shrinkToFit="1"/>
    </xf>
    <xf numFmtId="0" fontId="20" fillId="0" borderId="0" xfId="24" applyFont="1" applyFill="1" applyAlignment="1">
      <alignment horizontal="center" vertical="center" shrinkToFit="1"/>
    </xf>
    <xf numFmtId="2" fontId="20" fillId="0" borderId="0" xfId="24" applyNumberFormat="1" applyFont="1" applyFill="1" applyAlignment="1">
      <alignment horizontal="center" vertical="center" shrinkToFit="1"/>
    </xf>
    <xf numFmtId="8" fontId="20" fillId="0" borderId="0" xfId="24" applyNumberFormat="1" applyFont="1" applyFill="1" applyAlignment="1" applyProtection="1">
      <alignment horizontal="center" vertical="center"/>
      <protection locked="0"/>
    </xf>
    <xf numFmtId="0" fontId="25" fillId="37" borderId="0" xfId="0" applyFont="1" applyFill="1" applyAlignment="1">
      <alignment horizontal="center" vertical="center" shrinkToFit="1"/>
    </xf>
    <xf numFmtId="170" fontId="20" fillId="0" borderId="0" xfId="24" applyNumberFormat="1" applyFont="1" applyFill="1" applyAlignment="1" applyProtection="1">
      <alignment horizontal="center" vertical="center" shrinkToFit="1"/>
      <protection locked="0"/>
    </xf>
    <xf numFmtId="170" fontId="20" fillId="0" borderId="0" xfId="24" applyNumberFormat="1" applyFont="1" applyFill="1" applyAlignment="1">
      <alignment horizontal="center" vertical="center" shrinkToFit="1"/>
    </xf>
    <xf numFmtId="0" fontId="58" fillId="0" borderId="0" xfId="24" applyFont="1" applyFill="1" applyAlignment="1" applyProtection="1">
      <alignment horizontal="center" vertical="center" shrinkToFit="1"/>
      <protection locked="0"/>
    </xf>
    <xf numFmtId="0" fontId="20" fillId="0" borderId="0" xfId="24" applyFont="1" applyFill="1" applyAlignment="1" applyProtection="1">
      <alignment horizontal="center" vertical="center" shrinkToFit="1"/>
      <protection locked="0"/>
    </xf>
    <xf numFmtId="173" fontId="20" fillId="0" borderId="0" xfId="7" applyNumberFormat="1" applyFont="1" applyFill="1" applyBorder="1" applyAlignment="1" applyProtection="1">
      <alignment horizontal="center" vertical="center" shrinkToFit="1"/>
      <protection locked="0"/>
    </xf>
    <xf numFmtId="173" fontId="20" fillId="0" borderId="0" xfId="7" applyNumberFormat="1" applyFont="1" applyFill="1" applyBorder="1" applyAlignment="1" applyProtection="1">
      <alignment horizontal="center" vertical="center"/>
      <protection locked="0"/>
    </xf>
    <xf numFmtId="8" fontId="20" fillId="0" borderId="0" xfId="21" applyNumberFormat="1" applyFont="1" applyFill="1" applyAlignment="1" applyProtection="1">
      <alignment horizontal="center" vertical="center"/>
      <protection locked="0"/>
    </xf>
    <xf numFmtId="175" fontId="20" fillId="0" borderId="0" xfId="30" applyNumberFormat="1" applyFont="1" applyFill="1" applyBorder="1" applyAlignment="1" applyProtection="1">
      <alignment horizontal="center" vertical="center"/>
      <protection locked="0"/>
    </xf>
    <xf numFmtId="8" fontId="20" fillId="0" borderId="0" xfId="27" applyNumberFormat="1" applyFont="1" applyFill="1" applyAlignment="1" applyProtection="1">
      <alignment horizontal="center" vertical="center"/>
      <protection locked="0"/>
    </xf>
    <xf numFmtId="171" fontId="20" fillId="0" borderId="0" xfId="27" applyNumberFormat="1" applyFont="1" applyFill="1" applyAlignment="1" applyProtection="1">
      <alignment horizontal="center" vertical="center"/>
      <protection locked="0"/>
    </xf>
    <xf numFmtId="0" fontId="58" fillId="0" borderId="0" xfId="0" applyFont="1" applyAlignment="1">
      <alignment wrapText="1"/>
    </xf>
    <xf numFmtId="170" fontId="35" fillId="0" borderId="0" xfId="0" applyNumberFormat="1" applyFont="1" applyFill="1" applyAlignment="1">
      <alignment vertical="center" shrinkToFit="1"/>
    </xf>
    <xf numFmtId="170" fontId="35" fillId="0" borderId="0" xfId="0" applyNumberFormat="1" applyFont="1" applyFill="1" applyAlignment="1">
      <alignment horizontal="center" vertical="center" shrinkToFit="1"/>
    </xf>
    <xf numFmtId="0" fontId="75" fillId="0" borderId="41" xfId="0" applyFont="1" applyBorder="1"/>
    <xf numFmtId="0" fontId="55" fillId="0" borderId="40" xfId="0" applyFont="1" applyBorder="1" applyAlignment="1">
      <alignment horizontal="left" vertical="center"/>
    </xf>
    <xf numFmtId="164" fontId="55" fillId="23" borderId="41" xfId="13" applyNumberFormat="1" applyFont="1" applyFill="1" applyBorder="1" applyAlignment="1" applyProtection="1">
      <alignment horizontal="center" vertical="center"/>
      <protection locked="0"/>
    </xf>
    <xf numFmtId="0" fontId="55" fillId="23" borderId="41" xfId="0" applyFont="1" applyFill="1" applyBorder="1" applyAlignment="1" applyProtection="1">
      <alignment horizontal="center" vertical="center"/>
      <protection locked="0"/>
    </xf>
    <xf numFmtId="0" fontId="55" fillId="0" borderId="41" xfId="0" applyFont="1" applyBorder="1"/>
    <xf numFmtId="166" fontId="13" fillId="0" borderId="0" xfId="13" applyFont="1" applyAlignment="1">
      <alignment shrinkToFit="1"/>
    </xf>
    <xf numFmtId="0" fontId="0" fillId="0" borderId="41" xfId="0" applyBorder="1" applyAlignment="1">
      <alignment vertical="center" wrapText="1"/>
    </xf>
    <xf numFmtId="44" fontId="0" fillId="12" borderId="5" xfId="13" applyNumberFormat="1" applyFont="1" applyFill="1" applyBorder="1"/>
    <xf numFmtId="0" fontId="16" fillId="0" borderId="57" xfId="0" applyFont="1" applyBorder="1" applyAlignment="1">
      <alignment horizontal="center" vertical="center" wrapText="1"/>
    </xf>
    <xf numFmtId="0" fontId="16" fillId="0" borderId="58" xfId="0" applyFont="1" applyBorder="1" applyAlignment="1">
      <alignment horizontal="center" vertical="center" wrapText="1"/>
    </xf>
    <xf numFmtId="0" fontId="38" fillId="0" borderId="0" xfId="22" applyFont="1" applyFill="1" applyBorder="1" applyAlignment="1">
      <alignment vertical="center" shrinkToFit="1"/>
    </xf>
    <xf numFmtId="0" fontId="26" fillId="0" borderId="0" xfId="21" applyFont="1" applyFill="1" applyAlignment="1" applyProtection="1">
      <alignment horizontal="left" shrinkToFit="1"/>
      <protection locked="0"/>
    </xf>
    <xf numFmtId="0" fontId="72" fillId="0" borderId="59" xfId="20" applyFont="1" applyFill="1" applyBorder="1" applyAlignment="1">
      <alignment vertical="center" shrinkToFit="1"/>
    </xf>
    <xf numFmtId="0" fontId="18" fillId="0" borderId="23" xfId="20" applyFont="1" applyFill="1" applyBorder="1" applyAlignment="1">
      <alignment vertical="center" shrinkToFit="1"/>
    </xf>
    <xf numFmtId="0" fontId="17" fillId="0" borderId="28" xfId="20" applyFont="1" applyFill="1" applyBorder="1" applyAlignment="1">
      <alignment horizontal="center" vertical="center" shrinkToFit="1"/>
    </xf>
    <xf numFmtId="0" fontId="17" fillId="0" borderId="49" xfId="29" applyFont="1" applyFill="1" applyBorder="1" applyAlignment="1">
      <alignment horizontal="center" vertical="center" shrinkToFit="1"/>
    </xf>
    <xf numFmtId="0" fontId="17" fillId="0" borderId="28" xfId="29" applyFont="1" applyFill="1" applyBorder="1" applyAlignment="1">
      <alignment horizontal="center" vertical="center" shrinkToFit="1"/>
    </xf>
    <xf numFmtId="0" fontId="18" fillId="0" borderId="28" xfId="21" applyFont="1" applyFill="1" applyBorder="1" applyAlignment="1">
      <alignment horizontal="center" vertical="center" shrinkToFit="1"/>
    </xf>
    <xf numFmtId="1" fontId="18" fillId="0" borderId="28" xfId="20" applyNumberFormat="1" applyFont="1" applyFill="1" applyBorder="1" applyAlignment="1">
      <alignment horizontal="center" vertical="center" shrinkToFit="1"/>
    </xf>
    <xf numFmtId="0" fontId="17" fillId="0" borderId="51" xfId="20" applyFont="1" applyFill="1" applyBorder="1" applyAlignment="1">
      <alignment horizontal="center" vertical="center" shrinkToFit="1"/>
    </xf>
    <xf numFmtId="0" fontId="17" fillId="0" borderId="0" xfId="29" applyFont="1" applyFill="1" applyBorder="1" applyAlignment="1">
      <alignment horizontal="center" vertical="center" shrinkToFit="1"/>
    </xf>
    <xf numFmtId="0" fontId="17" fillId="0" borderId="51" xfId="29" applyFont="1" applyFill="1" applyBorder="1" applyAlignment="1">
      <alignment horizontal="center" vertical="center" shrinkToFit="1"/>
    </xf>
    <xf numFmtId="0" fontId="18" fillId="0" borderId="51" xfId="21" applyFont="1" applyFill="1" applyBorder="1" applyAlignment="1">
      <alignment horizontal="center" vertical="center" shrinkToFit="1"/>
    </xf>
    <xf numFmtId="1" fontId="18" fillId="0" borderId="51" xfId="20" applyNumberFormat="1" applyFont="1" applyFill="1" applyBorder="1" applyAlignment="1">
      <alignment horizontal="center" vertical="center" shrinkToFit="1"/>
    </xf>
    <xf numFmtId="0" fontId="18" fillId="0" borderId="23" xfId="20" applyFont="1" applyFill="1" applyBorder="1" applyAlignment="1">
      <alignment horizontal="center" vertical="center" shrinkToFit="1"/>
    </xf>
    <xf numFmtId="0" fontId="18" fillId="0" borderId="33" xfId="20" applyFont="1" applyFill="1" applyBorder="1" applyAlignment="1">
      <alignment vertical="center" shrinkToFit="1"/>
    </xf>
    <xf numFmtId="0" fontId="17" fillId="0" borderId="30" xfId="20" applyFont="1" applyFill="1" applyBorder="1" applyAlignment="1">
      <alignment horizontal="center" vertical="center" shrinkToFit="1"/>
    </xf>
    <xf numFmtId="0" fontId="17" fillId="0" borderId="34" xfId="29" applyFont="1" applyFill="1" applyBorder="1" applyAlignment="1">
      <alignment horizontal="center" vertical="center" shrinkToFit="1"/>
    </xf>
    <xf numFmtId="0" fontId="17" fillId="0" borderId="30" xfId="29" applyFont="1" applyFill="1" applyBorder="1" applyAlignment="1">
      <alignment horizontal="center" vertical="center" shrinkToFit="1"/>
    </xf>
    <xf numFmtId="0" fontId="18" fillId="0" borderId="30" xfId="21" applyFont="1" applyFill="1" applyBorder="1" applyAlignment="1">
      <alignment horizontal="center" vertical="center" shrinkToFit="1"/>
    </xf>
    <xf numFmtId="1" fontId="18" fillId="0" borderId="30" xfId="20" applyNumberFormat="1" applyFont="1" applyFill="1" applyBorder="1" applyAlignment="1">
      <alignment horizontal="center" vertical="center" shrinkToFit="1"/>
    </xf>
    <xf numFmtId="0" fontId="18" fillId="49" borderId="28" xfId="20" applyFont="1" applyFill="1" applyBorder="1" applyAlignment="1">
      <alignment horizontal="center" vertical="center" shrinkToFit="1"/>
    </xf>
    <xf numFmtId="0" fontId="18" fillId="49" borderId="32" xfId="29" applyFont="1" applyFill="1" applyBorder="1" applyAlignment="1">
      <alignment horizontal="center" vertical="center" shrinkToFit="1"/>
    </xf>
    <xf numFmtId="0" fontId="18" fillId="49" borderId="49" xfId="21" applyFont="1" applyFill="1" applyBorder="1" applyAlignment="1">
      <alignment horizontal="center" vertical="center" wrapText="1" shrinkToFit="1"/>
    </xf>
    <xf numFmtId="0" fontId="18" fillId="49" borderId="27" xfId="20" applyFont="1" applyFill="1" applyBorder="1" applyAlignment="1">
      <alignment horizontal="center" vertical="center" shrinkToFit="1"/>
    </xf>
    <xf numFmtId="0" fontId="18" fillId="50" borderId="24" xfId="20" applyFont="1" applyFill="1" applyBorder="1" applyAlignment="1">
      <alignment vertical="center" shrinkToFit="1"/>
    </xf>
    <xf numFmtId="0" fontId="18" fillId="50" borderId="27" xfId="20" applyFont="1" applyFill="1" applyBorder="1" applyAlignment="1">
      <alignment horizontal="center" vertical="center" shrinkToFit="1"/>
    </xf>
    <xf numFmtId="0" fontId="18" fillId="50" borderId="30" xfId="20" applyFont="1" applyFill="1" applyBorder="1" applyAlignment="1">
      <alignment horizontal="center" vertical="center" shrinkToFit="1"/>
    </xf>
    <xf numFmtId="1" fontId="18" fillId="50" borderId="30" xfId="20" applyNumberFormat="1" applyFont="1" applyFill="1" applyBorder="1" applyAlignment="1">
      <alignment horizontal="center" vertical="center" shrinkToFit="1"/>
    </xf>
    <xf numFmtId="0" fontId="24" fillId="51" borderId="0" xfId="23" applyFont="1" applyFill="1" applyAlignment="1" applyProtection="1">
      <alignment horizontal="center" shrinkToFit="1"/>
      <protection locked="0"/>
    </xf>
    <xf numFmtId="0" fontId="24" fillId="51" borderId="0" xfId="23" applyFont="1" applyFill="1" applyAlignment="1">
      <alignment horizontal="center" vertical="center" shrinkToFit="1"/>
    </xf>
    <xf numFmtId="172" fontId="24" fillId="51" borderId="0" xfId="23" applyNumberFormat="1" applyFont="1" applyFill="1" applyAlignment="1" applyProtection="1">
      <alignment horizontal="center" vertical="center" shrinkToFit="1"/>
      <protection locked="0"/>
    </xf>
    <xf numFmtId="0" fontId="25" fillId="51" borderId="0" xfId="23" applyFont="1" applyFill="1" applyAlignment="1">
      <alignment horizontal="center" vertical="center" shrinkToFit="1"/>
    </xf>
    <xf numFmtId="0" fontId="24" fillId="51" borderId="0" xfId="23" applyFont="1" applyFill="1" applyAlignment="1" applyProtection="1">
      <alignment horizontal="center" vertical="center" wrapText="1"/>
      <protection locked="0"/>
    </xf>
    <xf numFmtId="44" fontId="44" fillId="12" borderId="5" xfId="0" applyNumberFormat="1" applyFont="1" applyFill="1" applyBorder="1"/>
    <xf numFmtId="0" fontId="73" fillId="0" borderId="0" xfId="0" applyFont="1"/>
    <xf numFmtId="0" fontId="60" fillId="52" borderId="0" xfId="23" applyFont="1" applyFill="1" applyAlignment="1" applyProtection="1">
      <alignment horizontal="center" shrinkToFit="1"/>
      <protection locked="0"/>
    </xf>
    <xf numFmtId="0" fontId="60" fillId="52" borderId="0" xfId="23" applyFont="1" applyFill="1" applyAlignment="1">
      <alignment horizontal="center" vertical="center" shrinkToFit="1"/>
    </xf>
    <xf numFmtId="172" fontId="60" fillId="52" borderId="0" xfId="23" applyNumberFormat="1" applyFont="1" applyFill="1" applyAlignment="1" applyProtection="1">
      <alignment horizontal="center" vertical="center" shrinkToFit="1"/>
      <protection locked="0"/>
    </xf>
    <xf numFmtId="0" fontId="35" fillId="52" borderId="0" xfId="23" applyFont="1" applyFill="1" applyAlignment="1">
      <alignment horizontal="center" vertical="center" shrinkToFit="1"/>
    </xf>
    <xf numFmtId="0" fontId="77" fillId="0" borderId="0" xfId="0" applyFont="1" applyAlignment="1"/>
    <xf numFmtId="0" fontId="63" fillId="0" borderId="0" xfId="24" applyFont="1" applyFill="1" applyAlignment="1">
      <alignment shrinkToFit="1"/>
    </xf>
    <xf numFmtId="0" fontId="63" fillId="0" borderId="0" xfId="24" applyFont="1" applyFill="1" applyAlignment="1" applyProtection="1">
      <alignment horizontal="center" vertical="center" shrinkToFit="1"/>
      <protection locked="0"/>
    </xf>
    <xf numFmtId="164" fontId="77" fillId="0" borderId="0" xfId="24" applyNumberFormat="1" applyFont="1" applyFill="1" applyAlignment="1" applyProtection="1">
      <alignment horizontal="center" vertical="center" shrinkToFit="1"/>
      <protection locked="0"/>
    </xf>
    <xf numFmtId="172" fontId="63" fillId="0" borderId="0" xfId="24" applyNumberFormat="1" applyFont="1" applyFill="1" applyAlignment="1" applyProtection="1">
      <alignment horizontal="center" vertical="center" shrinkToFit="1"/>
      <protection locked="0"/>
    </xf>
    <xf numFmtId="164" fontId="63" fillId="0" borderId="0" xfId="24" applyNumberFormat="1" applyFont="1" applyFill="1" applyAlignment="1" applyProtection="1">
      <alignment horizontal="center" vertical="center" shrinkToFit="1"/>
      <protection locked="0"/>
    </xf>
    <xf numFmtId="0" fontId="77" fillId="0" borderId="0" xfId="0" applyFont="1" applyAlignment="1">
      <alignment shrinkToFit="1"/>
    </xf>
    <xf numFmtId="164" fontId="77" fillId="36" borderId="0" xfId="24" applyNumberFormat="1" applyFont="1" applyFill="1" applyAlignment="1" applyProtection="1">
      <alignment horizontal="center" vertical="center" shrinkToFit="1"/>
      <protection locked="0"/>
    </xf>
    <xf numFmtId="0" fontId="77" fillId="0" borderId="0" xfId="24" applyFont="1" applyFill="1" applyAlignment="1" applyProtection="1">
      <alignment shrinkToFit="1"/>
      <protection locked="0"/>
    </xf>
    <xf numFmtId="172" fontId="77" fillId="0" borderId="0" xfId="24" applyNumberFormat="1" applyFont="1" applyFill="1" applyAlignment="1" applyProtection="1">
      <alignment horizontal="center" vertical="center" shrinkToFit="1"/>
      <protection locked="0"/>
    </xf>
    <xf numFmtId="0" fontId="63" fillId="0" borderId="0" xfId="24" applyFont="1" applyFill="1" applyAlignment="1" applyProtection="1">
      <alignment horizontal="center" vertical="center"/>
      <protection locked="0"/>
    </xf>
    <xf numFmtId="8" fontId="77" fillId="0" borderId="0" xfId="24" applyNumberFormat="1" applyFont="1" applyFill="1" applyAlignment="1" applyProtection="1">
      <alignment horizontal="center" vertical="center"/>
      <protection locked="0"/>
    </xf>
    <xf numFmtId="172" fontId="63" fillId="0" borderId="0" xfId="0" applyNumberFormat="1" applyFont="1" applyFill="1" applyAlignment="1">
      <alignment horizontal="center"/>
    </xf>
    <xf numFmtId="171" fontId="63" fillId="0" borderId="0" xfId="24" applyNumberFormat="1" applyFont="1" applyFill="1" applyAlignment="1">
      <alignment horizontal="center" vertical="center"/>
    </xf>
    <xf numFmtId="0" fontId="63" fillId="0" borderId="0" xfId="24" applyFont="1" applyFill="1" applyAlignment="1" applyProtection="1">
      <protection locked="0"/>
    </xf>
    <xf numFmtId="0" fontId="37" fillId="37" borderId="0" xfId="0" applyFont="1" applyFill="1" applyAlignment="1"/>
    <xf numFmtId="0" fontId="37" fillId="37" borderId="0" xfId="0" applyFont="1" applyFill="1" applyAlignment="1">
      <alignment shrinkToFit="1"/>
    </xf>
    <xf numFmtId="0" fontId="37" fillId="37" borderId="0" xfId="0" applyFont="1" applyFill="1" applyAlignment="1">
      <alignment horizontal="center" vertical="center" shrinkToFit="1"/>
    </xf>
    <xf numFmtId="0" fontId="35" fillId="37" borderId="0" xfId="0" applyFont="1" applyFill="1" applyAlignment="1">
      <alignment horizontal="center" vertical="center" shrinkToFit="1"/>
    </xf>
    <xf numFmtId="172" fontId="37" fillId="37" borderId="0" xfId="0" applyNumberFormat="1" applyFont="1" applyFill="1" applyAlignment="1">
      <alignment horizontal="center" vertical="center" shrinkToFit="1"/>
    </xf>
    <xf numFmtId="164" fontId="37" fillId="37" borderId="0" xfId="0" applyNumberFormat="1" applyFont="1" applyFill="1" applyAlignment="1">
      <alignment horizontal="center" vertical="center" shrinkToFit="1"/>
    </xf>
    <xf numFmtId="0" fontId="77" fillId="33" borderId="0" xfId="0" applyFont="1" applyFill="1" applyAlignment="1">
      <alignment shrinkToFit="1"/>
    </xf>
    <xf numFmtId="0" fontId="77" fillId="33" borderId="0" xfId="0" applyFont="1" applyFill="1" applyAlignment="1">
      <alignment horizontal="center" vertical="center" shrinkToFit="1"/>
    </xf>
    <xf numFmtId="172" fontId="77" fillId="33" borderId="0" xfId="0" applyNumberFormat="1" applyFont="1" applyFill="1" applyAlignment="1">
      <alignment horizontal="center" vertical="center" shrinkToFit="1"/>
    </xf>
    <xf numFmtId="0" fontId="77" fillId="0" borderId="0" xfId="0" applyFont="1" applyAlignment="1" applyProtection="1">
      <alignment shrinkToFit="1"/>
      <protection locked="0"/>
    </xf>
    <xf numFmtId="0" fontId="77" fillId="0" borderId="0" xfId="0" applyFont="1" applyAlignment="1">
      <alignment horizontal="center" vertical="center" shrinkToFit="1"/>
    </xf>
    <xf numFmtId="172" fontId="77" fillId="0" borderId="0" xfId="0" applyNumberFormat="1" applyFont="1" applyAlignment="1">
      <alignment horizontal="center" vertical="center" shrinkToFit="1"/>
    </xf>
    <xf numFmtId="0" fontId="63" fillId="0" borderId="0" xfId="0" applyFont="1" applyFill="1"/>
    <xf numFmtId="170" fontId="77" fillId="0" borderId="0" xfId="24" applyNumberFormat="1" applyFont="1" applyFill="1" applyAlignment="1" applyProtection="1">
      <alignment horizontal="center" vertical="center" shrinkToFit="1"/>
      <protection locked="0"/>
    </xf>
    <xf numFmtId="170" fontId="63" fillId="0" borderId="0" xfId="24" applyNumberFormat="1" applyFont="1" applyFill="1" applyAlignment="1">
      <alignment horizontal="center" vertical="center" shrinkToFit="1"/>
    </xf>
    <xf numFmtId="170" fontId="77" fillId="36" borderId="0" xfId="24" applyNumberFormat="1" applyFont="1" applyFill="1" applyAlignment="1" applyProtection="1">
      <alignment horizontal="center" vertical="center" shrinkToFit="1"/>
      <protection locked="0"/>
    </xf>
    <xf numFmtId="0" fontId="35" fillId="0" borderId="0" xfId="0" applyFont="1" applyAlignment="1">
      <alignment shrinkToFit="1"/>
    </xf>
    <xf numFmtId="170" fontId="37" fillId="37" borderId="0" xfId="0" applyNumberFormat="1" applyFont="1" applyFill="1" applyAlignment="1">
      <alignment horizontal="center" vertical="center" shrinkToFit="1"/>
    </xf>
    <xf numFmtId="0" fontId="35" fillId="33" borderId="0" xfId="0" applyFont="1" applyFill="1" applyAlignment="1">
      <alignment horizontal="left" shrinkToFit="1"/>
    </xf>
    <xf numFmtId="170" fontId="35" fillId="33" borderId="0" xfId="0" applyNumberFormat="1" applyFont="1" applyFill="1" applyAlignment="1">
      <alignment horizontal="left" shrinkToFit="1"/>
    </xf>
    <xf numFmtId="0" fontId="35" fillId="33" borderId="0" xfId="0" applyFont="1" applyFill="1" applyAlignment="1">
      <alignment horizontal="center" vertical="center" shrinkToFit="1"/>
    </xf>
    <xf numFmtId="172" fontId="35" fillId="33" borderId="0" xfId="0" applyNumberFormat="1" applyFont="1" applyFill="1" applyAlignment="1">
      <alignment horizontal="center" vertical="center" shrinkToFit="1"/>
    </xf>
    <xf numFmtId="170" fontId="37" fillId="37" borderId="0" xfId="0" applyNumberFormat="1" applyFont="1" applyFill="1" applyAlignment="1">
      <alignment horizontal="left" shrinkToFit="1"/>
    </xf>
    <xf numFmtId="0" fontId="77" fillId="33" borderId="0" xfId="0" applyFont="1" applyFill="1" applyAlignment="1" applyProtection="1">
      <alignment shrinkToFit="1"/>
      <protection locked="0"/>
    </xf>
    <xf numFmtId="0" fontId="77" fillId="33" borderId="0" xfId="0" applyFont="1" applyFill="1" applyAlignment="1" applyProtection="1">
      <alignment horizontal="center" vertical="center" shrinkToFit="1"/>
      <protection locked="0"/>
    </xf>
    <xf numFmtId="172" fontId="77" fillId="33" borderId="0" xfId="0" applyNumberFormat="1" applyFont="1" applyFill="1" applyAlignment="1" applyProtection="1">
      <alignment horizontal="center" vertical="center" shrinkToFit="1"/>
      <protection locked="0"/>
    </xf>
    <xf numFmtId="170" fontId="63" fillId="0" borderId="0" xfId="24" applyNumberFormat="1" applyFont="1" applyFill="1" applyAlignment="1" applyProtection="1">
      <alignment horizontal="center" vertical="center" shrinkToFit="1"/>
      <protection locked="0"/>
    </xf>
    <xf numFmtId="170" fontId="77" fillId="0" borderId="0" xfId="24" applyNumberFormat="1" applyFont="1" applyFill="1" applyAlignment="1">
      <alignment horizontal="center" vertical="center" shrinkToFit="1"/>
    </xf>
    <xf numFmtId="0" fontId="77" fillId="0" borderId="0" xfId="0" applyFont="1" applyAlignment="1" applyProtection="1">
      <alignment horizontal="center" vertical="center" shrinkToFit="1"/>
      <protection locked="0"/>
    </xf>
    <xf numFmtId="170" fontId="77" fillId="0" borderId="0" xfId="0" applyNumberFormat="1" applyFont="1" applyAlignment="1" applyProtection="1">
      <alignment horizontal="center" vertical="center" shrinkToFit="1"/>
      <protection locked="0"/>
    </xf>
    <xf numFmtId="172" fontId="77" fillId="0" borderId="0" xfId="0" applyNumberFormat="1" applyFont="1" applyAlignment="1" applyProtection="1">
      <alignment horizontal="center" vertical="center" shrinkToFit="1"/>
      <protection locked="0"/>
    </xf>
    <xf numFmtId="172" fontId="77" fillId="0" borderId="0" xfId="0" applyNumberFormat="1" applyFont="1" applyFill="1" applyAlignment="1">
      <alignment horizontal="center" vertical="center" shrinkToFit="1"/>
    </xf>
    <xf numFmtId="164" fontId="63" fillId="0" borderId="0" xfId="24" applyNumberFormat="1" applyFont="1" applyFill="1" applyAlignment="1">
      <alignment horizontal="center" vertical="center" shrinkToFit="1"/>
    </xf>
    <xf numFmtId="0" fontId="35" fillId="0" borderId="0" xfId="0" applyFont="1" applyAlignment="1">
      <alignment horizontal="left" shrinkToFit="1"/>
    </xf>
    <xf numFmtId="170" fontId="35" fillId="0" borderId="0" xfId="0" applyNumberFormat="1" applyFont="1" applyAlignment="1">
      <alignment horizontal="left" shrinkToFit="1"/>
    </xf>
    <xf numFmtId="0" fontId="35" fillId="0" borderId="0" xfId="0" applyFont="1" applyAlignment="1">
      <alignment horizontal="center" vertical="center" shrinkToFit="1"/>
    </xf>
    <xf numFmtId="172" fontId="35" fillId="0" borderId="0" xfId="0" applyNumberFormat="1" applyFont="1" applyAlignment="1">
      <alignment horizontal="center" vertical="center" shrinkToFit="1"/>
    </xf>
    <xf numFmtId="172" fontId="35" fillId="0" borderId="0" xfId="0" applyNumberFormat="1" applyFont="1" applyFill="1" applyAlignment="1">
      <alignment horizontal="center" vertical="center" shrinkToFit="1"/>
    </xf>
    <xf numFmtId="10" fontId="37" fillId="37" borderId="0" xfId="19" applyNumberFormat="1" applyFont="1" applyFill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32" borderId="24" xfId="0" applyFont="1" applyFill="1" applyBorder="1" applyAlignment="1">
      <alignment horizontal="center" vertical="center" wrapText="1"/>
    </xf>
    <xf numFmtId="0" fontId="16" fillId="32" borderId="26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5" fillId="0" borderId="35" xfId="0" applyFont="1" applyBorder="1" applyAlignment="1">
      <alignment horizontal="center" vertical="top" wrapText="1"/>
    </xf>
    <xf numFmtId="0" fontId="15" fillId="0" borderId="37" xfId="0" applyFont="1" applyBorder="1" applyAlignment="1">
      <alignment horizontal="center" vertical="top" wrapText="1"/>
    </xf>
    <xf numFmtId="0" fontId="15" fillId="0" borderId="38" xfId="0" applyFont="1" applyBorder="1" applyAlignment="1">
      <alignment horizontal="center" vertical="top" wrapText="1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4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18" fillId="44" borderId="24" xfId="0" applyFont="1" applyFill="1" applyBorder="1" applyAlignment="1">
      <alignment horizontal="center" vertical="center"/>
    </xf>
    <xf numFmtId="0" fontId="18" fillId="44" borderId="25" xfId="0" applyFont="1" applyFill="1" applyBorder="1" applyAlignment="1">
      <alignment horizontal="center" vertical="center"/>
    </xf>
    <xf numFmtId="0" fontId="18" fillId="44" borderId="26" xfId="0" applyFont="1" applyFill="1" applyBorder="1" applyAlignment="1">
      <alignment horizontal="center" vertical="center"/>
    </xf>
    <xf numFmtId="0" fontId="18" fillId="0" borderId="43" xfId="0" applyFont="1" applyBorder="1" applyAlignment="1">
      <alignment horizontal="right" vertical="center"/>
    </xf>
    <xf numFmtId="0" fontId="18" fillId="0" borderId="44" xfId="0" applyFont="1" applyBorder="1" applyAlignment="1">
      <alignment horizontal="right" vertical="center"/>
    </xf>
    <xf numFmtId="0" fontId="54" fillId="22" borderId="14" xfId="0" applyFont="1" applyFill="1" applyBorder="1" applyAlignment="1">
      <alignment horizontal="center" vertical="center"/>
    </xf>
    <xf numFmtId="0" fontId="54" fillId="0" borderId="21" xfId="0" applyFont="1" applyBorder="1" applyAlignment="1">
      <alignment horizontal="right" vertical="center"/>
    </xf>
    <xf numFmtId="0" fontId="54" fillId="0" borderId="14" xfId="0" applyFont="1" applyBorder="1" applyAlignment="1">
      <alignment horizontal="center" vertical="center"/>
    </xf>
    <xf numFmtId="0" fontId="44" fillId="14" borderId="5" xfId="0" applyFont="1" applyFill="1" applyBorder="1" applyAlignment="1">
      <alignment horizontal="left"/>
    </xf>
    <xf numFmtId="0" fontId="44" fillId="14" borderId="5" xfId="0" applyFont="1" applyFill="1" applyBorder="1" applyAlignment="1">
      <alignment horizontal="center" wrapText="1"/>
    </xf>
    <xf numFmtId="0" fontId="44" fillId="14" borderId="6" xfId="0" applyFont="1" applyFill="1" applyBorder="1" applyAlignment="1">
      <alignment horizontal="left" wrapText="1"/>
    </xf>
    <xf numFmtId="0" fontId="44" fillId="14" borderId="8" xfId="0" applyFont="1" applyFill="1" applyBorder="1" applyAlignment="1">
      <alignment horizontal="left" wrapText="1"/>
    </xf>
    <xf numFmtId="0" fontId="44" fillId="14" borderId="7" xfId="0" applyFont="1" applyFill="1" applyBorder="1" applyAlignment="1">
      <alignment horizontal="left" wrapText="1"/>
    </xf>
    <xf numFmtId="0" fontId="44" fillId="18" borderId="5" xfId="0" applyFont="1" applyFill="1" applyBorder="1" applyAlignment="1">
      <alignment horizontal="left"/>
    </xf>
    <xf numFmtId="0" fontId="44" fillId="14" borderId="6" xfId="0" applyFont="1" applyFill="1" applyBorder="1" applyAlignment="1">
      <alignment horizontal="left"/>
    </xf>
    <xf numFmtId="0" fontId="44" fillId="14" borderId="7" xfId="0" applyFont="1" applyFill="1" applyBorder="1" applyAlignment="1">
      <alignment horizontal="left"/>
    </xf>
    <xf numFmtId="0" fontId="44" fillId="14" borderId="5" xfId="0" applyFont="1" applyFill="1" applyBorder="1" applyAlignment="1">
      <alignment horizontal="center"/>
    </xf>
    <xf numFmtId="0" fontId="44" fillId="14" borderId="6" xfId="0" applyFont="1" applyFill="1" applyBorder="1" applyAlignment="1">
      <alignment horizontal="center" wrapText="1"/>
    </xf>
    <xf numFmtId="0" fontId="44" fillId="14" borderId="8" xfId="0" applyFont="1" applyFill="1" applyBorder="1" applyAlignment="1">
      <alignment horizontal="center" wrapText="1"/>
    </xf>
    <xf numFmtId="0" fontId="44" fillId="14" borderId="7" xfId="0" applyFont="1" applyFill="1" applyBorder="1" applyAlignment="1">
      <alignment horizontal="center" wrapText="1"/>
    </xf>
    <xf numFmtId="0" fontId="0" fillId="0" borderId="5" xfId="0" applyBorder="1" applyAlignment="1">
      <alignment horizontal="left" vertical="top" wrapText="1"/>
    </xf>
    <xf numFmtId="0" fontId="42" fillId="45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44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52" fillId="13" borderId="5" xfId="0" applyFont="1" applyFill="1" applyBorder="1" applyAlignment="1">
      <alignment horizontal="left"/>
    </xf>
    <xf numFmtId="10" fontId="0" fillId="0" borderId="5" xfId="19" applyNumberFormat="1" applyFont="1" applyBorder="1" applyAlignment="1">
      <alignment horizontal="right" vertical="center"/>
    </xf>
    <xf numFmtId="0" fontId="44" fillId="14" borderId="6" xfId="0" applyFont="1" applyFill="1" applyBorder="1" applyAlignment="1">
      <alignment horizontal="left" vertical="center"/>
    </xf>
    <xf numFmtId="0" fontId="44" fillId="14" borderId="8" xfId="0" applyFont="1" applyFill="1" applyBorder="1" applyAlignment="1">
      <alignment horizontal="left" vertical="center"/>
    </xf>
    <xf numFmtId="0" fontId="44" fillId="14" borderId="7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4" fillId="19" borderId="5" xfId="0" applyFont="1" applyFill="1" applyBorder="1" applyAlignment="1">
      <alignment horizontal="left" vertical="center"/>
    </xf>
    <xf numFmtId="0" fontId="44" fillId="14" borderId="5" xfId="0" applyFont="1" applyFill="1" applyBorder="1" applyAlignment="1">
      <alignment horizontal="left" vertical="center"/>
    </xf>
    <xf numFmtId="0" fontId="44" fillId="18" borderId="6" xfId="0" applyFont="1" applyFill="1" applyBorder="1" applyAlignment="1">
      <alignment horizontal="left" vertical="center"/>
    </xf>
    <xf numFmtId="0" fontId="44" fillId="18" borderId="8" xfId="0" applyFont="1" applyFill="1" applyBorder="1" applyAlignment="1">
      <alignment horizontal="left" vertical="center"/>
    </xf>
    <xf numFmtId="0" fontId="44" fillId="18" borderId="7" xfId="0" applyFont="1" applyFill="1" applyBorder="1" applyAlignment="1">
      <alignment horizontal="left" vertical="center"/>
    </xf>
    <xf numFmtId="0" fontId="44" fillId="18" borderId="6" xfId="0" applyFont="1" applyFill="1" applyBorder="1" applyAlignment="1">
      <alignment horizontal="left" vertical="center" wrapText="1"/>
    </xf>
    <xf numFmtId="0" fontId="44" fillId="18" borderId="8" xfId="0" applyFont="1" applyFill="1" applyBorder="1" applyAlignment="1">
      <alignment horizontal="left" vertical="center" wrapText="1"/>
    </xf>
    <xf numFmtId="0" fontId="44" fillId="18" borderId="7" xfId="0" applyFont="1" applyFill="1" applyBorder="1" applyAlignment="1">
      <alignment horizontal="left" vertical="center" wrapText="1"/>
    </xf>
    <xf numFmtId="0" fontId="44" fillId="19" borderId="6" xfId="0" applyFont="1" applyFill="1" applyBorder="1" applyAlignment="1">
      <alignment horizontal="left" vertical="center"/>
    </xf>
    <xf numFmtId="0" fontId="44" fillId="19" borderId="8" xfId="0" applyFont="1" applyFill="1" applyBorder="1" applyAlignment="1">
      <alignment horizontal="left" vertical="center"/>
    </xf>
    <xf numFmtId="0" fontId="44" fillId="21" borderId="5" xfId="0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4" fillId="18" borderId="6" xfId="0" applyFont="1" applyFill="1" applyBorder="1" applyAlignment="1">
      <alignment horizontal="left"/>
    </xf>
    <xf numFmtId="0" fontId="44" fillId="18" borderId="7" xfId="0" applyFont="1" applyFill="1" applyBorder="1" applyAlignment="1">
      <alignment horizontal="left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/>
    </xf>
    <xf numFmtId="0" fontId="44" fillId="14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44" fillId="19" borderId="6" xfId="0" applyFont="1" applyFill="1" applyBorder="1" applyAlignment="1">
      <alignment horizontal="center" vertical="center"/>
    </xf>
    <xf numFmtId="0" fontId="44" fillId="19" borderId="8" xfId="0" applyFont="1" applyFill="1" applyBorder="1" applyAlignment="1">
      <alignment horizontal="center" vertical="center"/>
    </xf>
    <xf numFmtId="0" fontId="44" fillId="19" borderId="7" xfId="0" applyFont="1" applyFill="1" applyBorder="1" applyAlignment="1">
      <alignment horizontal="center" vertical="center"/>
    </xf>
    <xf numFmtId="0" fontId="44" fillId="0" borderId="6" xfId="0" applyFont="1" applyFill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right" vertical="center"/>
    </xf>
    <xf numFmtId="0" fontId="0" fillId="0" borderId="7" xfId="0" applyFill="1" applyBorder="1" applyAlignment="1">
      <alignment horizontal="right" vertical="center"/>
    </xf>
    <xf numFmtId="44" fontId="0" fillId="0" borderId="5" xfId="13" applyNumberFormat="1" applyFont="1" applyFill="1" applyBorder="1" applyAlignment="1">
      <alignment horizontal="left" vertical="center"/>
    </xf>
    <xf numFmtId="169" fontId="0" fillId="0" borderId="6" xfId="0" applyNumberFormat="1" applyFill="1" applyBorder="1" applyAlignment="1">
      <alignment horizontal="right" vertical="center"/>
    </xf>
    <xf numFmtId="169" fontId="0" fillId="0" borderId="7" xfId="0" applyNumberFormat="1" applyFill="1" applyBorder="1" applyAlignment="1">
      <alignment horizontal="right" vertical="center"/>
    </xf>
    <xf numFmtId="0" fontId="42" fillId="48" borderId="0" xfId="0" applyFont="1" applyFill="1" applyAlignment="1">
      <alignment horizontal="center"/>
    </xf>
    <xf numFmtId="0" fontId="52" fillId="13" borderId="0" xfId="0" applyFont="1" applyFill="1" applyAlignment="1">
      <alignment horizontal="left"/>
    </xf>
    <xf numFmtId="0" fontId="44" fillId="19" borderId="7" xfId="0" applyFont="1" applyFill="1" applyBorder="1" applyAlignment="1">
      <alignment horizontal="left" vertical="center"/>
    </xf>
    <xf numFmtId="0" fontId="42" fillId="47" borderId="0" xfId="0" applyFont="1" applyFill="1" applyAlignment="1">
      <alignment horizontal="center"/>
    </xf>
    <xf numFmtId="0" fontId="42" fillId="41" borderId="0" xfId="0" applyFont="1" applyFill="1" applyAlignment="1">
      <alignment horizontal="center"/>
    </xf>
    <xf numFmtId="0" fontId="26" fillId="0" borderId="0" xfId="27" applyFont="1" applyFill="1" applyAlignment="1" applyProtection="1">
      <alignment horizontal="center" vertical="center" wrapText="1" shrinkToFit="1"/>
      <protection locked="0"/>
    </xf>
    <xf numFmtId="0" fontId="69" fillId="0" borderId="0" xfId="27" applyFont="1" applyFill="1" applyAlignment="1" applyProtection="1">
      <alignment horizontal="center" vertical="center" wrapText="1" shrinkToFit="1"/>
      <protection locked="0"/>
    </xf>
    <xf numFmtId="0" fontId="64" fillId="34" borderId="0" xfId="25" applyFont="1" applyFill="1" applyAlignment="1">
      <alignment horizontal="center" vertical="center" wrapText="1" shrinkToFit="1"/>
    </xf>
    <xf numFmtId="0" fontId="67" fillId="0" borderId="0" xfId="27" applyFont="1" applyFill="1" applyAlignment="1" applyProtection="1">
      <alignment horizontal="center" vertical="center" wrapText="1"/>
      <protection locked="0"/>
    </xf>
    <xf numFmtId="0" fontId="19" fillId="35" borderId="0" xfId="0" applyFont="1" applyFill="1" applyAlignment="1">
      <alignment horizontal="center" vertical="center" wrapText="1" shrinkToFit="1"/>
    </xf>
    <xf numFmtId="164" fontId="31" fillId="35" borderId="0" xfId="0" applyNumberFormat="1" applyFont="1" applyFill="1" applyAlignment="1">
      <alignment horizontal="center" vertical="center" shrinkToFit="1"/>
    </xf>
    <xf numFmtId="0" fontId="29" fillId="35" borderId="0" xfId="0" applyFont="1" applyFill="1" applyAlignment="1">
      <alignment horizontal="center" vertical="center" wrapText="1"/>
    </xf>
    <xf numFmtId="0" fontId="65" fillId="0" borderId="0" xfId="0" applyFont="1" applyFill="1" applyAlignment="1">
      <alignment horizontal="center" vertical="center" wrapText="1"/>
    </xf>
    <xf numFmtId="0" fontId="21" fillId="29" borderId="0" xfId="25" applyFont="1" applyAlignment="1">
      <alignment horizontal="center" wrapText="1"/>
    </xf>
    <xf numFmtId="0" fontId="23" fillId="34" borderId="0" xfId="25" applyFont="1" applyFill="1" applyAlignment="1">
      <alignment horizontal="center" wrapText="1" shrinkToFit="1"/>
    </xf>
    <xf numFmtId="0" fontId="17" fillId="0" borderId="0" xfId="0" applyFont="1" applyAlignment="1">
      <alignment horizontal="center" vertical="center" wrapText="1" shrinkToFit="1"/>
    </xf>
    <xf numFmtId="0" fontId="20" fillId="0" borderId="0" xfId="0" applyFont="1" applyAlignment="1">
      <alignment horizontal="center" vertical="center" shrinkToFit="1"/>
    </xf>
    <xf numFmtId="170" fontId="70" fillId="43" borderId="0" xfId="0" applyNumberFormat="1" applyFont="1" applyFill="1" applyAlignment="1">
      <alignment horizontal="center" vertical="center" wrapText="1"/>
    </xf>
    <xf numFmtId="0" fontId="24" fillId="39" borderId="0" xfId="26" applyFont="1" applyFill="1" applyAlignment="1">
      <alignment horizontal="center" vertical="center" wrapText="1" shrinkToFit="1"/>
    </xf>
    <xf numFmtId="0" fontId="24" fillId="40" borderId="0" xfId="26" applyFont="1" applyFill="1" applyAlignment="1">
      <alignment horizontal="center" vertical="center" wrapText="1" shrinkToFit="1"/>
    </xf>
    <xf numFmtId="8" fontId="70" fillId="43" borderId="0" xfId="0" applyNumberFormat="1" applyFont="1" applyFill="1" applyAlignment="1">
      <alignment horizontal="center" vertical="center" wrapText="1"/>
    </xf>
    <xf numFmtId="0" fontId="18" fillId="34" borderId="0" xfId="0" applyFont="1" applyFill="1" applyAlignment="1">
      <alignment horizontal="left" shrinkToFit="1"/>
    </xf>
    <xf numFmtId="164" fontId="35" fillId="34" borderId="0" xfId="0" applyNumberFormat="1" applyFont="1" applyFill="1" applyAlignment="1">
      <alignment horizontal="center" vertical="center" shrinkToFit="1"/>
    </xf>
    <xf numFmtId="0" fontId="31" fillId="35" borderId="0" xfId="0" applyFont="1" applyFill="1" applyAlignment="1">
      <alignment horizontal="center" vertical="center" wrapText="1" shrinkToFit="1"/>
    </xf>
    <xf numFmtId="8" fontId="31" fillId="35" borderId="0" xfId="0" applyNumberFormat="1" applyFont="1" applyFill="1" applyAlignment="1">
      <alignment horizontal="center" vertical="center" shrinkToFit="1"/>
    </xf>
    <xf numFmtId="0" fontId="66" fillId="0" borderId="0" xfId="0" applyFont="1" applyFill="1" applyAlignment="1">
      <alignment horizontal="center" vertical="center" wrapText="1"/>
    </xf>
    <xf numFmtId="0" fontId="26" fillId="0" borderId="0" xfId="21" applyFont="1" applyFill="1" applyAlignment="1" applyProtection="1">
      <alignment horizontal="left" shrinkToFit="1"/>
      <protection locked="0"/>
    </xf>
    <xf numFmtId="0" fontId="28" fillId="37" borderId="0" xfId="0" applyFont="1" applyFill="1" applyAlignment="1">
      <alignment horizontal="center" vertical="center" wrapText="1" shrinkToFit="1"/>
    </xf>
    <xf numFmtId="0" fontId="34" fillId="34" borderId="0" xfId="0" applyFont="1" applyFill="1" applyAlignment="1">
      <alignment horizontal="center" shrinkToFit="1"/>
    </xf>
    <xf numFmtId="0" fontId="35" fillId="38" borderId="0" xfId="0" applyFont="1" applyFill="1" applyAlignment="1">
      <alignment horizontal="center" vertical="center" wrapText="1" shrinkToFit="1"/>
    </xf>
    <xf numFmtId="164" fontId="37" fillId="38" borderId="0" xfId="0" applyNumberFormat="1" applyFont="1" applyFill="1" applyAlignment="1">
      <alignment horizontal="center" vertical="center" shrinkToFit="1"/>
    </xf>
    <xf numFmtId="0" fontId="38" fillId="50" borderId="24" xfId="22" applyFont="1" applyFill="1" applyBorder="1" applyAlignment="1">
      <alignment horizontal="center" vertical="center" shrinkToFit="1"/>
    </xf>
    <xf numFmtId="0" fontId="38" fillId="50" borderId="25" xfId="22" applyFont="1" applyFill="1" applyBorder="1" applyAlignment="1">
      <alignment horizontal="center" vertical="center" shrinkToFit="1"/>
    </xf>
    <xf numFmtId="0" fontId="38" fillId="50" borderId="26" xfId="22" applyFont="1" applyFill="1" applyBorder="1" applyAlignment="1">
      <alignment horizontal="center" vertical="center" shrinkToFit="1"/>
    </xf>
    <xf numFmtId="0" fontId="76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11" borderId="3" xfId="0" applyFont="1" applyFill="1" applyBorder="1" applyAlignment="1">
      <alignment horizontal="center"/>
    </xf>
    <xf numFmtId="0" fontId="16" fillId="10" borderId="3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left" vertical="center" wrapText="1"/>
    </xf>
    <xf numFmtId="0" fontId="15" fillId="11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justify" vertical="center" wrapText="1"/>
    </xf>
    <xf numFmtId="0" fontId="15" fillId="0" borderId="45" xfId="0" applyFont="1" applyFill="1" applyBorder="1" applyAlignment="1">
      <alignment horizontal="left" vertical="center" wrapText="1"/>
    </xf>
    <xf numFmtId="0" fontId="15" fillId="0" borderId="46" xfId="0" applyFont="1" applyFill="1" applyBorder="1" applyAlignment="1">
      <alignment horizontal="left" vertical="center" wrapText="1"/>
    </xf>
    <xf numFmtId="0" fontId="15" fillId="0" borderId="47" xfId="0" applyFont="1" applyFill="1" applyBorder="1" applyAlignment="1">
      <alignment horizontal="left" vertical="center" wrapText="1"/>
    </xf>
    <xf numFmtId="164" fontId="15" fillId="11" borderId="3" xfId="0" applyNumberFormat="1" applyFont="1" applyFill="1" applyBorder="1" applyAlignment="1">
      <alignment horizontal="center" wrapText="1"/>
    </xf>
    <xf numFmtId="0" fontId="15" fillId="11" borderId="3" xfId="0" applyFont="1" applyFill="1" applyBorder="1" applyAlignment="1">
      <alignment horizontal="center"/>
    </xf>
    <xf numFmtId="0" fontId="15" fillId="11" borderId="3" xfId="0" applyFont="1" applyFill="1" applyBorder="1" applyAlignment="1"/>
    <xf numFmtId="0" fontId="16" fillId="0" borderId="3" xfId="0" applyFont="1" applyBorder="1" applyAlignment="1"/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16" fillId="0" borderId="3" xfId="0" applyFont="1" applyFill="1" applyBorder="1" applyAlignment="1">
      <alignment wrapText="1"/>
    </xf>
    <xf numFmtId="0" fontId="15" fillId="0" borderId="3" xfId="0" applyFont="1" applyBorder="1" applyAlignment="1"/>
    <xf numFmtId="0" fontId="15" fillId="0" borderId="3" xfId="0" applyFont="1" applyBorder="1" applyAlignment="1">
      <alignment wrapText="1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4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16" fillId="0" borderId="26" xfId="0" applyFont="1" applyBorder="1" applyAlignment="1">
      <alignment horizontal="left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32" xfId="0" applyFont="1" applyFill="1" applyBorder="1" applyAlignment="1">
      <alignment horizontal="center" vertical="center" wrapText="1"/>
    </xf>
    <xf numFmtId="0" fontId="16" fillId="32" borderId="31" xfId="0" applyFont="1" applyFill="1" applyBorder="1" applyAlignment="1">
      <alignment horizontal="center" vertical="center" wrapText="1"/>
    </xf>
    <xf numFmtId="0" fontId="16" fillId="32" borderId="33" xfId="0" applyFont="1" applyFill="1" applyBorder="1" applyAlignment="1">
      <alignment horizontal="center" vertical="center" wrapText="1"/>
    </xf>
    <xf numFmtId="0" fontId="16" fillId="32" borderId="34" xfId="0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29" xfId="0" applyFont="1" applyBorder="1" applyAlignment="1">
      <alignment horizontal="left"/>
    </xf>
    <xf numFmtId="0" fontId="16" fillId="0" borderId="23" xfId="0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16" fillId="0" borderId="29" xfId="0" applyFont="1" applyBorder="1" applyAlignment="1">
      <alignment horizontal="left" wrapText="1"/>
    </xf>
    <xf numFmtId="0" fontId="16" fillId="0" borderId="48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4" fontId="16" fillId="0" borderId="24" xfId="0" applyNumberFormat="1" applyFont="1" applyBorder="1" applyAlignment="1">
      <alignment horizontal="center" vertical="center"/>
    </xf>
    <xf numFmtId="164" fontId="16" fillId="0" borderId="26" xfId="0" applyNumberFormat="1" applyFont="1" applyBorder="1" applyAlignment="1">
      <alignment horizontal="center" vertical="center"/>
    </xf>
    <xf numFmtId="0" fontId="16" fillId="0" borderId="24" xfId="0" applyFont="1" applyBorder="1" applyAlignment="1">
      <alignment horizontal="left" wrapText="1"/>
    </xf>
    <xf numFmtId="0" fontId="16" fillId="0" borderId="25" xfId="0" applyFont="1" applyBorder="1" applyAlignment="1">
      <alignment horizontal="left" wrapText="1"/>
    </xf>
    <xf numFmtId="0" fontId="16" fillId="0" borderId="26" xfId="0" applyFont="1" applyBorder="1" applyAlignment="1">
      <alignment horizontal="left" wrapText="1"/>
    </xf>
    <xf numFmtId="0" fontId="15" fillId="0" borderId="24" xfId="0" applyFont="1" applyBorder="1" applyAlignment="1">
      <alignment horizontal="left" wrapText="1"/>
    </xf>
    <xf numFmtId="0" fontId="15" fillId="0" borderId="25" xfId="0" applyFont="1" applyBorder="1" applyAlignment="1">
      <alignment horizontal="left" wrapText="1"/>
    </xf>
    <xf numFmtId="0" fontId="15" fillId="0" borderId="26" xfId="0" applyFont="1" applyBorder="1" applyAlignment="1">
      <alignment horizontal="left" wrapText="1"/>
    </xf>
  </cellXfs>
  <cellStyles count="33">
    <cellStyle name="20% - Ênfase2" xfId="21" builtinId="34"/>
    <cellStyle name="20% - Ênfase3" xfId="24" builtinId="38"/>
    <cellStyle name="20% - Ênfase6" xfId="27" builtinId="50"/>
    <cellStyle name="40% - Ênfase2" xfId="22" builtinId="35"/>
    <cellStyle name="60% - Ênfase2" xfId="29" builtinId="36"/>
    <cellStyle name="60% - Ênfase4" xfId="26" builtinId="44"/>
    <cellStyle name="Accent" xfId="1" xr:uid="{00000000-0005-0000-0000-000006000000}"/>
    <cellStyle name="Accent 1" xfId="2" xr:uid="{00000000-0005-0000-0000-000007000000}"/>
    <cellStyle name="Accent 2" xfId="3" xr:uid="{00000000-0005-0000-0000-000008000000}"/>
    <cellStyle name="Accent 3" xfId="4" xr:uid="{00000000-0005-0000-0000-000009000000}"/>
    <cellStyle name="Bad" xfId="5" xr:uid="{00000000-0005-0000-0000-00000A000000}"/>
    <cellStyle name="Ênfase2" xfId="20" builtinId="33"/>
    <cellStyle name="Ênfase3" xfId="23" builtinId="37"/>
    <cellStyle name="Ênfase4" xfId="25" builtinId="41"/>
    <cellStyle name="Error" xfId="6" xr:uid="{00000000-0005-0000-0000-00000E000000}"/>
    <cellStyle name="Excel_BuiltIn_20% - Ênfase2" xfId="7" xr:uid="{00000000-0005-0000-0000-00000F000000}"/>
    <cellStyle name="Excel_BuiltIn_20% - Ênfase6" xfId="30" xr:uid="{00000000-0005-0000-0000-000010000000}"/>
    <cellStyle name="Footnote" xfId="8" xr:uid="{00000000-0005-0000-0000-000011000000}"/>
    <cellStyle name="Good" xfId="9" xr:uid="{00000000-0005-0000-0000-000012000000}"/>
    <cellStyle name="Heading" xfId="10" xr:uid="{00000000-0005-0000-0000-000013000000}"/>
    <cellStyle name="Heading 1" xfId="11" xr:uid="{00000000-0005-0000-0000-000014000000}"/>
    <cellStyle name="Heading 2" xfId="12" xr:uid="{00000000-0005-0000-0000-000015000000}"/>
    <cellStyle name="Moeda" xfId="13" builtinId="4"/>
    <cellStyle name="Neutral" xfId="14" xr:uid="{00000000-0005-0000-0000-000017000000}"/>
    <cellStyle name="Normal" xfId="0" builtinId="0"/>
    <cellStyle name="Normal 2" xfId="31" xr:uid="{00000000-0005-0000-0000-000019000000}"/>
    <cellStyle name="Normal 3" xfId="32" xr:uid="{00000000-0005-0000-0000-00001A000000}"/>
    <cellStyle name="Note" xfId="15" xr:uid="{00000000-0005-0000-0000-00001B000000}"/>
    <cellStyle name="Porcentagem" xfId="19" builtinId="5"/>
    <cellStyle name="Status" xfId="16" xr:uid="{00000000-0005-0000-0000-00001D000000}"/>
    <cellStyle name="Text" xfId="17" xr:uid="{00000000-0005-0000-0000-00001E000000}"/>
    <cellStyle name="Vírgula" xfId="28" builtinId="3"/>
    <cellStyle name="Warning" xfId="18" xr:uid="{00000000-0005-0000-0000-000020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FCCCC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6600"/>
      <rgbColor rgb="00993366"/>
      <rgbColor rgb="00333399"/>
      <rgbColor rgb="00333333"/>
    </indexedColors>
    <mruColors>
      <color rgb="FF93B991"/>
      <color rgb="FF004760"/>
      <color rgb="FF947887"/>
      <color rgb="FF993300"/>
      <color rgb="FF66CCFF"/>
      <color rgb="FF006666"/>
      <color rgb="FF008000"/>
      <color rgb="FF66FFCC"/>
      <color rgb="FFFF996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zoomScaleNormal="100" zoomScalePageLayoutView="140" workbookViewId="0">
      <selection activeCell="C23" sqref="C23"/>
    </sheetView>
  </sheetViews>
  <sheetFormatPr defaultRowHeight="12.75"/>
  <cols>
    <col min="1" max="1" width="26.28515625" style="1" customWidth="1"/>
    <col min="2" max="2" width="19.28515625" style="2" customWidth="1"/>
    <col min="3" max="3" width="38.28515625" style="1" customWidth="1"/>
    <col min="4" max="5" width="32.28515625" style="1" customWidth="1"/>
    <col min="6" max="6" width="11.7109375" style="1" customWidth="1"/>
    <col min="8" max="8" width="21.5703125" hidden="1" customWidth="1"/>
    <col min="9" max="9" width="41.42578125" hidden="1" customWidth="1"/>
    <col min="11" max="11" width="11.28515625" bestFit="1" customWidth="1"/>
  </cols>
  <sheetData>
    <row r="1" spans="1:12" ht="13.5" thickBot="1">
      <c r="A1" s="468"/>
      <c r="B1" s="468"/>
      <c r="C1" s="468"/>
    </row>
    <row r="2" spans="1:12" ht="13.5" thickBot="1">
      <c r="A2" s="274"/>
      <c r="B2" s="275" t="s">
        <v>0</v>
      </c>
      <c r="C2" s="276"/>
      <c r="D2" s="156"/>
      <c r="E2" s="156"/>
      <c r="F2" s="156"/>
      <c r="G2" s="155"/>
      <c r="H2" s="155"/>
      <c r="I2" s="155"/>
    </row>
    <row r="3" spans="1:12" ht="13.5" thickBot="1">
      <c r="A3" s="274"/>
      <c r="B3" s="275" t="s">
        <v>1</v>
      </c>
      <c r="C3" s="276"/>
      <c r="D3" s="156"/>
      <c r="E3" s="156"/>
      <c r="F3" s="156"/>
      <c r="G3" s="155"/>
      <c r="H3" s="155"/>
      <c r="I3" s="155"/>
    </row>
    <row r="4" spans="1:12" ht="13.5" thickBot="1">
      <c r="A4" s="469" t="s">
        <v>2</v>
      </c>
      <c r="B4" s="470"/>
      <c r="C4" s="471"/>
      <c r="D4" s="156"/>
      <c r="E4" s="156"/>
      <c r="F4" s="156"/>
      <c r="G4" s="155"/>
      <c r="H4" s="155"/>
      <c r="I4" s="155"/>
    </row>
    <row r="5" spans="1:12" ht="13.5" thickBot="1">
      <c r="A5" s="3"/>
      <c r="B5" s="4"/>
      <c r="C5" s="3"/>
      <c r="D5" s="156"/>
      <c r="E5" s="156"/>
      <c r="F5" s="156"/>
      <c r="G5" s="155"/>
      <c r="H5" s="155"/>
      <c r="I5" s="155"/>
    </row>
    <row r="6" spans="1:12" ht="13.5" thickBot="1">
      <c r="A6" s="472" t="s">
        <v>3</v>
      </c>
      <c r="B6" s="473"/>
      <c r="C6" s="474"/>
      <c r="D6" s="156"/>
      <c r="E6" s="156"/>
      <c r="F6" s="156"/>
      <c r="G6" s="155"/>
      <c r="H6" s="155"/>
      <c r="I6" s="155"/>
    </row>
    <row r="7" spans="1:12" ht="34.5" thickBot="1">
      <c r="A7" s="5" t="s">
        <v>4</v>
      </c>
      <c r="B7" s="6" t="s">
        <v>5</v>
      </c>
      <c r="C7" s="5"/>
      <c r="D7" s="156"/>
      <c r="E7" s="156"/>
      <c r="F7" s="156"/>
      <c r="G7" s="155"/>
      <c r="H7" s="155"/>
      <c r="I7" s="155"/>
    </row>
    <row r="8" spans="1:12" ht="13.5" thickBot="1">
      <c r="A8" s="277" t="s">
        <v>6</v>
      </c>
      <c r="B8" s="278" t="s">
        <v>7</v>
      </c>
      <c r="C8" s="279" t="s">
        <v>8</v>
      </c>
      <c r="D8" s="156"/>
      <c r="E8" s="156"/>
      <c r="F8" s="156"/>
      <c r="G8" s="155"/>
      <c r="H8" s="155"/>
      <c r="I8" s="155"/>
    </row>
    <row r="9" spans="1:12" ht="168" customHeight="1" thickBot="1">
      <c r="A9" s="280" t="s">
        <v>9</v>
      </c>
      <c r="B9" s="278" t="s">
        <v>10</v>
      </c>
      <c r="C9" s="288" t="s">
        <v>889</v>
      </c>
      <c r="D9" s="156"/>
      <c r="E9" s="156"/>
      <c r="F9" s="156"/>
      <c r="G9" s="155"/>
      <c r="H9" s="155"/>
      <c r="I9" s="155"/>
    </row>
    <row r="10" spans="1:12" ht="23.25" thickBot="1">
      <c r="A10" s="281" t="s">
        <v>11</v>
      </c>
      <c r="B10" s="282" t="s">
        <v>12</v>
      </c>
      <c r="C10" s="282">
        <v>12</v>
      </c>
      <c r="D10" s="156"/>
      <c r="E10" s="156"/>
      <c r="F10" s="156"/>
      <c r="G10" s="155"/>
      <c r="H10" s="155"/>
      <c r="I10" s="155"/>
    </row>
    <row r="11" spans="1:12" ht="81" customHeight="1" thickBot="1">
      <c r="A11" s="157" t="s">
        <v>13</v>
      </c>
      <c r="B11" s="475" t="s">
        <v>861</v>
      </c>
      <c r="C11" s="476"/>
      <c r="D11" s="156"/>
      <c r="E11" s="156"/>
      <c r="F11" s="156"/>
      <c r="G11" s="155"/>
      <c r="H11" s="155"/>
      <c r="I11" s="155"/>
    </row>
    <row r="12" spans="1:12" ht="13.5" thickBot="1">
      <c r="A12" s="472" t="s">
        <v>14</v>
      </c>
      <c r="B12" s="473"/>
      <c r="C12" s="474"/>
      <c r="D12" s="156"/>
      <c r="E12" s="156"/>
      <c r="F12" s="156"/>
      <c r="G12" s="155"/>
      <c r="H12" s="155"/>
      <c r="I12" s="155"/>
    </row>
    <row r="13" spans="1:12" ht="39" customHeight="1" thickBot="1">
      <c r="A13" s="466" t="s">
        <v>15</v>
      </c>
      <c r="B13" s="467"/>
      <c r="C13" s="283" t="s">
        <v>830</v>
      </c>
      <c r="D13" s="156"/>
      <c r="E13" s="156"/>
      <c r="F13" s="156"/>
      <c r="G13" s="155"/>
      <c r="H13" s="155"/>
      <c r="I13" s="155"/>
    </row>
    <row r="14" spans="1:12" ht="45.75" thickBot="1">
      <c r="A14" s="284" t="s">
        <v>16</v>
      </c>
      <c r="B14" s="158" t="s">
        <v>17</v>
      </c>
      <c r="C14" s="158" t="s">
        <v>838</v>
      </c>
      <c r="D14" s="158" t="s">
        <v>839</v>
      </c>
      <c r="E14" s="158" t="s">
        <v>874</v>
      </c>
      <c r="F14" s="320" t="s">
        <v>18</v>
      </c>
      <c r="H14" s="155"/>
      <c r="I14" s="155"/>
      <c r="K14" s="287"/>
      <c r="L14" s="1"/>
    </row>
    <row r="15" spans="1:12" ht="18" customHeight="1" thickBot="1">
      <c r="A15" s="296" t="s">
        <v>19</v>
      </c>
      <c r="B15" s="264" t="s">
        <v>20</v>
      </c>
      <c r="C15" s="159">
        <v>1</v>
      </c>
      <c r="D15" s="328">
        <v>1</v>
      </c>
      <c r="E15" s="278">
        <v>1</v>
      </c>
      <c r="F15" s="331">
        <f>C15+D15+E15</f>
        <v>3</v>
      </c>
      <c r="H15" s="156" t="s">
        <v>819</v>
      </c>
      <c r="I15" s="156"/>
      <c r="K15" s="285"/>
      <c r="L15" s="1"/>
    </row>
    <row r="16" spans="1:12" ht="18" customHeight="1" thickBot="1">
      <c r="A16" s="297" t="s">
        <v>846</v>
      </c>
      <c r="B16" s="159" t="s">
        <v>373</v>
      </c>
      <c r="C16" s="332">
        <v>1</v>
      </c>
      <c r="D16" s="333">
        <v>1</v>
      </c>
      <c r="E16" s="278">
        <v>1</v>
      </c>
      <c r="F16" s="331">
        <f t="shared" ref="F16:F18" si="0">C16+D16+E16</f>
        <v>3</v>
      </c>
      <c r="H16" s="156" t="s">
        <v>818</v>
      </c>
      <c r="I16" s="155"/>
    </row>
    <row r="17" spans="1:9" ht="18" customHeight="1" thickBot="1">
      <c r="A17" s="297" t="s">
        <v>847</v>
      </c>
      <c r="B17" s="159" t="s">
        <v>21</v>
      </c>
      <c r="C17" s="334">
        <v>5</v>
      </c>
      <c r="D17" s="335">
        <v>5</v>
      </c>
      <c r="E17" s="278">
        <v>5</v>
      </c>
      <c r="F17" s="331">
        <f t="shared" si="0"/>
        <v>15</v>
      </c>
      <c r="H17" s="156" t="s">
        <v>818</v>
      </c>
      <c r="I17" s="155"/>
    </row>
    <row r="18" spans="1:9" ht="18" customHeight="1" thickBot="1">
      <c r="A18" s="297" t="s">
        <v>848</v>
      </c>
      <c r="B18" s="159" t="s">
        <v>22</v>
      </c>
      <c r="C18" s="368">
        <v>4</v>
      </c>
      <c r="D18" s="369">
        <v>4</v>
      </c>
      <c r="E18" s="278">
        <v>4</v>
      </c>
      <c r="F18" s="331">
        <f t="shared" si="0"/>
        <v>12</v>
      </c>
      <c r="H18" s="156" t="s">
        <v>818</v>
      </c>
      <c r="I18" s="155"/>
    </row>
    <row r="19" spans="1:9" ht="13.5" thickBot="1">
      <c r="A19" s="464" t="s">
        <v>18</v>
      </c>
      <c r="B19" s="465"/>
      <c r="C19" s="329">
        <f>SUM(C15:C18)</f>
        <v>11</v>
      </c>
      <c r="D19" s="159">
        <f>SUM(D15:D18)</f>
        <v>11</v>
      </c>
      <c r="E19" s="159">
        <f>SUM(E15:E18)</f>
        <v>11</v>
      </c>
      <c r="F19" s="283">
        <f>C19+D19+E19</f>
        <v>33</v>
      </c>
      <c r="H19" s="155"/>
      <c r="I19" s="155"/>
    </row>
  </sheetData>
  <sheetProtection selectLockedCells="1" selectUnlockedCells="1"/>
  <mergeCells count="7">
    <mergeCell ref="A19:B19"/>
    <mergeCell ref="A13:B13"/>
    <mergeCell ref="A1:C1"/>
    <mergeCell ref="A4:C4"/>
    <mergeCell ref="A6:C6"/>
    <mergeCell ref="B11:C11"/>
    <mergeCell ref="A12:C12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86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4760"/>
  </sheetPr>
  <dimension ref="A1:I188"/>
  <sheetViews>
    <sheetView workbookViewId="0">
      <selection activeCell="M12" sqref="M12"/>
    </sheetView>
  </sheetViews>
  <sheetFormatPr defaultColWidth="8.85546875" defaultRowHeight="12.75"/>
  <cols>
    <col min="1" max="1" width="5.42578125" customWidth="1"/>
    <col min="2" max="2" width="50.140625" customWidth="1"/>
    <col min="3" max="3" width="9.42578125" bestFit="1" customWidth="1"/>
    <col min="4" max="4" width="15.42578125" customWidth="1"/>
    <col min="5" max="5" width="40.42578125" customWidth="1"/>
    <col min="9" max="9" width="10.28515625" bestFit="1" customWidth="1"/>
  </cols>
  <sheetData>
    <row r="1" spans="1:6">
      <c r="A1" s="536" t="s">
        <v>263</v>
      </c>
      <c r="B1" s="537"/>
      <c r="C1" s="537"/>
      <c r="D1" s="538"/>
      <c r="E1" s="60"/>
      <c r="F1" s="60"/>
    </row>
    <row r="3" spans="1:6">
      <c r="A3" s="518" t="s">
        <v>264</v>
      </c>
      <c r="B3" s="519"/>
      <c r="C3" s="519"/>
      <c r="D3" s="548"/>
    </row>
    <row r="4" spans="1:6" s="63" customFormat="1" ht="52.5" customHeight="1">
      <c r="A4" s="61">
        <v>1</v>
      </c>
      <c r="B4" s="62" t="s">
        <v>265</v>
      </c>
      <c r="C4" s="539" t="s">
        <v>844</v>
      </c>
      <c r="D4" s="540"/>
    </row>
    <row r="5" spans="1:6" s="63" customFormat="1">
      <c r="A5" s="61">
        <v>2</v>
      </c>
      <c r="B5" s="62" t="s">
        <v>266</v>
      </c>
      <c r="C5" s="541"/>
      <c r="D5" s="542"/>
    </row>
    <row r="6" spans="1:6" s="63" customFormat="1">
      <c r="A6" s="61">
        <v>3</v>
      </c>
      <c r="B6" s="62" t="s">
        <v>267</v>
      </c>
      <c r="C6" s="543">
        <v>1300.43</v>
      </c>
      <c r="D6" s="543"/>
      <c r="E6" s="126" t="s">
        <v>884</v>
      </c>
    </row>
    <row r="7" spans="1:6" s="63" customFormat="1" ht="42.75" customHeight="1">
      <c r="A7" s="61">
        <v>4</v>
      </c>
      <c r="B7" s="62" t="s">
        <v>268</v>
      </c>
      <c r="C7" s="530" t="s">
        <v>23</v>
      </c>
      <c r="D7" s="531"/>
    </row>
    <row r="8" spans="1:6" s="63" customFormat="1">
      <c r="A8" s="61">
        <v>5</v>
      </c>
      <c r="B8" s="62" t="s">
        <v>269</v>
      </c>
      <c r="C8" s="544">
        <v>43101</v>
      </c>
      <c r="D8" s="545"/>
    </row>
    <row r="9" spans="1:6">
      <c r="D9" s="64"/>
    </row>
    <row r="10" spans="1:6">
      <c r="A10" s="511" t="s">
        <v>270</v>
      </c>
      <c r="B10" s="511"/>
      <c r="C10" s="511"/>
      <c r="D10" s="511"/>
    </row>
    <row r="11" spans="1:6">
      <c r="A11" s="65">
        <v>1</v>
      </c>
      <c r="B11" s="127" t="s">
        <v>24</v>
      </c>
      <c r="C11" s="67" t="s">
        <v>51</v>
      </c>
      <c r="D11" s="68" t="s">
        <v>25</v>
      </c>
    </row>
    <row r="12" spans="1:6" ht="75.75" customHeight="1">
      <c r="A12" s="322" t="s">
        <v>4</v>
      </c>
      <c r="B12" s="509" t="s">
        <v>200</v>
      </c>
      <c r="C12" s="509"/>
      <c r="D12" s="70">
        <v>1300.43</v>
      </c>
      <c r="E12" s="126" t="s">
        <v>884</v>
      </c>
    </row>
    <row r="13" spans="1:6">
      <c r="A13" s="322" t="s">
        <v>6</v>
      </c>
      <c r="B13" s="72" t="s">
        <v>271</v>
      </c>
      <c r="C13" s="73">
        <v>0</v>
      </c>
      <c r="D13" s="70">
        <f>+C13*D12</f>
        <v>0</v>
      </c>
      <c r="E13" s="74"/>
    </row>
    <row r="14" spans="1:6">
      <c r="A14" s="322" t="s">
        <v>9</v>
      </c>
      <c r="B14" s="72" t="s">
        <v>272</v>
      </c>
      <c r="C14" s="73"/>
      <c r="D14" s="70"/>
    </row>
    <row r="15" spans="1:6">
      <c r="A15" s="322" t="s">
        <v>11</v>
      </c>
      <c r="B15" s="509" t="s">
        <v>352</v>
      </c>
      <c r="C15" s="509"/>
      <c r="D15" s="70"/>
    </row>
    <row r="16" spans="1:6">
      <c r="A16" s="322" t="s">
        <v>27</v>
      </c>
      <c r="B16" s="509" t="s">
        <v>353</v>
      </c>
      <c r="C16" s="509"/>
      <c r="D16" s="70"/>
    </row>
    <row r="17" spans="1:6">
      <c r="A17" s="322" t="s">
        <v>29</v>
      </c>
      <c r="B17" s="534" t="s">
        <v>354</v>
      </c>
      <c r="C17" s="535"/>
      <c r="D17" s="70"/>
    </row>
    <row r="18" spans="1:6">
      <c r="A18" s="322" t="s">
        <v>31</v>
      </c>
      <c r="B18" s="509" t="s">
        <v>355</v>
      </c>
      <c r="C18" s="509"/>
      <c r="D18" s="70"/>
    </row>
    <row r="19" spans="1:6">
      <c r="A19" s="322" t="s">
        <v>33</v>
      </c>
      <c r="B19" s="534" t="s">
        <v>356</v>
      </c>
      <c r="C19" s="535"/>
      <c r="D19" s="76"/>
    </row>
    <row r="20" spans="1:6">
      <c r="A20" s="322" t="s">
        <v>34</v>
      </c>
      <c r="B20" s="72" t="s">
        <v>357</v>
      </c>
      <c r="C20" s="73"/>
      <c r="D20" s="70"/>
    </row>
    <row r="21" spans="1:6">
      <c r="A21" s="322" t="s">
        <v>358</v>
      </c>
      <c r="B21" s="509" t="s">
        <v>359</v>
      </c>
      <c r="C21" s="509"/>
      <c r="D21" s="77"/>
      <c r="F21" s="78"/>
    </row>
    <row r="22" spans="1:6">
      <c r="A22" s="322" t="s">
        <v>360</v>
      </c>
      <c r="B22" s="509" t="s">
        <v>35</v>
      </c>
      <c r="C22" s="509"/>
      <c r="D22" s="77"/>
    </row>
    <row r="23" spans="1:6">
      <c r="A23" s="510" t="s">
        <v>57</v>
      </c>
      <c r="B23" s="510"/>
      <c r="C23" s="510"/>
      <c r="D23" s="79">
        <f>SUM(D12:D22)</f>
        <v>1300.43</v>
      </c>
    </row>
    <row r="25" spans="1:6">
      <c r="A25" s="511" t="s">
        <v>273</v>
      </c>
      <c r="B25" s="511"/>
      <c r="C25" s="511"/>
      <c r="D25" s="511"/>
    </row>
    <row r="27" spans="1:6">
      <c r="A27" s="511" t="s">
        <v>274</v>
      </c>
      <c r="B27" s="511"/>
      <c r="C27" s="511"/>
      <c r="D27" s="511"/>
    </row>
    <row r="28" spans="1:6">
      <c r="A28" s="128" t="s">
        <v>275</v>
      </c>
      <c r="B28" s="81" t="s">
        <v>276</v>
      </c>
      <c r="C28" s="129" t="s">
        <v>51</v>
      </c>
      <c r="D28" s="130" t="s">
        <v>25</v>
      </c>
    </row>
    <row r="29" spans="1:6">
      <c r="A29" s="322" t="s">
        <v>4</v>
      </c>
      <c r="B29" s="33" t="s">
        <v>217</v>
      </c>
      <c r="C29" s="82">
        <f>ROUND(+D29/$D$23,4)</f>
        <v>8.3299999999999999E-2</v>
      </c>
      <c r="D29" s="77">
        <f>ROUND(+D23/12,2)</f>
        <v>108.37</v>
      </c>
    </row>
    <row r="30" spans="1:6">
      <c r="A30" s="83" t="s">
        <v>6</v>
      </c>
      <c r="B30" s="51" t="s">
        <v>277</v>
      </c>
      <c r="C30" s="131">
        <f>ROUND(+D30/$D$23,4)</f>
        <v>0.1111</v>
      </c>
      <c r="D30" s="132">
        <f>+D31+D32</f>
        <v>144.49</v>
      </c>
    </row>
    <row r="31" spans="1:6">
      <c r="A31" s="322" t="s">
        <v>40</v>
      </c>
      <c r="B31" s="49" t="s">
        <v>218</v>
      </c>
      <c r="C31" s="88">
        <f>ROUND(+D31/$D$23,4)</f>
        <v>8.3299999999999999E-2</v>
      </c>
      <c r="D31" s="133">
        <f>ROUND(+D23/12,2)</f>
        <v>108.37</v>
      </c>
    </row>
    <row r="32" spans="1:6">
      <c r="A32" s="322" t="s">
        <v>278</v>
      </c>
      <c r="B32" s="87" t="s">
        <v>59</v>
      </c>
      <c r="C32" s="88">
        <f>ROUND(+D32/$D$23,4)</f>
        <v>2.7799999999999998E-2</v>
      </c>
      <c r="D32" s="133">
        <f>ROUND(+(D23*1/3)/12,2)</f>
        <v>36.119999999999997</v>
      </c>
    </row>
    <row r="33" spans="1:4">
      <c r="A33" s="510" t="s">
        <v>57</v>
      </c>
      <c r="B33" s="510"/>
      <c r="C33" s="510"/>
      <c r="D33" s="79">
        <f>+D30+D29</f>
        <v>252.86</v>
      </c>
    </row>
    <row r="35" spans="1:4">
      <c r="A35" s="533" t="s">
        <v>279</v>
      </c>
      <c r="B35" s="533"/>
      <c r="C35" s="533"/>
      <c r="D35" s="533"/>
    </row>
    <row r="36" spans="1:4">
      <c r="A36" s="128" t="s">
        <v>280</v>
      </c>
      <c r="B36" s="134" t="s">
        <v>281</v>
      </c>
      <c r="C36" s="129" t="s">
        <v>51</v>
      </c>
      <c r="D36" s="130" t="s">
        <v>25</v>
      </c>
    </row>
    <row r="37" spans="1:4">
      <c r="A37" s="322" t="s">
        <v>4</v>
      </c>
      <c r="B37" s="33" t="s">
        <v>52</v>
      </c>
      <c r="C37" s="39">
        <v>0.2</v>
      </c>
      <c r="D37" s="36">
        <f>ROUND(C37*($D$23+$D$33),2)</f>
        <v>310.66000000000003</v>
      </c>
    </row>
    <row r="38" spans="1:4">
      <c r="A38" s="322" t="s">
        <v>6</v>
      </c>
      <c r="B38" s="33" t="s">
        <v>54</v>
      </c>
      <c r="C38" s="39">
        <v>2.5000000000000001E-2</v>
      </c>
      <c r="D38" s="36">
        <f t="shared" ref="D38:D43" si="0">ROUND(C38*($D$23+$D$33),2)</f>
        <v>38.83</v>
      </c>
    </row>
    <row r="39" spans="1:4">
      <c r="A39" s="322" t="s">
        <v>9</v>
      </c>
      <c r="B39" s="33" t="s">
        <v>282</v>
      </c>
      <c r="C39" s="39">
        <v>0.03</v>
      </c>
      <c r="D39" s="36">
        <f t="shared" si="0"/>
        <v>46.6</v>
      </c>
    </row>
    <row r="40" spans="1:4">
      <c r="A40" s="322" t="s">
        <v>11</v>
      </c>
      <c r="B40" s="33" t="s">
        <v>283</v>
      </c>
      <c r="C40" s="39">
        <v>1.4999999999999999E-2</v>
      </c>
      <c r="D40" s="36">
        <f t="shared" si="0"/>
        <v>23.3</v>
      </c>
    </row>
    <row r="41" spans="1:4">
      <c r="A41" s="322" t="s">
        <v>27</v>
      </c>
      <c r="B41" s="33" t="s">
        <v>284</v>
      </c>
      <c r="C41" s="39">
        <v>0.01</v>
      </c>
      <c r="D41" s="36">
        <f t="shared" si="0"/>
        <v>15.53</v>
      </c>
    </row>
    <row r="42" spans="1:4">
      <c r="A42" s="322" t="s">
        <v>29</v>
      </c>
      <c r="B42" s="33" t="s">
        <v>56</v>
      </c>
      <c r="C42" s="39">
        <v>6.0000000000000001E-3</v>
      </c>
      <c r="D42" s="36">
        <f t="shared" si="0"/>
        <v>9.32</v>
      </c>
    </row>
    <row r="43" spans="1:4">
      <c r="A43" s="322" t="s">
        <v>31</v>
      </c>
      <c r="B43" s="33" t="s">
        <v>53</v>
      </c>
      <c r="C43" s="39">
        <v>2E-3</v>
      </c>
      <c r="D43" s="36">
        <f t="shared" si="0"/>
        <v>3.11</v>
      </c>
    </row>
    <row r="44" spans="1:4">
      <c r="A44" s="322" t="s">
        <v>33</v>
      </c>
      <c r="B44" s="33" t="s">
        <v>55</v>
      </c>
      <c r="C44" s="39">
        <v>0.08</v>
      </c>
      <c r="D44" s="36">
        <f>ROUND(C44*($D$23+$D$33),2)</f>
        <v>124.26</v>
      </c>
    </row>
    <row r="45" spans="1:4">
      <c r="A45" s="323" t="s">
        <v>57</v>
      </c>
      <c r="B45" s="326"/>
      <c r="C45" s="92">
        <f>SUM(C37:C44)</f>
        <v>0.36800000000000005</v>
      </c>
      <c r="D45" s="93">
        <f>SUM(D37:D44)</f>
        <v>571.61</v>
      </c>
    </row>
    <row r="46" spans="1:4">
      <c r="A46" s="94"/>
      <c r="B46" s="94"/>
      <c r="C46" s="94"/>
      <c r="D46" s="94"/>
    </row>
    <row r="47" spans="1:4">
      <c r="A47" s="533" t="s">
        <v>285</v>
      </c>
      <c r="B47" s="533"/>
      <c r="C47" s="533"/>
      <c r="D47" s="533"/>
    </row>
    <row r="48" spans="1:4">
      <c r="A48" s="128" t="s">
        <v>286</v>
      </c>
      <c r="B48" s="134" t="s">
        <v>287</v>
      </c>
      <c r="C48" s="129"/>
      <c r="D48" s="130" t="s">
        <v>25</v>
      </c>
    </row>
    <row r="49" spans="1:6">
      <c r="A49" s="322" t="s">
        <v>4</v>
      </c>
      <c r="B49" s="33" t="s">
        <v>37</v>
      </c>
      <c r="C49" s="95"/>
      <c r="D49" s="36">
        <f>'Memória Cálculo ASG 5x2'!C18</f>
        <v>98.08</v>
      </c>
    </row>
    <row r="50" spans="1:6" s="47" customFormat="1">
      <c r="A50" s="61" t="s">
        <v>38</v>
      </c>
      <c r="B50" s="35" t="s">
        <v>39</v>
      </c>
      <c r="C50" s="82">
        <v>9.6500000000000002E-2</v>
      </c>
      <c r="D50" s="96">
        <f>+(C50*D49)*-1</f>
        <v>-9.4647199999999998</v>
      </c>
      <c r="F50" s="97"/>
    </row>
    <row r="51" spans="1:6" s="47" customFormat="1">
      <c r="A51" s="61" t="s">
        <v>6</v>
      </c>
      <c r="B51" s="59" t="s">
        <v>888</v>
      </c>
      <c r="C51" s="95"/>
      <c r="D51" s="96">
        <f>185-23</f>
        <v>162</v>
      </c>
      <c r="F51" s="97"/>
    </row>
    <row r="52" spans="1:6" s="47" customFormat="1">
      <c r="A52" s="61" t="s">
        <v>40</v>
      </c>
      <c r="B52" s="35" t="s">
        <v>39</v>
      </c>
      <c r="C52" s="82">
        <v>9.6500000000000002E-2</v>
      </c>
      <c r="D52" s="96">
        <f>+(C52*D51)*-1</f>
        <v>-15.633000000000001</v>
      </c>
      <c r="F52" s="97"/>
    </row>
    <row r="53" spans="1:6">
      <c r="A53" s="99" t="s">
        <v>9</v>
      </c>
      <c r="B53" s="33" t="s">
        <v>887</v>
      </c>
      <c r="C53" s="95"/>
      <c r="D53" s="108">
        <v>0</v>
      </c>
      <c r="F53" s="7"/>
    </row>
    <row r="54" spans="1:6" s="47" customFormat="1">
      <c r="A54" s="101" t="s">
        <v>41</v>
      </c>
      <c r="B54" s="35" t="s">
        <v>39</v>
      </c>
      <c r="C54" s="82">
        <v>9.6500000000000002E-2</v>
      </c>
      <c r="D54" s="96">
        <f>+(C54*D53)*-1</f>
        <v>0</v>
      </c>
      <c r="F54" s="98"/>
    </row>
    <row r="55" spans="1:6">
      <c r="A55" s="33" t="s">
        <v>11</v>
      </c>
      <c r="B55" s="33" t="s">
        <v>361</v>
      </c>
      <c r="C55" s="95"/>
      <c r="D55" s="108">
        <v>0</v>
      </c>
      <c r="F55" s="7"/>
    </row>
    <row r="56" spans="1:6">
      <c r="A56" s="101" t="s">
        <v>49</v>
      </c>
      <c r="B56" s="35" t="s">
        <v>39</v>
      </c>
      <c r="C56" s="82">
        <v>9.6500000000000002E-2</v>
      </c>
      <c r="D56" s="96">
        <f>+(C56*D55)*-1</f>
        <v>0</v>
      </c>
      <c r="F56" s="7"/>
    </row>
    <row r="57" spans="1:6">
      <c r="A57" s="33" t="s">
        <v>27</v>
      </c>
      <c r="B57" s="33" t="s">
        <v>886</v>
      </c>
      <c r="C57" s="95"/>
      <c r="D57" s="108">
        <f>(C6*0.4*0.02)</f>
        <v>10.403440000000002</v>
      </c>
      <c r="F57" s="7"/>
    </row>
    <row r="58" spans="1:6">
      <c r="A58" s="101" t="s">
        <v>42</v>
      </c>
      <c r="B58" s="35" t="s">
        <v>39</v>
      </c>
      <c r="C58" s="82">
        <v>9.6500000000000002E-2</v>
      </c>
      <c r="D58" s="96">
        <f>+(C58*D57)*-1</f>
        <v>-1.0039319600000001</v>
      </c>
      <c r="F58" s="7"/>
    </row>
    <row r="59" spans="1:6">
      <c r="A59" s="33" t="s">
        <v>29</v>
      </c>
      <c r="B59" s="33" t="s">
        <v>885</v>
      </c>
      <c r="C59" s="95"/>
      <c r="D59" s="135">
        <f>C6*0.36/12*0.6</f>
        <v>23.40774</v>
      </c>
      <c r="F59" s="103"/>
    </row>
    <row r="60" spans="1:6">
      <c r="A60" s="61" t="s">
        <v>44</v>
      </c>
      <c r="B60" s="35" t="s">
        <v>39</v>
      </c>
      <c r="C60" s="82">
        <v>0</v>
      </c>
      <c r="D60" s="96">
        <f>+(C60*D59)*-1</f>
        <v>0</v>
      </c>
    </row>
    <row r="61" spans="1:6">
      <c r="A61" s="33" t="s">
        <v>31</v>
      </c>
      <c r="B61" s="35" t="s">
        <v>43</v>
      </c>
      <c r="C61" s="136"/>
      <c r="D61" s="96">
        <f>(D51/12)</f>
        <v>13.5</v>
      </c>
    </row>
    <row r="62" spans="1:6">
      <c r="A62" s="101" t="s">
        <v>70</v>
      </c>
      <c r="B62" s="35" t="s">
        <v>39</v>
      </c>
      <c r="C62" s="82">
        <v>9.6500000000000002E-2</v>
      </c>
      <c r="D62" s="96">
        <f>+(C62*D61)*-1</f>
        <v>-1.3027500000000001</v>
      </c>
    </row>
    <row r="63" spans="1:6">
      <c r="A63" s="33" t="s">
        <v>33</v>
      </c>
      <c r="B63" s="72" t="s">
        <v>294</v>
      </c>
      <c r="C63" s="136"/>
      <c r="D63" s="36">
        <v>0</v>
      </c>
    </row>
    <row r="64" spans="1:6">
      <c r="A64" s="101" t="s">
        <v>295</v>
      </c>
      <c r="B64" s="35" t="s">
        <v>39</v>
      </c>
      <c r="C64" s="82">
        <v>9.6500000000000002E-2</v>
      </c>
      <c r="D64" s="96">
        <f>+(C64*D63)*-1</f>
        <v>0</v>
      </c>
    </row>
    <row r="65" spans="1:4">
      <c r="A65" s="518" t="s">
        <v>57</v>
      </c>
      <c r="B65" s="548"/>
      <c r="C65" s="104"/>
      <c r="D65" s="79">
        <f>SUM(D49:D64)</f>
        <v>279.98677803999999</v>
      </c>
    </row>
    <row r="67" spans="1:4">
      <c r="A67" s="511" t="s">
        <v>296</v>
      </c>
      <c r="B67" s="511"/>
      <c r="C67" s="511"/>
      <c r="D67" s="511"/>
    </row>
    <row r="68" spans="1:4">
      <c r="A68" s="58">
        <v>2</v>
      </c>
      <c r="B68" s="511" t="s">
        <v>297</v>
      </c>
      <c r="C68" s="511"/>
      <c r="D68" s="105" t="s">
        <v>25</v>
      </c>
    </row>
    <row r="69" spans="1:4">
      <c r="A69" s="51" t="s">
        <v>275</v>
      </c>
      <c r="B69" s="532" t="s">
        <v>276</v>
      </c>
      <c r="C69" s="532"/>
      <c r="D69" s="36">
        <f>+D33</f>
        <v>252.86</v>
      </c>
    </row>
    <row r="70" spans="1:4">
      <c r="A70" s="51" t="s">
        <v>280</v>
      </c>
      <c r="B70" s="532" t="s">
        <v>281</v>
      </c>
      <c r="C70" s="532"/>
      <c r="D70" s="36">
        <f>+D45</f>
        <v>571.61</v>
      </c>
    </row>
    <row r="71" spans="1:4">
      <c r="A71" s="51" t="s">
        <v>286</v>
      </c>
      <c r="B71" s="532" t="s">
        <v>287</v>
      </c>
      <c r="C71" s="532"/>
      <c r="D71" s="106">
        <f>+D65</f>
        <v>279.98677803999999</v>
      </c>
    </row>
    <row r="72" spans="1:4">
      <c r="A72" s="511" t="s">
        <v>57</v>
      </c>
      <c r="B72" s="511"/>
      <c r="C72" s="511"/>
      <c r="D72" s="107">
        <f>SUM(D69:D71)</f>
        <v>1104.45677804</v>
      </c>
    </row>
    <row r="74" spans="1:4">
      <c r="A74" s="511" t="s">
        <v>298</v>
      </c>
      <c r="B74" s="511"/>
      <c r="C74" s="511"/>
      <c r="D74" s="511"/>
    </row>
    <row r="76" spans="1:4">
      <c r="A76" s="80">
        <v>3</v>
      </c>
      <c r="B76" s="81" t="s">
        <v>60</v>
      </c>
      <c r="C76" s="67" t="s">
        <v>51</v>
      </c>
      <c r="D76" s="67" t="s">
        <v>25</v>
      </c>
    </row>
    <row r="77" spans="1:4">
      <c r="A77" s="322" t="s">
        <v>4</v>
      </c>
      <c r="B77" s="35" t="s">
        <v>299</v>
      </c>
      <c r="C77" s="82">
        <f>+D77/$D$23</f>
        <v>8.3357043439477706E-3</v>
      </c>
      <c r="D77" s="108">
        <f>'Memória Cálculo ASG 5x2'!C24</f>
        <v>10.84</v>
      </c>
    </row>
    <row r="78" spans="1:4">
      <c r="A78" s="322" t="s">
        <v>6</v>
      </c>
      <c r="B78" s="33" t="s">
        <v>300</v>
      </c>
      <c r="C78" s="38"/>
      <c r="D78" s="77">
        <f>ROUND(+D77*$C$44,2)</f>
        <v>0.87</v>
      </c>
    </row>
    <row r="79" spans="1:4" ht="25.5">
      <c r="A79" s="322" t="s">
        <v>9</v>
      </c>
      <c r="B79" s="71" t="s">
        <v>301</v>
      </c>
      <c r="C79" s="39">
        <f>+D79/$D$23</f>
        <v>4.7753435402136217E-3</v>
      </c>
      <c r="D79" s="77">
        <f>'Memória Cálculo ASG 5x2'!C38</f>
        <v>6.21</v>
      </c>
    </row>
    <row r="80" spans="1:4">
      <c r="A80" s="61" t="s">
        <v>11</v>
      </c>
      <c r="B80" s="33" t="s">
        <v>302</v>
      </c>
      <c r="C80" s="39">
        <f>+D80/$D$23</f>
        <v>1.9455103311981419E-3</v>
      </c>
      <c r="D80" s="77">
        <f>'Memória Cálculo ASG 5x2'!C46</f>
        <v>2.5299999999999998</v>
      </c>
    </row>
    <row r="81" spans="1:5" ht="25.5">
      <c r="A81" s="61" t="s">
        <v>27</v>
      </c>
      <c r="B81" s="71" t="s">
        <v>303</v>
      </c>
      <c r="C81" s="38"/>
      <c r="D81" s="367">
        <v>0</v>
      </c>
      <c r="E81" t="s">
        <v>867</v>
      </c>
    </row>
    <row r="82" spans="1:5" ht="25.5">
      <c r="A82" s="61" t="s">
        <v>29</v>
      </c>
      <c r="B82" s="71" t="s">
        <v>304</v>
      </c>
      <c r="C82" s="39">
        <f>+D82/$D$23</f>
        <v>4.7753435402136217E-3</v>
      </c>
      <c r="D82" s="36">
        <f>'Memória Cálculo ASG 5x2'!C60</f>
        <v>6.21</v>
      </c>
    </row>
    <row r="83" spans="1:5">
      <c r="A83" s="518" t="s">
        <v>57</v>
      </c>
      <c r="B83" s="519"/>
      <c r="C83" s="548"/>
      <c r="D83" s="109">
        <f>SUM(D77:D82)</f>
        <v>26.66</v>
      </c>
    </row>
    <row r="85" spans="1:5">
      <c r="A85" s="511" t="s">
        <v>305</v>
      </c>
      <c r="B85" s="511"/>
      <c r="C85" s="511"/>
      <c r="D85" s="511"/>
    </row>
    <row r="87" spans="1:5">
      <c r="A87" s="533" t="s">
        <v>306</v>
      </c>
      <c r="B87" s="533"/>
      <c r="C87" s="533"/>
      <c r="D87" s="533"/>
    </row>
    <row r="88" spans="1:5">
      <c r="A88" s="80" t="s">
        <v>50</v>
      </c>
      <c r="B88" s="518" t="s">
        <v>307</v>
      </c>
      <c r="C88" s="548"/>
      <c r="D88" s="67" t="s">
        <v>25</v>
      </c>
    </row>
    <row r="89" spans="1:5">
      <c r="A89" s="33" t="s">
        <v>4</v>
      </c>
      <c r="B89" s="521" t="s">
        <v>61</v>
      </c>
      <c r="C89" s="522"/>
      <c r="D89" s="77">
        <v>0</v>
      </c>
    </row>
    <row r="90" spans="1:5">
      <c r="A90" s="35" t="s">
        <v>6</v>
      </c>
      <c r="B90" s="526" t="s">
        <v>307</v>
      </c>
      <c r="C90" s="527"/>
      <c r="D90" s="110">
        <f>'Memória Cálculo ASG 5x2'!C73</f>
        <v>3.61</v>
      </c>
    </row>
    <row r="91" spans="1:5" s="47" customFormat="1">
      <c r="A91" s="35" t="s">
        <v>9</v>
      </c>
      <c r="B91" s="526" t="s">
        <v>308</v>
      </c>
      <c r="C91" s="527"/>
      <c r="D91" s="110">
        <f>'Memória Cálculo ASG 5x2'!C82</f>
        <v>0.24</v>
      </c>
    </row>
    <row r="92" spans="1:5" s="47" customFormat="1">
      <c r="A92" s="35" t="s">
        <v>11</v>
      </c>
      <c r="B92" s="526" t="s">
        <v>309</v>
      </c>
      <c r="C92" s="527"/>
      <c r="D92" s="110">
        <f>'Memória Cálculo ASG 5x2'!C90</f>
        <v>0.81</v>
      </c>
    </row>
    <row r="93" spans="1:5" s="47" customFormat="1" ht="13.5">
      <c r="A93" s="35" t="s">
        <v>27</v>
      </c>
      <c r="B93" s="526" t="s">
        <v>310</v>
      </c>
      <c r="C93" s="527"/>
      <c r="D93" s="110">
        <v>0</v>
      </c>
    </row>
    <row r="94" spans="1:5" s="47" customFormat="1">
      <c r="A94" s="35" t="s">
        <v>29</v>
      </c>
      <c r="B94" s="526" t="s">
        <v>311</v>
      </c>
      <c r="C94" s="527"/>
      <c r="D94" s="110">
        <f>'Memória Cálculo ASG 5x2'!C98</f>
        <v>7.22</v>
      </c>
    </row>
    <row r="95" spans="1:5">
      <c r="A95" s="33" t="s">
        <v>31</v>
      </c>
      <c r="B95" s="521" t="s">
        <v>35</v>
      </c>
      <c r="C95" s="522"/>
      <c r="D95" s="77">
        <v>0</v>
      </c>
    </row>
    <row r="96" spans="1:5">
      <c r="A96" s="33" t="s">
        <v>33</v>
      </c>
      <c r="B96" s="521" t="s">
        <v>312</v>
      </c>
      <c r="C96" s="522"/>
      <c r="D96" s="367">
        <v>0</v>
      </c>
      <c r="E96" t="s">
        <v>867</v>
      </c>
    </row>
    <row r="97" spans="1:5">
      <c r="A97" s="510" t="s">
        <v>57</v>
      </c>
      <c r="B97" s="510"/>
      <c r="C97" s="510"/>
      <c r="D97" s="79">
        <f>SUM(D89:D96)</f>
        <v>11.879999999999999</v>
      </c>
    </row>
    <row r="98" spans="1:5">
      <c r="D98" s="37"/>
    </row>
    <row r="99" spans="1:5">
      <c r="A99" s="80" t="s">
        <v>313</v>
      </c>
      <c r="B99" s="518" t="s">
        <v>314</v>
      </c>
      <c r="C99" s="548"/>
      <c r="D99" s="67" t="s">
        <v>25</v>
      </c>
    </row>
    <row r="100" spans="1:5" s="47" customFormat="1">
      <c r="A100" s="35" t="s">
        <v>4</v>
      </c>
      <c r="B100" s="528" t="s">
        <v>315</v>
      </c>
      <c r="C100" s="529"/>
      <c r="D100" s="110">
        <f>'Memória Cálculo ASG 5x2'!C109</f>
        <v>0.09</v>
      </c>
    </row>
    <row r="101" spans="1:5" s="47" customFormat="1">
      <c r="A101" s="35" t="s">
        <v>6</v>
      </c>
      <c r="B101" s="530" t="s">
        <v>316</v>
      </c>
      <c r="C101" s="531"/>
      <c r="D101" s="367">
        <v>0</v>
      </c>
      <c r="E101" t="s">
        <v>867</v>
      </c>
    </row>
    <row r="102" spans="1:5" s="47" customFormat="1">
      <c r="A102" s="35" t="s">
        <v>9</v>
      </c>
      <c r="B102" s="530" t="s">
        <v>317</v>
      </c>
      <c r="C102" s="531"/>
      <c r="D102" s="367">
        <f>'Memória Cálculo ASG 5x2'!C119</f>
        <v>0</v>
      </c>
      <c r="E102" t="s">
        <v>867</v>
      </c>
    </row>
    <row r="103" spans="1:5">
      <c r="A103" s="33" t="s">
        <v>11</v>
      </c>
      <c r="B103" s="521" t="s">
        <v>35</v>
      </c>
      <c r="C103" s="522"/>
      <c r="D103" s="77"/>
    </row>
    <row r="104" spans="1:5">
      <c r="A104" s="510" t="s">
        <v>57</v>
      </c>
      <c r="B104" s="510"/>
      <c r="C104" s="510"/>
      <c r="D104" s="79">
        <f>SUM(D100:D103)</f>
        <v>0.09</v>
      </c>
    </row>
    <row r="105" spans="1:5">
      <c r="D105" s="37"/>
    </row>
    <row r="106" spans="1:5">
      <c r="A106" s="80" t="s">
        <v>58</v>
      </c>
      <c r="B106" s="510" t="s">
        <v>32</v>
      </c>
      <c r="C106" s="510"/>
      <c r="D106" s="67" t="s">
        <v>25</v>
      </c>
    </row>
    <row r="107" spans="1:5" s="113" customFormat="1" ht="29.25" customHeight="1">
      <c r="A107" s="61" t="s">
        <v>4</v>
      </c>
      <c r="B107" s="525" t="s">
        <v>868</v>
      </c>
      <c r="C107" s="525"/>
      <c r="D107" s="325">
        <v>0</v>
      </c>
    </row>
    <row r="108" spans="1:5">
      <c r="A108" s="510" t="s">
        <v>57</v>
      </c>
      <c r="B108" s="510"/>
      <c r="C108" s="510"/>
      <c r="D108" s="79">
        <f>SUM(D107:D107)</f>
        <v>0</v>
      </c>
    </row>
    <row r="110" spans="1:5">
      <c r="A110" s="321" t="s">
        <v>318</v>
      </c>
      <c r="B110" s="321"/>
      <c r="C110" s="321"/>
      <c r="D110" s="321"/>
    </row>
    <row r="111" spans="1:5">
      <c r="A111" s="33" t="s">
        <v>50</v>
      </c>
      <c r="B111" s="521" t="s">
        <v>307</v>
      </c>
      <c r="C111" s="522"/>
      <c r="D111" s="36">
        <f>+D97</f>
        <v>11.879999999999999</v>
      </c>
    </row>
    <row r="112" spans="1:5">
      <c r="A112" s="33" t="s">
        <v>313</v>
      </c>
      <c r="B112" s="521" t="s">
        <v>314</v>
      </c>
      <c r="C112" s="522"/>
      <c r="D112" s="36">
        <f>+D104</f>
        <v>0.09</v>
      </c>
    </row>
    <row r="113" spans="1:9">
      <c r="A113" s="114"/>
      <c r="B113" s="523" t="s">
        <v>319</v>
      </c>
      <c r="C113" s="524"/>
      <c r="D113" s="52">
        <f>+D112+D111</f>
        <v>11.969999999999999</v>
      </c>
    </row>
    <row r="114" spans="1:9">
      <c r="A114" s="33" t="s">
        <v>58</v>
      </c>
      <c r="B114" s="521" t="s">
        <v>32</v>
      </c>
      <c r="C114" s="522"/>
      <c r="D114" s="36">
        <f>+D108</f>
        <v>0</v>
      </c>
    </row>
    <row r="115" spans="1:9">
      <c r="A115" s="485" t="s">
        <v>57</v>
      </c>
      <c r="B115" s="485"/>
      <c r="C115" s="485"/>
      <c r="D115" s="54">
        <f>+D114+D113</f>
        <v>11.969999999999999</v>
      </c>
    </row>
    <row r="117" spans="1:9">
      <c r="A117" s="511" t="s">
        <v>320</v>
      </c>
      <c r="B117" s="511"/>
      <c r="C117" s="511"/>
      <c r="D117" s="511"/>
      <c r="I117" s="285"/>
    </row>
    <row r="118" spans="1:9">
      <c r="I118" s="285"/>
    </row>
    <row r="119" spans="1:9">
      <c r="A119" s="80">
        <v>5</v>
      </c>
      <c r="B119" s="518" t="s">
        <v>45</v>
      </c>
      <c r="C119" s="548"/>
      <c r="D119" s="67" t="s">
        <v>25</v>
      </c>
      <c r="I119" s="285"/>
    </row>
    <row r="120" spans="1:9">
      <c r="A120" s="33" t="s">
        <v>4</v>
      </c>
      <c r="B120" s="509" t="s">
        <v>46</v>
      </c>
      <c r="C120" s="509"/>
      <c r="D120" s="77">
        <f>Uniformes!E29</f>
        <v>41.628333333333337</v>
      </c>
      <c r="I120" s="286"/>
    </row>
    <row r="121" spans="1:9">
      <c r="A121" s="33" t="s">
        <v>38</v>
      </c>
      <c r="B121" s="35" t="s">
        <v>39</v>
      </c>
      <c r="C121" s="82">
        <f>+$C$139+$C$140</f>
        <v>9.2499999999999999E-2</v>
      </c>
      <c r="D121" s="96">
        <f>+(C121*D120)*-1</f>
        <v>-3.8506208333333336</v>
      </c>
    </row>
    <row r="122" spans="1:9">
      <c r="A122" s="33" t="s">
        <v>6</v>
      </c>
      <c r="B122" s="509" t="s">
        <v>47</v>
      </c>
      <c r="C122" s="509"/>
      <c r="D122" s="77"/>
    </row>
    <row r="123" spans="1:9">
      <c r="A123" s="33" t="s">
        <v>40</v>
      </c>
      <c r="B123" s="35" t="s">
        <v>39</v>
      </c>
      <c r="C123" s="82">
        <f>+$C$139+$C$140</f>
        <v>9.2499999999999999E-2</v>
      </c>
      <c r="D123" s="96">
        <f>+(C123*D122)*-1</f>
        <v>0</v>
      </c>
    </row>
    <row r="124" spans="1:9">
      <c r="A124" s="33" t="s">
        <v>9</v>
      </c>
      <c r="B124" s="509" t="s">
        <v>48</v>
      </c>
      <c r="C124" s="509"/>
      <c r="D124" s="77">
        <v>0</v>
      </c>
    </row>
    <row r="125" spans="1:9">
      <c r="A125" s="33" t="s">
        <v>41</v>
      </c>
      <c r="B125" s="35" t="s">
        <v>39</v>
      </c>
      <c r="C125" s="82">
        <f>+$C$139+$C$140</f>
        <v>9.2499999999999999E-2</v>
      </c>
      <c r="D125" s="96">
        <f>+(C125*D124)*-1</f>
        <v>0</v>
      </c>
    </row>
    <row r="126" spans="1:9">
      <c r="A126" s="33" t="s">
        <v>11</v>
      </c>
      <c r="B126" s="509" t="s">
        <v>35</v>
      </c>
      <c r="C126" s="509"/>
      <c r="D126" s="77"/>
    </row>
    <row r="127" spans="1:9">
      <c r="A127" s="33" t="s">
        <v>49</v>
      </c>
      <c r="B127" s="35" t="s">
        <v>39</v>
      </c>
      <c r="C127" s="82">
        <f>+$C$139+$C$140</f>
        <v>9.2499999999999999E-2</v>
      </c>
      <c r="D127" s="96">
        <f>+(C127*D126)*-1</f>
        <v>0</v>
      </c>
    </row>
    <row r="128" spans="1:9">
      <c r="A128" s="510" t="s">
        <v>57</v>
      </c>
      <c r="B128" s="510"/>
      <c r="C128" s="510"/>
      <c r="D128" s="79">
        <f>SUM(D120:D126)</f>
        <v>37.777712500000007</v>
      </c>
    </row>
    <row r="130" spans="1:4">
      <c r="A130" s="511" t="s">
        <v>321</v>
      </c>
      <c r="B130" s="511"/>
      <c r="C130" s="511"/>
      <c r="D130" s="511"/>
    </row>
    <row r="132" spans="1:4">
      <c r="A132" s="80">
        <v>6</v>
      </c>
      <c r="B132" s="81" t="s">
        <v>62</v>
      </c>
      <c r="C132" s="324" t="s">
        <v>51</v>
      </c>
      <c r="D132" s="67" t="s">
        <v>25</v>
      </c>
    </row>
    <row r="133" spans="1:4">
      <c r="A133" s="33" t="s">
        <v>4</v>
      </c>
      <c r="B133" s="33" t="s">
        <v>63</v>
      </c>
      <c r="C133" s="39">
        <f>'Nutricionista 5X2'!C130</f>
        <v>0.06</v>
      </c>
      <c r="D133" s="36">
        <f>($D$128+$D$115+$D$83+$D$72+$D$23)*C133</f>
        <v>148.87766943239998</v>
      </c>
    </row>
    <row r="134" spans="1:4">
      <c r="A134" s="33" t="s">
        <v>6</v>
      </c>
      <c r="B134" s="33" t="s">
        <v>64</v>
      </c>
      <c r="C134" s="39">
        <f>'Nutricionista 5X2'!C131</f>
        <v>0.06</v>
      </c>
      <c r="D134" s="36">
        <f>($D$128+$D$115+$D$83+$D$72+$D$23+D133)*C134</f>
        <v>157.810329598344</v>
      </c>
    </row>
    <row r="135" spans="1:4" s="117" customFormat="1">
      <c r="A135" s="512" t="s">
        <v>65</v>
      </c>
      <c r="B135" s="513"/>
      <c r="C135" s="514"/>
      <c r="D135" s="116">
        <f>++D134+D133+D128+D115+D83+D72+D23</f>
        <v>2787.9824895707443</v>
      </c>
    </row>
    <row r="136" spans="1:4" s="117" customFormat="1">
      <c r="A136" s="515" t="s">
        <v>66</v>
      </c>
      <c r="B136" s="516"/>
      <c r="C136" s="517"/>
      <c r="D136" s="116">
        <f>ROUND(D135/(1-(C139+C140+C142+C144+C145)),2)</f>
        <v>3251.29</v>
      </c>
    </row>
    <row r="137" spans="1:4">
      <c r="A137" s="33" t="s">
        <v>9</v>
      </c>
      <c r="B137" s="33" t="s">
        <v>67</v>
      </c>
      <c r="C137" s="39"/>
      <c r="D137" s="33"/>
    </row>
    <row r="138" spans="1:4">
      <c r="A138" s="33" t="s">
        <v>41</v>
      </c>
      <c r="B138" s="33" t="s">
        <v>322</v>
      </c>
      <c r="C138" s="39"/>
      <c r="D138" s="33"/>
    </row>
    <row r="139" spans="1:4">
      <c r="A139" s="33" t="s">
        <v>323</v>
      </c>
      <c r="B139" s="33" t="s">
        <v>68</v>
      </c>
      <c r="C139" s="39">
        <v>1.6500000000000001E-2</v>
      </c>
      <c r="D139" s="36">
        <f>ROUND(C139*$D$136,2)</f>
        <v>53.65</v>
      </c>
    </row>
    <row r="140" spans="1:4">
      <c r="A140" s="33" t="s">
        <v>324</v>
      </c>
      <c r="B140" s="33" t="s">
        <v>69</v>
      </c>
      <c r="C140" s="39">
        <v>7.5999999999999998E-2</v>
      </c>
      <c r="D140" s="36">
        <f>ROUND(C140*$D$136,2)</f>
        <v>247.1</v>
      </c>
    </row>
    <row r="141" spans="1:4">
      <c r="A141" s="33" t="s">
        <v>325</v>
      </c>
      <c r="B141" s="33" t="s">
        <v>326</v>
      </c>
      <c r="C141" s="39"/>
      <c r="D141" s="36"/>
    </row>
    <row r="142" spans="1:4">
      <c r="A142" s="33" t="s">
        <v>327</v>
      </c>
      <c r="B142" s="33" t="s">
        <v>328</v>
      </c>
      <c r="C142" s="39"/>
      <c r="D142" s="33"/>
    </row>
    <row r="143" spans="1:4">
      <c r="A143" s="33" t="s">
        <v>329</v>
      </c>
      <c r="B143" s="33" t="s">
        <v>330</v>
      </c>
      <c r="C143" s="39"/>
      <c r="D143" s="33"/>
    </row>
    <row r="144" spans="1:4">
      <c r="A144" s="33" t="s">
        <v>331</v>
      </c>
      <c r="B144" s="33" t="s">
        <v>332</v>
      </c>
      <c r="C144" s="39">
        <v>0.05</v>
      </c>
      <c r="D144" s="36">
        <f>ROUND(C144*$D$136,2)</f>
        <v>162.56</v>
      </c>
    </row>
    <row r="145" spans="1:4">
      <c r="A145" s="33" t="s">
        <v>333</v>
      </c>
      <c r="B145" s="33" t="s">
        <v>334</v>
      </c>
      <c r="C145" s="39"/>
      <c r="D145" s="33"/>
    </row>
    <row r="146" spans="1:4">
      <c r="A146" s="518" t="s">
        <v>57</v>
      </c>
      <c r="B146" s="519"/>
      <c r="C146" s="118">
        <f>+C145+C144+C142+C140+C139+C134+C133</f>
        <v>0.26250000000000001</v>
      </c>
      <c r="D146" s="79">
        <f>+D144+D142+D140+D139+D134+D133</f>
        <v>769.99799903074393</v>
      </c>
    </row>
    <row r="148" spans="1:4">
      <c r="A148" s="520" t="s">
        <v>335</v>
      </c>
      <c r="B148" s="520"/>
      <c r="C148" s="520"/>
      <c r="D148" s="520"/>
    </row>
    <row r="149" spans="1:4">
      <c r="A149" s="33" t="s">
        <v>4</v>
      </c>
      <c r="B149" s="503" t="s">
        <v>336</v>
      </c>
      <c r="C149" s="503"/>
      <c r="D149" s="77">
        <f>+D23</f>
        <v>1300.43</v>
      </c>
    </row>
    <row r="150" spans="1:4">
      <c r="A150" s="33" t="s">
        <v>337</v>
      </c>
      <c r="B150" s="503" t="s">
        <v>338</v>
      </c>
      <c r="C150" s="503"/>
      <c r="D150" s="77">
        <f>+D72</f>
        <v>1104.45677804</v>
      </c>
    </row>
    <row r="151" spans="1:4">
      <c r="A151" s="33" t="s">
        <v>9</v>
      </c>
      <c r="B151" s="503" t="s">
        <v>339</v>
      </c>
      <c r="C151" s="503"/>
      <c r="D151" s="77">
        <f>+D83</f>
        <v>26.66</v>
      </c>
    </row>
    <row r="152" spans="1:4">
      <c r="A152" s="33" t="s">
        <v>11</v>
      </c>
      <c r="B152" s="503" t="s">
        <v>340</v>
      </c>
      <c r="C152" s="503"/>
      <c r="D152" s="77">
        <f>+D115</f>
        <v>11.969999999999999</v>
      </c>
    </row>
    <row r="153" spans="1:4">
      <c r="A153" s="33" t="s">
        <v>27</v>
      </c>
      <c r="B153" s="503" t="s">
        <v>341</v>
      </c>
      <c r="C153" s="503"/>
      <c r="D153" s="77">
        <f>+D128</f>
        <v>37.777712500000007</v>
      </c>
    </row>
    <row r="154" spans="1:4">
      <c r="B154" s="502" t="s">
        <v>342</v>
      </c>
      <c r="C154" s="502"/>
      <c r="D154" s="119">
        <f>SUM(D149:D153)</f>
        <v>2481.29449054</v>
      </c>
    </row>
    <row r="155" spans="1:4">
      <c r="A155" s="33" t="s">
        <v>29</v>
      </c>
      <c r="B155" s="503" t="s">
        <v>343</v>
      </c>
      <c r="C155" s="503"/>
      <c r="D155" s="77">
        <f>+D146</f>
        <v>769.99799903074393</v>
      </c>
    </row>
    <row r="157" spans="1:4">
      <c r="A157" s="547" t="s">
        <v>344</v>
      </c>
      <c r="B157" s="547"/>
      <c r="C157" s="547"/>
      <c r="D157" s="120">
        <f>ROUND(+D155+D154,2)</f>
        <v>3251.29</v>
      </c>
    </row>
    <row r="159" spans="1:4">
      <c r="A159" s="493" t="s">
        <v>345</v>
      </c>
      <c r="B159" s="493"/>
      <c r="C159" s="493"/>
      <c r="D159" s="493"/>
    </row>
    <row r="161" spans="1:5">
      <c r="A161" s="33" t="s">
        <v>4</v>
      </c>
      <c r="B161" s="33" t="s">
        <v>217</v>
      </c>
      <c r="C161" s="121">
        <f>+C29</f>
        <v>8.3299999999999999E-2</v>
      </c>
      <c r="D161" s="77">
        <f>+D29</f>
        <v>108.37</v>
      </c>
    </row>
    <row r="162" spans="1:5">
      <c r="A162" s="33" t="s">
        <v>6</v>
      </c>
      <c r="B162" s="33" t="s">
        <v>218</v>
      </c>
      <c r="C162" s="121">
        <f>+C31</f>
        <v>8.3299999999999999E-2</v>
      </c>
      <c r="D162" s="77">
        <f>+D31</f>
        <v>108.37</v>
      </c>
    </row>
    <row r="163" spans="1:5">
      <c r="A163" s="33" t="s">
        <v>9</v>
      </c>
      <c r="B163" s="33" t="s">
        <v>59</v>
      </c>
      <c r="C163" s="121">
        <f>+C32</f>
        <v>2.7799999999999998E-2</v>
      </c>
      <c r="D163" s="77">
        <f>+D32</f>
        <v>36.119999999999997</v>
      </c>
    </row>
    <row r="164" spans="1:5" ht="25.5">
      <c r="A164" s="33" t="s">
        <v>11</v>
      </c>
      <c r="B164" s="71" t="s">
        <v>301</v>
      </c>
      <c r="C164" s="39">
        <f>+C79</f>
        <v>4.7753435402136217E-3</v>
      </c>
      <c r="D164" s="77">
        <f>+D79</f>
        <v>6.21</v>
      </c>
    </row>
    <row r="165" spans="1:5" ht="25.5">
      <c r="A165" s="33" t="s">
        <v>27</v>
      </c>
      <c r="B165" s="71" t="s">
        <v>304</v>
      </c>
      <c r="C165" s="121">
        <f>+C82</f>
        <v>4.7753435402136217E-3</v>
      </c>
      <c r="D165" s="36">
        <f>+D82</f>
        <v>6.21</v>
      </c>
    </row>
    <row r="166" spans="1:5">
      <c r="A166" s="33" t="s">
        <v>44</v>
      </c>
      <c r="B166" s="35" t="s">
        <v>346</v>
      </c>
      <c r="C166" s="505">
        <f>+(D166+D167+D168)/D23</f>
        <v>7.1553255461655002E-2</v>
      </c>
      <c r="D166" s="77">
        <f>ROUND(D29*(SUM($C$37:$C$44)),2)</f>
        <v>39.880000000000003</v>
      </c>
    </row>
    <row r="167" spans="1:5">
      <c r="A167" s="33" t="s">
        <v>347</v>
      </c>
      <c r="B167" s="35" t="s">
        <v>348</v>
      </c>
      <c r="C167" s="505"/>
      <c r="D167" s="77">
        <f>ROUND(D31*(SUM($C$37:$C$44)),2)</f>
        <v>39.880000000000003</v>
      </c>
    </row>
    <row r="168" spans="1:5">
      <c r="A168" s="33" t="s">
        <v>349</v>
      </c>
      <c r="B168" s="35" t="s">
        <v>350</v>
      </c>
      <c r="C168" s="505"/>
      <c r="D168" s="77">
        <f>ROUND(D32*(SUM($C$37:$C$44)),2)</f>
        <v>13.29</v>
      </c>
    </row>
    <row r="169" spans="1:5">
      <c r="A169" s="506" t="s">
        <v>57</v>
      </c>
      <c r="B169" s="507"/>
      <c r="C169" s="508"/>
      <c r="D169" s="43">
        <f>SUM(D161:D168)</f>
        <v>358.33</v>
      </c>
    </row>
    <row r="170" spans="1:5">
      <c r="B170" s="122"/>
      <c r="C170" s="122"/>
      <c r="D170" s="122"/>
    </row>
    <row r="171" spans="1:5" s="124" customFormat="1" ht="40.5" customHeight="1">
      <c r="A171" s="499" t="s">
        <v>351</v>
      </c>
      <c r="B171" s="499"/>
      <c r="C171" s="499"/>
      <c r="D171" s="499"/>
      <c r="E171" s="123"/>
    </row>
    <row r="172" spans="1:5">
      <c r="A172" s="125"/>
      <c r="B172" s="125"/>
      <c r="C172" s="125"/>
      <c r="D172" s="125"/>
      <c r="E172" s="125"/>
    </row>
    <row r="173" spans="1:5">
      <c r="A173" s="500"/>
      <c r="B173" s="500"/>
      <c r="C173" s="500"/>
      <c r="D173" s="500"/>
      <c r="E173" s="125"/>
    </row>
    <row r="174" spans="1:5">
      <c r="A174" s="125"/>
      <c r="B174" s="125"/>
      <c r="C174" s="125"/>
      <c r="D174" s="125"/>
      <c r="E174" s="125"/>
    </row>
    <row r="175" spans="1:5">
      <c r="A175" s="501"/>
      <c r="B175" s="501"/>
      <c r="C175" s="501"/>
      <c r="D175" s="501"/>
      <c r="E175" s="125"/>
    </row>
    <row r="176" spans="1:5">
      <c r="A176" s="125"/>
      <c r="B176" s="125"/>
      <c r="C176" s="125"/>
      <c r="D176" s="125"/>
      <c r="E176" s="125"/>
    </row>
    <row r="177" spans="1:5">
      <c r="A177" s="125"/>
      <c r="B177" s="125"/>
      <c r="C177" s="125"/>
      <c r="D177" s="125"/>
      <c r="E177" s="125"/>
    </row>
    <row r="178" spans="1:5">
      <c r="A178" s="125"/>
      <c r="B178" s="125"/>
      <c r="C178" s="125"/>
      <c r="D178" s="125"/>
      <c r="E178" s="125"/>
    </row>
    <row r="179" spans="1:5">
      <c r="A179" s="125"/>
      <c r="B179" s="125"/>
      <c r="C179" s="125"/>
      <c r="D179" s="125"/>
      <c r="E179" s="125"/>
    </row>
    <row r="180" spans="1:5">
      <c r="A180" s="125"/>
      <c r="B180" s="125"/>
      <c r="C180" s="125"/>
      <c r="D180" s="125"/>
      <c r="E180" s="125"/>
    </row>
    <row r="181" spans="1:5">
      <c r="A181" s="125"/>
      <c r="B181" s="125"/>
      <c r="C181" s="125"/>
      <c r="D181" s="125"/>
      <c r="E181" s="125"/>
    </row>
    <row r="182" spans="1:5">
      <c r="A182" s="125"/>
      <c r="B182" s="125"/>
      <c r="C182" s="125"/>
      <c r="D182" s="125"/>
      <c r="E182" s="125"/>
    </row>
    <row r="183" spans="1:5">
      <c r="A183" s="125"/>
      <c r="B183" s="125"/>
      <c r="C183" s="125"/>
      <c r="D183" s="125"/>
      <c r="E183" s="125"/>
    </row>
    <row r="184" spans="1:5">
      <c r="A184" s="125"/>
      <c r="B184" s="125"/>
      <c r="C184" s="125"/>
      <c r="D184" s="125"/>
      <c r="E184" s="125"/>
    </row>
    <row r="185" spans="1:5">
      <c r="A185" s="125"/>
      <c r="B185" s="125"/>
      <c r="C185" s="125"/>
      <c r="D185" s="125"/>
      <c r="E185" s="125"/>
    </row>
    <row r="186" spans="1:5">
      <c r="A186" s="125"/>
      <c r="B186" s="125"/>
      <c r="C186" s="125"/>
      <c r="D186" s="125"/>
      <c r="E186" s="125"/>
    </row>
    <row r="187" spans="1:5">
      <c r="A187" s="125"/>
      <c r="B187" s="125"/>
      <c r="C187" s="125"/>
      <c r="D187" s="125"/>
      <c r="E187" s="125"/>
    </row>
    <row r="188" spans="1:5">
      <c r="A188" s="125"/>
      <c r="B188" s="125"/>
      <c r="C188" s="125"/>
      <c r="D188" s="125"/>
      <c r="E188" s="125"/>
    </row>
  </sheetData>
  <mergeCells count="83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74:D74"/>
    <mergeCell ref="A27:D27"/>
    <mergeCell ref="A33:C33"/>
    <mergeCell ref="A35:D35"/>
    <mergeCell ref="A47:D47"/>
    <mergeCell ref="A65:B65"/>
    <mergeCell ref="A67:D67"/>
    <mergeCell ref="B68:C68"/>
    <mergeCell ref="B69:C69"/>
    <mergeCell ref="B70:C70"/>
    <mergeCell ref="B71:C71"/>
    <mergeCell ref="A72:C72"/>
    <mergeCell ref="B96:C96"/>
    <mergeCell ref="A83:C83"/>
    <mergeCell ref="A85:D85"/>
    <mergeCell ref="A87:D87"/>
    <mergeCell ref="B88:C88"/>
    <mergeCell ref="B89:C89"/>
    <mergeCell ref="B90:C90"/>
    <mergeCell ref="B91:C91"/>
    <mergeCell ref="B92:C92"/>
    <mergeCell ref="B93:C93"/>
    <mergeCell ref="B94:C94"/>
    <mergeCell ref="B95:C95"/>
    <mergeCell ref="B112:C112"/>
    <mergeCell ref="A97:C97"/>
    <mergeCell ref="B99:C99"/>
    <mergeCell ref="B100:C100"/>
    <mergeCell ref="B101:C101"/>
    <mergeCell ref="B102:C102"/>
    <mergeCell ref="B103:C103"/>
    <mergeCell ref="A104:C104"/>
    <mergeCell ref="B106:C106"/>
    <mergeCell ref="B107:C107"/>
    <mergeCell ref="A108:C108"/>
    <mergeCell ref="B111:C111"/>
    <mergeCell ref="A135:C135"/>
    <mergeCell ref="B113:C113"/>
    <mergeCell ref="B114:C114"/>
    <mergeCell ref="A115:C115"/>
    <mergeCell ref="A117:D117"/>
    <mergeCell ref="B119:C119"/>
    <mergeCell ref="B120:C120"/>
    <mergeCell ref="B122:C122"/>
    <mergeCell ref="B124:C124"/>
    <mergeCell ref="B126:C126"/>
    <mergeCell ref="A128:C128"/>
    <mergeCell ref="A130:D130"/>
    <mergeCell ref="A159:D159"/>
    <mergeCell ref="A136:C136"/>
    <mergeCell ref="A146:B146"/>
    <mergeCell ref="A148:D148"/>
    <mergeCell ref="B149:C149"/>
    <mergeCell ref="B150:C150"/>
    <mergeCell ref="B151:C151"/>
    <mergeCell ref="B152:C152"/>
    <mergeCell ref="B153:C153"/>
    <mergeCell ref="B154:C154"/>
    <mergeCell ref="B155:C155"/>
    <mergeCell ref="A157:C157"/>
    <mergeCell ref="C166:C168"/>
    <mergeCell ref="A169:C169"/>
    <mergeCell ref="A171:D171"/>
    <mergeCell ref="A173:D173"/>
    <mergeCell ref="A175:D17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845"/>
  <sheetViews>
    <sheetView topLeftCell="A1197" zoomScaleNormal="100" zoomScalePageLayoutView="130" workbookViewId="0">
      <selection activeCell="K1180" sqref="K1180"/>
    </sheetView>
  </sheetViews>
  <sheetFormatPr defaultColWidth="11.42578125" defaultRowHeight="10.5"/>
  <cols>
    <col min="1" max="1" width="23" style="8" customWidth="1"/>
    <col min="2" max="2" width="34.85546875" style="8" customWidth="1"/>
    <col min="3" max="3" width="12.140625" style="8" customWidth="1"/>
    <col min="4" max="4" width="7.28515625" style="338" customWidth="1"/>
    <col min="5" max="5" width="11.140625" style="338" customWidth="1"/>
    <col min="6" max="6" width="11.7109375" style="338" customWidth="1"/>
    <col min="7" max="7" width="11.5703125" style="338" customWidth="1"/>
    <col min="8" max="8" width="12.28515625" style="194" customWidth="1"/>
    <col min="9" max="9" width="15.85546875" style="8" customWidth="1"/>
    <col min="10" max="16384" width="11.42578125" style="8"/>
  </cols>
  <sheetData>
    <row r="1" spans="1:8" s="9" customFormat="1" ht="41.25" customHeight="1">
      <c r="A1" s="559" t="s">
        <v>366</v>
      </c>
      <c r="B1" s="559"/>
      <c r="C1" s="559"/>
      <c r="D1" s="559"/>
      <c r="E1" s="559"/>
      <c r="F1" s="559"/>
      <c r="G1" s="559"/>
      <c r="H1" s="559"/>
    </row>
    <row r="2" spans="1:8" s="9" customFormat="1" ht="15" customHeight="1">
      <c r="A2" s="161"/>
      <c r="B2" s="161"/>
      <c r="C2" s="161"/>
      <c r="D2" s="161"/>
      <c r="E2" s="341"/>
      <c r="F2" s="162"/>
      <c r="G2" s="161"/>
      <c r="H2" s="161"/>
    </row>
    <row r="3" spans="1:8" s="148" customFormat="1" ht="30.75" customHeight="1">
      <c r="A3" s="560" t="s">
        <v>374</v>
      </c>
      <c r="B3" s="560"/>
      <c r="C3" s="560"/>
      <c r="D3" s="560"/>
      <c r="E3" s="560"/>
      <c r="F3" s="560"/>
      <c r="G3" s="560"/>
      <c r="H3" s="560"/>
    </row>
    <row r="4" spans="1:8" s="148" customFormat="1" ht="26.25" customHeight="1">
      <c r="A4" s="163"/>
      <c r="B4" s="163"/>
      <c r="C4" s="163"/>
      <c r="D4" s="163"/>
      <c r="E4" s="342"/>
      <c r="F4" s="164"/>
      <c r="G4" s="163"/>
      <c r="H4" s="163"/>
    </row>
    <row r="5" spans="1:8" ht="34.5" customHeight="1">
      <c r="A5" s="561" t="s">
        <v>90</v>
      </c>
      <c r="B5" s="561"/>
      <c r="C5" s="561"/>
      <c r="D5" s="561"/>
      <c r="E5" s="561"/>
      <c r="F5" s="561"/>
      <c r="G5" s="561"/>
      <c r="H5" s="561"/>
    </row>
    <row r="6" spans="1:8" s="10" customFormat="1" ht="45">
      <c r="A6" s="399" t="s">
        <v>375</v>
      </c>
      <c r="B6" s="399"/>
      <c r="C6" s="399"/>
      <c r="D6" s="400" t="s">
        <v>376</v>
      </c>
      <c r="E6" s="400" t="s">
        <v>91</v>
      </c>
      <c r="F6" s="401" t="s">
        <v>92</v>
      </c>
      <c r="G6" s="402" t="s">
        <v>93</v>
      </c>
      <c r="H6" s="403" t="s">
        <v>377</v>
      </c>
    </row>
    <row r="7" spans="1:8">
      <c r="A7" s="165" t="s">
        <v>378</v>
      </c>
      <c r="B7" s="166"/>
      <c r="C7" s="166"/>
      <c r="D7" s="167"/>
      <c r="E7" s="343"/>
      <c r="F7" s="168"/>
      <c r="G7" s="167"/>
      <c r="H7" s="169"/>
    </row>
    <row r="8" spans="1:8">
      <c r="A8" s="166"/>
      <c r="B8" s="165" t="s">
        <v>379</v>
      </c>
      <c r="C8" s="165"/>
      <c r="D8" s="170" t="s">
        <v>380</v>
      </c>
      <c r="E8" s="189">
        <v>14.17</v>
      </c>
      <c r="F8" s="171">
        <v>0.18</v>
      </c>
      <c r="G8" s="149">
        <f>F8*E8</f>
        <v>2.5505999999999998</v>
      </c>
      <c r="H8" s="172">
        <v>100</v>
      </c>
    </row>
    <row r="9" spans="1:8">
      <c r="A9" s="166"/>
      <c r="B9" s="165" t="s">
        <v>381</v>
      </c>
      <c r="C9" s="165"/>
      <c r="D9" s="170" t="s">
        <v>380</v>
      </c>
      <c r="E9" s="189">
        <v>7.99</v>
      </c>
      <c r="F9" s="168">
        <v>5.5E-2</v>
      </c>
      <c r="G9" s="149">
        <f t="shared" ref="G9:G32" si="0">F9*E9</f>
        <v>0.43945000000000001</v>
      </c>
      <c r="H9" s="173">
        <v>50</v>
      </c>
    </row>
    <row r="10" spans="1:8">
      <c r="A10" s="166"/>
      <c r="B10" s="165" t="s">
        <v>382</v>
      </c>
      <c r="C10" s="165"/>
      <c r="D10" s="170" t="s">
        <v>380</v>
      </c>
      <c r="E10" s="189">
        <v>0.96</v>
      </c>
      <c r="F10" s="168" t="s">
        <v>383</v>
      </c>
      <c r="G10" s="149">
        <f t="shared" si="0"/>
        <v>7.6800000000000002E-3</v>
      </c>
      <c r="H10" s="173"/>
    </row>
    <row r="11" spans="1:8">
      <c r="A11" s="166"/>
      <c r="B11" s="165" t="s">
        <v>384</v>
      </c>
      <c r="C11" s="165"/>
      <c r="D11" s="170" t="s">
        <v>380</v>
      </c>
      <c r="E11" s="223">
        <v>3.21</v>
      </c>
      <c r="F11" s="168" t="s">
        <v>385</v>
      </c>
      <c r="G11" s="149">
        <f t="shared" si="0"/>
        <v>1.6050000000000002E-2</v>
      </c>
      <c r="H11" s="173"/>
    </row>
    <row r="12" spans="1:8">
      <c r="A12" s="165" t="s">
        <v>386</v>
      </c>
      <c r="B12" s="166"/>
      <c r="C12" s="166"/>
      <c r="D12" s="167"/>
      <c r="E12" s="189"/>
      <c r="F12" s="168"/>
      <c r="G12" s="149"/>
      <c r="H12" s="169"/>
    </row>
    <row r="13" spans="1:8">
      <c r="A13" s="166"/>
      <c r="B13" s="165" t="s">
        <v>387</v>
      </c>
      <c r="C13" s="165"/>
      <c r="D13" s="170" t="s">
        <v>380</v>
      </c>
      <c r="E13" s="189">
        <v>4.45</v>
      </c>
      <c r="F13" s="168">
        <v>4.9199999999999999E-3</v>
      </c>
      <c r="G13" s="149">
        <f t="shared" si="0"/>
        <v>2.1894E-2</v>
      </c>
      <c r="H13" s="173"/>
    </row>
    <row r="14" spans="1:8">
      <c r="A14" s="166"/>
      <c r="B14" s="165" t="s">
        <v>388</v>
      </c>
      <c r="C14" s="165"/>
      <c r="D14" s="170" t="s">
        <v>380</v>
      </c>
      <c r="E14" s="223">
        <v>2.63</v>
      </c>
      <c r="F14" s="168" t="s">
        <v>389</v>
      </c>
      <c r="G14" s="149">
        <f t="shared" si="0"/>
        <v>2.63E-3</v>
      </c>
      <c r="H14" s="173"/>
    </row>
    <row r="15" spans="1:8">
      <c r="A15" s="166"/>
      <c r="B15" s="165" t="s">
        <v>382</v>
      </c>
      <c r="C15" s="165"/>
      <c r="D15" s="170" t="s">
        <v>380</v>
      </c>
      <c r="E15" s="189">
        <v>0.96</v>
      </c>
      <c r="F15" s="168">
        <v>4.9199999999999999E-3</v>
      </c>
      <c r="G15" s="149">
        <f t="shared" si="0"/>
        <v>4.7231999999999994E-3</v>
      </c>
      <c r="H15" s="173"/>
    </row>
    <row r="16" spans="1:8">
      <c r="A16" s="166"/>
      <c r="B16" s="166" t="s">
        <v>390</v>
      </c>
      <c r="C16" s="166"/>
      <c r="D16" s="170" t="s">
        <v>380</v>
      </c>
      <c r="E16" s="189">
        <v>3.08</v>
      </c>
      <c r="F16" s="168" t="s">
        <v>391</v>
      </c>
      <c r="G16" s="149">
        <f t="shared" si="0"/>
        <v>0.15400000000000003</v>
      </c>
      <c r="H16" s="173"/>
    </row>
    <row r="17" spans="1:8">
      <c r="A17" s="166"/>
      <c r="B17" s="165" t="s">
        <v>392</v>
      </c>
      <c r="C17" s="165"/>
      <c r="D17" s="170" t="s">
        <v>380</v>
      </c>
      <c r="E17" s="223">
        <v>20.63</v>
      </c>
      <c r="F17" s="168" t="s">
        <v>393</v>
      </c>
      <c r="G17" s="149">
        <f t="shared" si="0"/>
        <v>0.41259999999999997</v>
      </c>
      <c r="H17" s="173"/>
    </row>
    <row r="18" spans="1:8">
      <c r="A18" s="166"/>
      <c r="B18" s="165" t="s">
        <v>394</v>
      </c>
      <c r="C18" s="165"/>
      <c r="D18" s="170" t="s">
        <v>395</v>
      </c>
      <c r="E18" s="189">
        <v>2.85</v>
      </c>
      <c r="F18" s="168" t="s">
        <v>385</v>
      </c>
      <c r="G18" s="149">
        <f t="shared" si="0"/>
        <v>1.4250000000000001E-2</v>
      </c>
      <c r="H18" s="173"/>
    </row>
    <row r="19" spans="1:8">
      <c r="A19" s="165" t="s">
        <v>396</v>
      </c>
      <c r="B19" s="166"/>
      <c r="C19" s="166"/>
      <c r="D19" s="167"/>
      <c r="E19" s="189"/>
      <c r="F19" s="168"/>
      <c r="G19" s="149"/>
      <c r="H19" s="169"/>
    </row>
    <row r="20" spans="1:8">
      <c r="A20" s="166"/>
      <c r="B20" s="165" t="s">
        <v>397</v>
      </c>
      <c r="C20" s="165"/>
      <c r="D20" s="170" t="s">
        <v>380</v>
      </c>
      <c r="E20" s="189">
        <v>2.1800000000000002</v>
      </c>
      <c r="F20" s="171">
        <v>7.0000000000000007E-2</v>
      </c>
      <c r="G20" s="149">
        <f t="shared" si="0"/>
        <v>0.15260000000000001</v>
      </c>
      <c r="H20" s="173"/>
    </row>
    <row r="21" spans="1:8">
      <c r="A21" s="166"/>
      <c r="B21" s="165" t="s">
        <v>398</v>
      </c>
      <c r="C21" s="165"/>
      <c r="D21" s="170"/>
      <c r="E21" s="189"/>
      <c r="F21" s="171"/>
      <c r="G21" s="149"/>
      <c r="H21" s="173"/>
    </row>
    <row r="22" spans="1:8">
      <c r="A22" s="165" t="s">
        <v>399</v>
      </c>
      <c r="B22" s="166"/>
      <c r="C22" s="166"/>
      <c r="D22" s="167"/>
      <c r="E22" s="189"/>
      <c r="F22" s="168"/>
      <c r="G22" s="149"/>
      <c r="H22" s="169"/>
    </row>
    <row r="23" spans="1:8">
      <c r="A23" s="166"/>
      <c r="B23" s="165" t="s">
        <v>400</v>
      </c>
      <c r="C23" s="165"/>
      <c r="D23" s="170" t="s">
        <v>380</v>
      </c>
      <c r="E23" s="189">
        <v>5.59</v>
      </c>
      <c r="F23" s="168">
        <v>0.05</v>
      </c>
      <c r="G23" s="149">
        <f t="shared" si="0"/>
        <v>0.27950000000000003</v>
      </c>
      <c r="H23" s="173"/>
    </row>
    <row r="24" spans="1:8">
      <c r="A24" s="166" t="s">
        <v>401</v>
      </c>
      <c r="B24" s="166"/>
      <c r="C24" s="166"/>
      <c r="D24" s="167"/>
      <c r="E24" s="189"/>
      <c r="F24" s="174"/>
      <c r="G24" s="149"/>
      <c r="H24" s="169"/>
    </row>
    <row r="25" spans="1:8">
      <c r="A25" s="166"/>
      <c r="B25" s="175" t="s">
        <v>402</v>
      </c>
      <c r="C25" s="165"/>
      <c r="D25" s="170" t="s">
        <v>380</v>
      </c>
      <c r="E25" s="223">
        <v>0.83</v>
      </c>
      <c r="F25" s="171">
        <v>2.8000000000000001E-2</v>
      </c>
      <c r="G25" s="149">
        <f t="shared" si="0"/>
        <v>2.324E-2</v>
      </c>
      <c r="H25" s="173"/>
    </row>
    <row r="26" spans="1:8">
      <c r="A26" s="166"/>
      <c r="B26" s="165" t="s">
        <v>382</v>
      </c>
      <c r="C26" s="165"/>
      <c r="D26" s="170" t="s">
        <v>380</v>
      </c>
      <c r="E26" s="189">
        <v>0.96</v>
      </c>
      <c r="F26" s="168">
        <v>2.5000000000000001E-2</v>
      </c>
      <c r="G26" s="149">
        <f t="shared" si="0"/>
        <v>2.4E-2</v>
      </c>
      <c r="H26" s="173"/>
    </row>
    <row r="27" spans="1:8">
      <c r="A27" s="166"/>
      <c r="B27" s="165" t="s">
        <v>403</v>
      </c>
      <c r="C27" s="165"/>
      <c r="D27" s="170" t="s">
        <v>380</v>
      </c>
      <c r="E27" s="189">
        <v>1.25</v>
      </c>
      <c r="F27" s="168" t="s">
        <v>404</v>
      </c>
      <c r="G27" s="149">
        <f t="shared" si="0"/>
        <v>8.7500000000000008E-2</v>
      </c>
      <c r="H27" s="173"/>
    </row>
    <row r="28" spans="1:8">
      <c r="A28" s="165" t="s">
        <v>405</v>
      </c>
      <c r="B28" s="166"/>
      <c r="C28" s="166"/>
      <c r="D28" s="167"/>
      <c r="E28" s="189"/>
      <c r="F28" s="168"/>
      <c r="G28" s="149"/>
      <c r="H28" s="169"/>
    </row>
    <row r="29" spans="1:8">
      <c r="A29" s="166"/>
      <c r="B29" s="165" t="s">
        <v>406</v>
      </c>
      <c r="C29" s="165"/>
      <c r="D29" s="170" t="s">
        <v>380</v>
      </c>
      <c r="E29" s="189">
        <v>1.17</v>
      </c>
      <c r="F29" s="168">
        <v>0.15</v>
      </c>
      <c r="G29" s="149">
        <f t="shared" si="0"/>
        <v>0.17549999999999999</v>
      </c>
      <c r="H29" s="173"/>
    </row>
    <row r="30" spans="1:8">
      <c r="A30" s="165" t="s">
        <v>407</v>
      </c>
      <c r="B30" s="166"/>
      <c r="C30" s="166"/>
      <c r="D30" s="167"/>
      <c r="E30" s="344"/>
      <c r="F30" s="168"/>
      <c r="G30" s="149"/>
      <c r="H30" s="169"/>
    </row>
    <row r="31" spans="1:8">
      <c r="A31" s="166"/>
      <c r="B31" s="165" t="s">
        <v>408</v>
      </c>
      <c r="C31" s="165"/>
      <c r="D31" s="170" t="s">
        <v>849</v>
      </c>
      <c r="E31" s="223">
        <v>9.73</v>
      </c>
      <c r="F31" s="168">
        <v>8.9999999999999993E-3</v>
      </c>
      <c r="G31" s="149">
        <f t="shared" si="0"/>
        <v>8.7569999999999995E-2</v>
      </c>
      <c r="H31" s="173"/>
    </row>
    <row r="32" spans="1:8">
      <c r="A32" s="166"/>
      <c r="B32" s="165" t="s">
        <v>409</v>
      </c>
      <c r="C32" s="165"/>
      <c r="D32" s="170" t="s">
        <v>380</v>
      </c>
      <c r="E32" s="223">
        <v>1.52</v>
      </c>
      <c r="F32" s="168">
        <v>0.02</v>
      </c>
      <c r="G32" s="149">
        <f t="shared" si="0"/>
        <v>3.04E-2</v>
      </c>
      <c r="H32" s="173"/>
    </row>
    <row r="33" spans="1:8">
      <c r="A33" s="166" t="s">
        <v>367</v>
      </c>
      <c r="B33" s="165"/>
      <c r="C33" s="165"/>
      <c r="D33" s="170"/>
      <c r="E33" s="189"/>
      <c r="F33" s="168"/>
      <c r="G33" s="149"/>
      <c r="H33" s="173"/>
    </row>
    <row r="34" spans="1:8" s="13" customFormat="1">
      <c r="A34" s="165"/>
      <c r="B34" s="165" t="s">
        <v>410</v>
      </c>
      <c r="C34" s="165"/>
      <c r="D34" s="176" t="s">
        <v>380</v>
      </c>
      <c r="E34" s="345">
        <v>7.37</v>
      </c>
      <c r="F34" s="177">
        <v>2.385E-3</v>
      </c>
      <c r="G34" s="178">
        <f t="shared" ref="G34:G41" si="1">F34*E34</f>
        <v>1.7577450000000001E-2</v>
      </c>
      <c r="H34" s="173"/>
    </row>
    <row r="35" spans="1:8" s="13" customFormat="1">
      <c r="A35" s="179"/>
      <c r="B35" s="179" t="s">
        <v>382</v>
      </c>
      <c r="C35" s="179"/>
      <c r="D35" s="176" t="s">
        <v>380</v>
      </c>
      <c r="E35" s="345">
        <v>0.96</v>
      </c>
      <c r="F35" s="177">
        <v>4.9290899999999997E-3</v>
      </c>
      <c r="G35" s="178">
        <f t="shared" si="1"/>
        <v>4.7319263999999993E-3</v>
      </c>
      <c r="H35" s="173"/>
    </row>
    <row r="36" spans="1:8" s="13" customFormat="1">
      <c r="A36" s="179"/>
      <c r="B36" s="179" t="s">
        <v>411</v>
      </c>
      <c r="C36" s="179"/>
      <c r="D36" s="176" t="s">
        <v>395</v>
      </c>
      <c r="E36" s="225">
        <v>1.65</v>
      </c>
      <c r="F36" s="177">
        <v>0.01</v>
      </c>
      <c r="G36" s="178">
        <f t="shared" si="1"/>
        <v>1.6500000000000001E-2</v>
      </c>
      <c r="H36" s="173"/>
    </row>
    <row r="37" spans="1:8" s="13" customFormat="1">
      <c r="A37" s="179"/>
      <c r="B37" s="179" t="s">
        <v>412</v>
      </c>
      <c r="C37" s="179"/>
      <c r="D37" s="176" t="s">
        <v>380</v>
      </c>
      <c r="E37" s="345">
        <v>0.55000000000000004</v>
      </c>
      <c r="F37" s="177">
        <v>7.1599999999999997E-3</v>
      </c>
      <c r="G37" s="178">
        <f t="shared" si="1"/>
        <v>3.9380000000000005E-3</v>
      </c>
      <c r="H37" s="173"/>
    </row>
    <row r="38" spans="1:8" s="13" customFormat="1">
      <c r="A38" s="179"/>
      <c r="B38" s="179" t="s">
        <v>413</v>
      </c>
      <c r="C38" s="179"/>
      <c r="D38" s="176" t="s">
        <v>414</v>
      </c>
      <c r="E38" s="225">
        <v>5.0000000000000001E-3</v>
      </c>
      <c r="F38" s="177">
        <v>0.95454499999999998</v>
      </c>
      <c r="G38" s="178">
        <f t="shared" si="1"/>
        <v>4.7727250000000002E-3</v>
      </c>
      <c r="H38" s="173"/>
    </row>
    <row r="39" spans="1:8" s="13" customFormat="1">
      <c r="A39" s="179"/>
      <c r="B39" s="179" t="s">
        <v>415</v>
      </c>
      <c r="C39" s="179"/>
      <c r="D39" s="176" t="s">
        <v>380</v>
      </c>
      <c r="E39" s="345">
        <v>3.08</v>
      </c>
      <c r="F39" s="177">
        <v>0.01</v>
      </c>
      <c r="G39" s="178">
        <f t="shared" si="1"/>
        <v>3.0800000000000001E-2</v>
      </c>
      <c r="H39" s="173"/>
    </row>
    <row r="40" spans="1:8" s="13" customFormat="1">
      <c r="A40" s="179"/>
      <c r="B40" s="179" t="s">
        <v>416</v>
      </c>
      <c r="C40" s="179"/>
      <c r="D40" s="176" t="s">
        <v>395</v>
      </c>
      <c r="E40" s="345">
        <v>2.85</v>
      </c>
      <c r="F40" s="177">
        <v>0.01</v>
      </c>
      <c r="G40" s="178">
        <f t="shared" si="1"/>
        <v>2.8500000000000001E-2</v>
      </c>
      <c r="H40" s="173"/>
    </row>
    <row r="41" spans="1:8" s="13" customFormat="1">
      <c r="A41" s="179"/>
      <c r="B41" s="179" t="s">
        <v>417</v>
      </c>
      <c r="C41" s="179"/>
      <c r="D41" s="176" t="s">
        <v>395</v>
      </c>
      <c r="E41" s="225">
        <v>16.940000000000001</v>
      </c>
      <c r="F41" s="177">
        <v>0.01</v>
      </c>
      <c r="G41" s="178">
        <f t="shared" si="1"/>
        <v>0.16940000000000002</v>
      </c>
      <c r="H41" s="173"/>
    </row>
    <row r="42" spans="1:8" s="13" customFormat="1">
      <c r="A42" s="180" t="s">
        <v>371</v>
      </c>
      <c r="B42" s="181"/>
      <c r="C42" s="181"/>
      <c r="D42" s="182"/>
      <c r="E42" s="346"/>
      <c r="F42" s="183"/>
      <c r="G42" s="184">
        <f>SUM(G8:G41)</f>
        <v>4.7604073013999999</v>
      </c>
      <c r="H42" s="185"/>
    </row>
    <row r="43" spans="1:8" s="13" customFormat="1">
      <c r="A43" s="150"/>
      <c r="B43" s="150"/>
      <c r="C43" s="150"/>
      <c r="D43" s="186"/>
      <c r="E43" s="186"/>
      <c r="F43" s="187"/>
      <c r="G43" s="186"/>
      <c r="H43" s="188"/>
    </row>
    <row r="44" spans="1:8" s="13" customFormat="1" ht="45">
      <c r="A44" s="399" t="s">
        <v>94</v>
      </c>
      <c r="B44" s="399"/>
      <c r="C44" s="399"/>
      <c r="D44" s="400" t="s">
        <v>376</v>
      </c>
      <c r="E44" s="400" t="s">
        <v>91</v>
      </c>
      <c r="F44" s="401" t="s">
        <v>92</v>
      </c>
      <c r="G44" s="402" t="s">
        <v>93</v>
      </c>
      <c r="H44" s="403" t="s">
        <v>377</v>
      </c>
    </row>
    <row r="45" spans="1:8" s="13" customFormat="1">
      <c r="A45" s="166" t="s">
        <v>418</v>
      </c>
      <c r="B45" s="166"/>
      <c r="C45" s="166"/>
      <c r="D45" s="167"/>
      <c r="E45" s="343"/>
      <c r="F45" s="168"/>
      <c r="G45" s="167"/>
      <c r="H45" s="173"/>
    </row>
    <row r="46" spans="1:8" s="11" customFormat="1">
      <c r="A46" s="166"/>
      <c r="B46" s="165" t="s">
        <v>419</v>
      </c>
      <c r="C46" s="165"/>
      <c r="D46" s="170" t="s">
        <v>380</v>
      </c>
      <c r="E46" s="223">
        <v>6.25</v>
      </c>
      <c r="F46" s="171">
        <v>0.21</v>
      </c>
      <c r="G46" s="149">
        <f>F46*E46</f>
        <v>1.3125</v>
      </c>
      <c r="H46" s="173">
        <v>120</v>
      </c>
    </row>
    <row r="47" spans="1:8" s="150" customFormat="1">
      <c r="A47" s="166"/>
      <c r="B47" s="165" t="s">
        <v>420</v>
      </c>
      <c r="C47" s="165"/>
      <c r="D47" s="170" t="s">
        <v>395</v>
      </c>
      <c r="E47" s="189">
        <v>5.65</v>
      </c>
      <c r="F47" s="168" t="s">
        <v>385</v>
      </c>
      <c r="G47" s="149">
        <f t="shared" ref="G47:G71" si="2">F47*E47</f>
        <v>2.8250000000000001E-2</v>
      </c>
      <c r="H47" s="173"/>
    </row>
    <row r="48" spans="1:8" s="10" customFormat="1">
      <c r="A48" s="166"/>
      <c r="B48" s="165" t="s">
        <v>421</v>
      </c>
      <c r="C48" s="165"/>
      <c r="D48" s="170" t="s">
        <v>380</v>
      </c>
      <c r="E48" s="223">
        <v>22.52</v>
      </c>
      <c r="F48" s="168" t="s">
        <v>422</v>
      </c>
      <c r="G48" s="149">
        <f t="shared" si="2"/>
        <v>0.13511999999999999</v>
      </c>
      <c r="H48" s="173"/>
    </row>
    <row r="49" spans="1:8">
      <c r="A49" s="166"/>
      <c r="B49" s="165" t="s">
        <v>423</v>
      </c>
      <c r="C49" s="165"/>
      <c r="D49" s="170" t="s">
        <v>380</v>
      </c>
      <c r="E49" s="347">
        <v>1.8</v>
      </c>
      <c r="F49" s="168">
        <v>0.1</v>
      </c>
      <c r="G49" s="149">
        <f t="shared" si="2"/>
        <v>0.18000000000000002</v>
      </c>
      <c r="H49" s="173"/>
    </row>
    <row r="50" spans="1:8" ht="12.75" customHeight="1">
      <c r="A50" s="166"/>
      <c r="B50" s="165" t="s">
        <v>424</v>
      </c>
      <c r="C50" s="165"/>
      <c r="D50" s="170" t="s">
        <v>380</v>
      </c>
      <c r="E50" s="223">
        <v>2.35</v>
      </c>
      <c r="F50" s="168">
        <v>4.9199999999999999E-3</v>
      </c>
      <c r="G50" s="149">
        <f t="shared" si="2"/>
        <v>1.1561999999999999E-2</v>
      </c>
      <c r="H50" s="173"/>
    </row>
    <row r="51" spans="1:8" ht="13.5" customHeight="1">
      <c r="A51" s="166"/>
      <c r="B51" s="165" t="s">
        <v>425</v>
      </c>
      <c r="C51" s="165"/>
      <c r="D51" s="170" t="s">
        <v>395</v>
      </c>
      <c r="E51" s="223">
        <v>2.74</v>
      </c>
      <c r="F51" s="168">
        <v>3.0000000000000001E-3</v>
      </c>
      <c r="G51" s="149">
        <f t="shared" si="2"/>
        <v>8.2200000000000016E-3</v>
      </c>
      <c r="H51" s="173"/>
    </row>
    <row r="52" spans="1:8" ht="13.5" customHeight="1">
      <c r="A52" s="166"/>
      <c r="B52" s="165" t="s">
        <v>426</v>
      </c>
      <c r="C52" s="165"/>
      <c r="D52" s="170" t="s">
        <v>380</v>
      </c>
      <c r="E52" s="189">
        <v>17.420000000000002</v>
      </c>
      <c r="F52" s="168" t="s">
        <v>427</v>
      </c>
      <c r="G52" s="149">
        <f t="shared" si="2"/>
        <v>0.15678</v>
      </c>
      <c r="H52" s="190"/>
    </row>
    <row r="53" spans="1:8" ht="11.25" customHeight="1">
      <c r="A53" s="166" t="s">
        <v>428</v>
      </c>
      <c r="B53" s="166"/>
      <c r="C53" s="166"/>
      <c r="D53" s="167"/>
      <c r="E53" s="189"/>
      <c r="F53" s="168"/>
      <c r="G53" s="149"/>
      <c r="H53" s="173"/>
    </row>
    <row r="54" spans="1:8">
      <c r="A54" s="166"/>
      <c r="B54" s="165" t="s">
        <v>429</v>
      </c>
      <c r="C54" s="165"/>
      <c r="D54" s="170" t="s">
        <v>380</v>
      </c>
      <c r="E54" s="189">
        <v>4.45</v>
      </c>
      <c r="F54" s="168">
        <v>4.9199999999999999E-3</v>
      </c>
      <c r="G54" s="149">
        <f t="shared" si="2"/>
        <v>2.1894E-2</v>
      </c>
      <c r="H54" s="173"/>
    </row>
    <row r="55" spans="1:8" ht="12.75" customHeight="1">
      <c r="A55" s="165"/>
      <c r="B55" s="165" t="s">
        <v>388</v>
      </c>
      <c r="C55" s="165"/>
      <c r="D55" s="170" t="s">
        <v>380</v>
      </c>
      <c r="E55" s="223">
        <v>2.63</v>
      </c>
      <c r="F55" s="168" t="s">
        <v>430</v>
      </c>
      <c r="G55" s="149">
        <f t="shared" si="2"/>
        <v>5.2599999999999999E-3</v>
      </c>
      <c r="H55" s="173"/>
    </row>
    <row r="56" spans="1:8" ht="12.75" customHeight="1">
      <c r="A56" s="166"/>
      <c r="B56" s="165" t="s">
        <v>431</v>
      </c>
      <c r="C56" s="165"/>
      <c r="D56" s="170" t="s">
        <v>380</v>
      </c>
      <c r="E56" s="189">
        <v>0.72</v>
      </c>
      <c r="F56" s="168">
        <v>0.18</v>
      </c>
      <c r="G56" s="149">
        <f t="shared" si="2"/>
        <v>0.12959999999999999</v>
      </c>
      <c r="H56" s="173">
        <v>170</v>
      </c>
    </row>
    <row r="57" spans="1:8" ht="12.75" customHeight="1">
      <c r="A57" s="166"/>
      <c r="B57" s="165" t="s">
        <v>382</v>
      </c>
      <c r="C57" s="165"/>
      <c r="D57" s="170" t="s">
        <v>380</v>
      </c>
      <c r="E57" s="189">
        <v>0.96</v>
      </c>
      <c r="F57" s="168" t="s">
        <v>385</v>
      </c>
      <c r="G57" s="149">
        <f t="shared" si="2"/>
        <v>4.7999999999999996E-3</v>
      </c>
      <c r="H57" s="190"/>
    </row>
    <row r="58" spans="1:8">
      <c r="A58" s="165" t="s">
        <v>396</v>
      </c>
      <c r="B58" s="166"/>
      <c r="C58" s="166"/>
      <c r="D58" s="167"/>
      <c r="E58" s="189"/>
      <c r="F58" s="168"/>
      <c r="G58" s="149"/>
      <c r="H58" s="173"/>
    </row>
    <row r="59" spans="1:8" ht="12.75" customHeight="1">
      <c r="A59" s="166"/>
      <c r="B59" s="165" t="s">
        <v>397</v>
      </c>
      <c r="C59" s="165"/>
      <c r="D59" s="170" t="s">
        <v>380</v>
      </c>
      <c r="E59" s="189">
        <v>2.1800000000000002</v>
      </c>
      <c r="F59" s="168">
        <v>7.0000000000000007E-2</v>
      </c>
      <c r="G59" s="149">
        <f t="shared" si="2"/>
        <v>0.15260000000000001</v>
      </c>
      <c r="H59" s="190"/>
    </row>
    <row r="60" spans="1:8" ht="12.75" customHeight="1">
      <c r="A60" s="166"/>
      <c r="B60" s="165" t="s">
        <v>398</v>
      </c>
      <c r="C60" s="165"/>
      <c r="D60" s="170"/>
      <c r="E60" s="189"/>
      <c r="F60" s="168"/>
      <c r="G60" s="149"/>
      <c r="H60" s="190"/>
    </row>
    <row r="61" spans="1:8" ht="12.75" customHeight="1">
      <c r="A61" s="165" t="s">
        <v>432</v>
      </c>
      <c r="B61" s="166"/>
      <c r="C61" s="166"/>
      <c r="D61" s="167"/>
      <c r="E61" s="189"/>
      <c r="F61" s="168"/>
      <c r="G61" s="149"/>
      <c r="H61" s="173"/>
    </row>
    <row r="62" spans="1:8" ht="12.75" customHeight="1">
      <c r="A62" s="166"/>
      <c r="B62" s="165" t="s">
        <v>433</v>
      </c>
      <c r="C62" s="165"/>
      <c r="D62" s="170" t="s">
        <v>380</v>
      </c>
      <c r="E62" s="189">
        <v>3.39</v>
      </c>
      <c r="F62" s="168">
        <v>0.04</v>
      </c>
      <c r="G62" s="149">
        <f t="shared" si="2"/>
        <v>0.1356</v>
      </c>
      <c r="H62" s="190"/>
    </row>
    <row r="63" spans="1:8" ht="12.75" customHeight="1">
      <c r="A63" s="166" t="s">
        <v>434</v>
      </c>
      <c r="B63" s="166"/>
      <c r="C63" s="166"/>
      <c r="D63" s="170"/>
      <c r="E63" s="189"/>
      <c r="F63" s="174"/>
      <c r="G63" s="149"/>
      <c r="H63" s="173"/>
    </row>
    <row r="64" spans="1:8">
      <c r="A64" s="166"/>
      <c r="B64" s="165" t="s">
        <v>435</v>
      </c>
      <c r="C64" s="165"/>
      <c r="D64" s="170" t="s">
        <v>380</v>
      </c>
      <c r="E64" s="223">
        <v>0.88</v>
      </c>
      <c r="F64" s="168">
        <v>2.8000000000000001E-2</v>
      </c>
      <c r="G64" s="149">
        <f t="shared" si="2"/>
        <v>2.4640000000000002E-2</v>
      </c>
      <c r="H64" s="173"/>
    </row>
    <row r="65" spans="1:8">
      <c r="A65" s="166"/>
      <c r="B65" s="165" t="s">
        <v>403</v>
      </c>
      <c r="C65" s="165"/>
      <c r="D65" s="170" t="s">
        <v>380</v>
      </c>
      <c r="E65" s="189">
        <v>1.25</v>
      </c>
      <c r="F65" s="168">
        <v>7.0000000000000007E-2</v>
      </c>
      <c r="G65" s="149">
        <f t="shared" si="2"/>
        <v>8.7500000000000008E-2</v>
      </c>
      <c r="H65" s="173"/>
    </row>
    <row r="66" spans="1:8">
      <c r="A66" s="166"/>
      <c r="B66" s="165" t="s">
        <v>436</v>
      </c>
      <c r="C66" s="165"/>
      <c r="D66" s="170" t="s">
        <v>380</v>
      </c>
      <c r="E66" s="223">
        <v>3.74</v>
      </c>
      <c r="F66" s="168">
        <v>0.02</v>
      </c>
      <c r="G66" s="149">
        <f t="shared" si="2"/>
        <v>7.4800000000000005E-2</v>
      </c>
      <c r="H66" s="190"/>
    </row>
    <row r="67" spans="1:8">
      <c r="A67" s="166" t="s">
        <v>437</v>
      </c>
      <c r="B67" s="166"/>
      <c r="C67" s="166"/>
      <c r="D67" s="167"/>
      <c r="E67" s="189"/>
      <c r="F67" s="168"/>
      <c r="G67" s="149"/>
      <c r="H67" s="173"/>
    </row>
    <row r="68" spans="1:8">
      <c r="A68" s="166"/>
      <c r="B68" s="165" t="s">
        <v>438</v>
      </c>
      <c r="C68" s="165"/>
      <c r="D68" s="170" t="s">
        <v>380</v>
      </c>
      <c r="E68" s="189">
        <v>0.56000000000000005</v>
      </c>
      <c r="F68" s="168" t="s">
        <v>439</v>
      </c>
      <c r="G68" s="149">
        <f t="shared" si="2"/>
        <v>0.14000000000000001</v>
      </c>
      <c r="H68" s="190"/>
    </row>
    <row r="69" spans="1:8">
      <c r="A69" s="165" t="s">
        <v>440</v>
      </c>
      <c r="B69" s="166"/>
      <c r="C69" s="166"/>
      <c r="D69" s="167"/>
      <c r="E69" s="189"/>
      <c r="F69" s="168"/>
      <c r="G69" s="149"/>
      <c r="H69" s="173"/>
    </row>
    <row r="70" spans="1:8">
      <c r="A70" s="166"/>
      <c r="B70" s="165" t="s">
        <v>441</v>
      </c>
      <c r="C70" s="165"/>
      <c r="D70" s="170" t="s">
        <v>849</v>
      </c>
      <c r="E70" s="223">
        <v>14.49</v>
      </c>
      <c r="F70" s="168">
        <v>8.9999999999999993E-3</v>
      </c>
      <c r="G70" s="149">
        <f t="shared" si="2"/>
        <v>0.13041</v>
      </c>
      <c r="H70" s="173"/>
    </row>
    <row r="71" spans="1:8">
      <c r="A71" s="166"/>
      <c r="B71" s="165" t="s">
        <v>409</v>
      </c>
      <c r="C71" s="165"/>
      <c r="D71" s="170" t="s">
        <v>380</v>
      </c>
      <c r="E71" s="223">
        <v>1.52</v>
      </c>
      <c r="F71" s="168">
        <v>0.02</v>
      </c>
      <c r="G71" s="149">
        <f t="shared" si="2"/>
        <v>3.04E-2</v>
      </c>
      <c r="H71" s="173"/>
    </row>
    <row r="72" spans="1:8">
      <c r="A72" s="166" t="s">
        <v>367</v>
      </c>
      <c r="B72" s="165"/>
      <c r="C72" s="165"/>
      <c r="D72" s="170"/>
      <c r="E72" s="189"/>
      <c r="F72" s="168"/>
      <c r="G72" s="149"/>
      <c r="H72" s="173"/>
    </row>
    <row r="73" spans="1:8">
      <c r="A73" s="165"/>
      <c r="B73" s="165" t="s">
        <v>442</v>
      </c>
      <c r="C73" s="165"/>
      <c r="D73" s="176" t="s">
        <v>380</v>
      </c>
      <c r="E73" s="345">
        <v>7.37</v>
      </c>
      <c r="F73" s="177">
        <v>2.385E-3</v>
      </c>
      <c r="G73" s="178">
        <f t="shared" ref="G73:G80" si="3">F73*E73</f>
        <v>1.7577450000000001E-2</v>
      </c>
      <c r="H73" s="173"/>
    </row>
    <row r="74" spans="1:8">
      <c r="A74" s="179"/>
      <c r="B74" s="179" t="s">
        <v>382</v>
      </c>
      <c r="C74" s="179"/>
      <c r="D74" s="176" t="s">
        <v>380</v>
      </c>
      <c r="E74" s="345">
        <v>0.96</v>
      </c>
      <c r="F74" s="177">
        <v>4.9290899999999997E-3</v>
      </c>
      <c r="G74" s="178">
        <f t="shared" si="3"/>
        <v>4.7319263999999993E-3</v>
      </c>
      <c r="H74" s="173"/>
    </row>
    <row r="75" spans="1:8">
      <c r="A75" s="179"/>
      <c r="B75" s="179" t="s">
        <v>411</v>
      </c>
      <c r="C75" s="179"/>
      <c r="D75" s="176" t="s">
        <v>395</v>
      </c>
      <c r="E75" s="225">
        <v>1.65</v>
      </c>
      <c r="F75" s="177">
        <v>0.01</v>
      </c>
      <c r="G75" s="178">
        <f t="shared" si="3"/>
        <v>1.6500000000000001E-2</v>
      </c>
      <c r="H75" s="173"/>
    </row>
    <row r="76" spans="1:8">
      <c r="A76" s="179"/>
      <c r="B76" s="179" t="s">
        <v>443</v>
      </c>
      <c r="C76" s="179"/>
      <c r="D76" s="176" t="s">
        <v>380</v>
      </c>
      <c r="E76" s="345">
        <v>0.55000000000000004</v>
      </c>
      <c r="F76" s="177">
        <v>7.1599999999999997E-3</v>
      </c>
      <c r="G76" s="178">
        <f t="shared" si="3"/>
        <v>3.9380000000000005E-3</v>
      </c>
      <c r="H76" s="173"/>
    </row>
    <row r="77" spans="1:8" s="13" customFormat="1">
      <c r="A77" s="179"/>
      <c r="B77" s="179" t="s">
        <v>413</v>
      </c>
      <c r="C77" s="179"/>
      <c r="D77" s="176" t="s">
        <v>414</v>
      </c>
      <c r="E77" s="225">
        <v>5.0000000000000001E-3</v>
      </c>
      <c r="F77" s="177">
        <v>0.95454499999999998</v>
      </c>
      <c r="G77" s="178">
        <f t="shared" si="3"/>
        <v>4.7727250000000002E-3</v>
      </c>
      <c r="H77" s="173"/>
    </row>
    <row r="78" spans="1:8" s="13" customFormat="1">
      <c r="A78" s="179"/>
      <c r="B78" s="179" t="s">
        <v>415</v>
      </c>
      <c r="C78" s="179"/>
      <c r="D78" s="176" t="s">
        <v>380</v>
      </c>
      <c r="E78" s="345">
        <v>3.08</v>
      </c>
      <c r="F78" s="177">
        <v>0.01</v>
      </c>
      <c r="G78" s="178">
        <f t="shared" si="3"/>
        <v>3.0800000000000001E-2</v>
      </c>
      <c r="H78" s="173"/>
    </row>
    <row r="79" spans="1:8" s="13" customFormat="1">
      <c r="A79" s="179"/>
      <c r="B79" s="179" t="s">
        <v>416</v>
      </c>
      <c r="C79" s="179"/>
      <c r="D79" s="176" t="s">
        <v>395</v>
      </c>
      <c r="E79" s="345">
        <v>2.85</v>
      </c>
      <c r="F79" s="177">
        <v>0.01</v>
      </c>
      <c r="G79" s="178">
        <f t="shared" si="3"/>
        <v>2.8500000000000001E-2</v>
      </c>
      <c r="H79" s="173"/>
    </row>
    <row r="80" spans="1:8" s="13" customFormat="1">
      <c r="A80" s="179"/>
      <c r="B80" s="179" t="s">
        <v>417</v>
      </c>
      <c r="C80" s="179"/>
      <c r="D80" s="176" t="s">
        <v>395</v>
      </c>
      <c r="E80" s="225">
        <v>16.940000000000001</v>
      </c>
      <c r="F80" s="177">
        <v>0.01</v>
      </c>
      <c r="G80" s="178">
        <f t="shared" si="3"/>
        <v>0.16940000000000002</v>
      </c>
      <c r="H80" s="173"/>
    </row>
    <row r="81" spans="1:8" s="13" customFormat="1">
      <c r="A81" s="180" t="s">
        <v>95</v>
      </c>
      <c r="B81" s="181"/>
      <c r="C81" s="181"/>
      <c r="D81" s="182"/>
      <c r="E81" s="346"/>
      <c r="F81" s="183"/>
      <c r="G81" s="184">
        <f>SUM(G46:G80)</f>
        <v>3.0461561014000011</v>
      </c>
      <c r="H81" s="191"/>
    </row>
    <row r="82" spans="1:8" s="13" customFormat="1">
      <c r="A82" s="8"/>
      <c r="B82" s="192"/>
      <c r="C82" s="192"/>
      <c r="D82" s="338"/>
      <c r="E82" s="338"/>
      <c r="F82" s="193"/>
      <c r="G82" s="338"/>
      <c r="H82" s="194"/>
    </row>
    <row r="83" spans="1:8" s="13" customFormat="1" ht="45">
      <c r="A83" s="399" t="s">
        <v>96</v>
      </c>
      <c r="B83" s="399"/>
      <c r="C83" s="399"/>
      <c r="D83" s="400" t="s">
        <v>376</v>
      </c>
      <c r="E83" s="400" t="s">
        <v>91</v>
      </c>
      <c r="F83" s="401" t="s">
        <v>92</v>
      </c>
      <c r="G83" s="402" t="s">
        <v>93</v>
      </c>
      <c r="H83" s="403" t="s">
        <v>377</v>
      </c>
    </row>
    <row r="84" spans="1:8" s="13" customFormat="1">
      <c r="A84" s="165" t="s">
        <v>444</v>
      </c>
      <c r="B84" s="166"/>
      <c r="C84" s="166"/>
      <c r="D84" s="167"/>
      <c r="E84" s="343"/>
      <c r="F84" s="168"/>
      <c r="G84" s="167"/>
      <c r="H84" s="190"/>
    </row>
    <row r="85" spans="1:8" s="13" customFormat="1">
      <c r="A85" s="166"/>
      <c r="B85" s="195" t="s">
        <v>445</v>
      </c>
      <c r="C85" s="195"/>
      <c r="D85" s="170" t="s">
        <v>380</v>
      </c>
      <c r="E85" s="347">
        <v>14.17</v>
      </c>
      <c r="F85" s="168">
        <v>0.2</v>
      </c>
      <c r="G85" s="197">
        <f>F85*E85</f>
        <v>2.8340000000000001</v>
      </c>
      <c r="H85" s="190">
        <v>120</v>
      </c>
    </row>
    <row r="86" spans="1:8" s="13" customFormat="1">
      <c r="A86" s="166"/>
      <c r="B86" s="195" t="s">
        <v>382</v>
      </c>
      <c r="C86" s="195"/>
      <c r="D86" s="170" t="s">
        <v>380</v>
      </c>
      <c r="E86" s="347">
        <v>0.96</v>
      </c>
      <c r="F86" s="168" t="s">
        <v>446</v>
      </c>
      <c r="G86" s="197">
        <f t="shared" ref="G86:G103" si="4">F86*E86</f>
        <v>5.7599999999999998E-2</v>
      </c>
      <c r="H86" s="190"/>
    </row>
    <row r="87" spans="1:8" s="13" customFormat="1">
      <c r="A87" s="165" t="s">
        <v>447</v>
      </c>
      <c r="B87" s="195" t="s">
        <v>448</v>
      </c>
      <c r="C87" s="195"/>
      <c r="D87" s="167"/>
      <c r="E87" s="348"/>
      <c r="F87" s="174"/>
      <c r="G87" s="197"/>
      <c r="H87" s="173"/>
    </row>
    <row r="88" spans="1:8" s="13" customFormat="1">
      <c r="A88" s="166"/>
      <c r="B88" s="195" t="s">
        <v>449</v>
      </c>
      <c r="C88" s="195"/>
      <c r="D88" s="170" t="s">
        <v>380</v>
      </c>
      <c r="E88" s="347">
        <v>2.11</v>
      </c>
      <c r="F88" s="168">
        <v>0.11</v>
      </c>
      <c r="G88" s="197">
        <f t="shared" si="4"/>
        <v>0.2321</v>
      </c>
      <c r="H88" s="190">
        <v>100</v>
      </c>
    </row>
    <row r="89" spans="1:8">
      <c r="A89" s="165" t="s">
        <v>450</v>
      </c>
      <c r="B89" s="195" t="s">
        <v>448</v>
      </c>
      <c r="C89" s="195"/>
      <c r="D89" s="167"/>
      <c r="E89" s="348"/>
      <c r="F89" s="174"/>
      <c r="G89" s="197"/>
      <c r="H89" s="190"/>
    </row>
    <row r="90" spans="1:8">
      <c r="A90" s="166"/>
      <c r="B90" s="195" t="s">
        <v>410</v>
      </c>
      <c r="C90" s="195"/>
      <c r="D90" s="170" t="s">
        <v>380</v>
      </c>
      <c r="E90" s="347">
        <v>7.37</v>
      </c>
      <c r="F90" s="168" t="s">
        <v>451</v>
      </c>
      <c r="G90" s="197">
        <f t="shared" si="4"/>
        <v>5.8960000000000002E-3</v>
      </c>
      <c r="H90" s="190"/>
    </row>
    <row r="91" spans="1:8" s="10" customFormat="1">
      <c r="A91" s="166"/>
      <c r="B91" s="195" t="s">
        <v>452</v>
      </c>
      <c r="C91" s="195"/>
      <c r="D91" s="170" t="s">
        <v>380</v>
      </c>
      <c r="E91" s="216">
        <v>1.31</v>
      </c>
      <c r="F91" s="168" t="s">
        <v>391</v>
      </c>
      <c r="G91" s="197">
        <f t="shared" si="4"/>
        <v>6.5500000000000003E-2</v>
      </c>
      <c r="H91" s="190"/>
    </row>
    <row r="92" spans="1:8">
      <c r="A92" s="166"/>
      <c r="B92" s="195" t="s">
        <v>382</v>
      </c>
      <c r="C92" s="195"/>
      <c r="D92" s="170" t="s">
        <v>380</v>
      </c>
      <c r="E92" s="347">
        <v>0.96</v>
      </c>
      <c r="F92" s="168">
        <v>5.0000000000000001E-3</v>
      </c>
      <c r="G92" s="197">
        <f t="shared" si="4"/>
        <v>4.7999999999999996E-3</v>
      </c>
      <c r="H92" s="190"/>
    </row>
    <row r="93" spans="1:8">
      <c r="A93" s="166"/>
      <c r="B93" s="195" t="s">
        <v>453</v>
      </c>
      <c r="C93" s="195"/>
      <c r="D93" s="170" t="s">
        <v>380</v>
      </c>
      <c r="E93" s="347">
        <v>1.7</v>
      </c>
      <c r="F93" s="168">
        <v>0.03</v>
      </c>
      <c r="G93" s="197">
        <f t="shared" si="4"/>
        <v>5.0999999999999997E-2</v>
      </c>
      <c r="H93" s="190"/>
    </row>
    <row r="94" spans="1:8">
      <c r="A94" s="165" t="s">
        <v>396</v>
      </c>
      <c r="B94" s="195" t="s">
        <v>448</v>
      </c>
      <c r="C94" s="195"/>
      <c r="D94" s="167"/>
      <c r="E94" s="348"/>
      <c r="F94" s="174"/>
      <c r="G94" s="197"/>
      <c r="H94" s="190"/>
    </row>
    <row r="95" spans="1:8">
      <c r="A95" s="166"/>
      <c r="B95" s="195" t="s">
        <v>397</v>
      </c>
      <c r="C95" s="195"/>
      <c r="D95" s="170" t="s">
        <v>380</v>
      </c>
      <c r="E95" s="189">
        <v>2.1800000000000002</v>
      </c>
      <c r="F95" s="168">
        <v>7.0000000000000007E-2</v>
      </c>
      <c r="G95" s="197">
        <f t="shared" si="4"/>
        <v>0.15260000000000001</v>
      </c>
      <c r="H95" s="190"/>
    </row>
    <row r="96" spans="1:8">
      <c r="A96" s="166"/>
      <c r="B96" s="195" t="s">
        <v>398</v>
      </c>
      <c r="C96" s="195"/>
      <c r="D96" s="170"/>
      <c r="E96" s="189"/>
      <c r="F96" s="168"/>
      <c r="G96" s="197"/>
      <c r="H96" s="190"/>
    </row>
    <row r="97" spans="1:8">
      <c r="A97" s="165" t="s">
        <v>454</v>
      </c>
      <c r="B97" s="195" t="s">
        <v>448</v>
      </c>
      <c r="C97" s="195"/>
      <c r="D97" s="167"/>
      <c r="E97" s="348"/>
      <c r="F97" s="174"/>
      <c r="G97" s="197"/>
      <c r="H97" s="190"/>
    </row>
    <row r="98" spans="1:8">
      <c r="A98" s="166"/>
      <c r="B98" s="195" t="s">
        <v>455</v>
      </c>
      <c r="C98" s="195"/>
      <c r="D98" s="170" t="s">
        <v>380</v>
      </c>
      <c r="E98" s="216">
        <v>4.99</v>
      </c>
      <c r="F98" s="168">
        <v>0.05</v>
      </c>
      <c r="G98" s="197">
        <f t="shared" si="4"/>
        <v>0.24950000000000003</v>
      </c>
      <c r="H98" s="190"/>
    </row>
    <row r="99" spans="1:8">
      <c r="A99" s="165" t="s">
        <v>456</v>
      </c>
      <c r="B99" s="195" t="s">
        <v>448</v>
      </c>
      <c r="C99" s="195"/>
      <c r="D99" s="167"/>
      <c r="E99" s="348"/>
      <c r="F99" s="174"/>
      <c r="G99" s="197"/>
      <c r="H99" s="190"/>
    </row>
    <row r="100" spans="1:8">
      <c r="A100" s="166"/>
      <c r="B100" s="195" t="s">
        <v>457</v>
      </c>
      <c r="C100" s="195"/>
      <c r="D100" s="170" t="s">
        <v>380</v>
      </c>
      <c r="E100" s="347">
        <v>1.21</v>
      </c>
      <c r="F100" s="168">
        <v>0.15</v>
      </c>
      <c r="G100" s="197">
        <f t="shared" si="4"/>
        <v>0.18149999999999999</v>
      </c>
      <c r="H100" s="190"/>
    </row>
    <row r="101" spans="1:8">
      <c r="A101" s="165" t="s">
        <v>458</v>
      </c>
      <c r="B101" s="195" t="s">
        <v>448</v>
      </c>
      <c r="C101" s="195"/>
      <c r="D101" s="167"/>
      <c r="E101" s="348"/>
      <c r="F101" s="174"/>
      <c r="G101" s="197"/>
      <c r="H101" s="190"/>
    </row>
    <row r="102" spans="1:8">
      <c r="A102" s="166"/>
      <c r="B102" s="195" t="s">
        <v>459</v>
      </c>
      <c r="C102" s="195"/>
      <c r="D102" s="170" t="s">
        <v>380</v>
      </c>
      <c r="E102" s="216">
        <v>9.8800000000000008</v>
      </c>
      <c r="F102" s="168">
        <v>8.9999999999999993E-3</v>
      </c>
      <c r="G102" s="197">
        <f t="shared" si="4"/>
        <v>8.8919999999999999E-2</v>
      </c>
      <c r="H102" s="190"/>
    </row>
    <row r="103" spans="1:8">
      <c r="A103" s="166"/>
      <c r="B103" s="195" t="s">
        <v>460</v>
      </c>
      <c r="C103" s="195"/>
      <c r="D103" s="170" t="s">
        <v>380</v>
      </c>
      <c r="E103" s="223">
        <v>1.52</v>
      </c>
      <c r="F103" s="168">
        <v>0.02</v>
      </c>
      <c r="G103" s="197">
        <f t="shared" si="4"/>
        <v>3.04E-2</v>
      </c>
      <c r="H103" s="190"/>
    </row>
    <row r="104" spans="1:8">
      <c r="A104" s="166" t="s">
        <v>367</v>
      </c>
      <c r="B104" s="165"/>
      <c r="C104" s="165"/>
      <c r="D104" s="170"/>
      <c r="E104" s="189"/>
      <c r="F104" s="168"/>
      <c r="G104" s="149"/>
      <c r="H104" s="173"/>
    </row>
    <row r="105" spans="1:8">
      <c r="A105" s="165"/>
      <c r="B105" s="165" t="s">
        <v>410</v>
      </c>
      <c r="C105" s="165"/>
      <c r="D105" s="176" t="s">
        <v>380</v>
      </c>
      <c r="E105" s="345">
        <v>7.37</v>
      </c>
      <c r="F105" s="177">
        <v>2.385E-3</v>
      </c>
      <c r="G105" s="178">
        <f t="shared" ref="G105:G112" si="5">F105*E105</f>
        <v>1.7577450000000001E-2</v>
      </c>
      <c r="H105" s="173"/>
    </row>
    <row r="106" spans="1:8">
      <c r="A106" s="179"/>
      <c r="B106" s="179" t="s">
        <v>382</v>
      </c>
      <c r="C106" s="179"/>
      <c r="D106" s="176" t="s">
        <v>380</v>
      </c>
      <c r="E106" s="345">
        <v>0.96</v>
      </c>
      <c r="F106" s="177">
        <v>4.9290899999999997E-3</v>
      </c>
      <c r="G106" s="178">
        <f t="shared" si="5"/>
        <v>4.7319263999999993E-3</v>
      </c>
      <c r="H106" s="173"/>
    </row>
    <row r="107" spans="1:8">
      <c r="A107" s="179"/>
      <c r="B107" s="179" t="s">
        <v>411</v>
      </c>
      <c r="C107" s="179"/>
      <c r="D107" s="176" t="s">
        <v>395</v>
      </c>
      <c r="E107" s="225">
        <v>1.65</v>
      </c>
      <c r="F107" s="177">
        <v>0.01</v>
      </c>
      <c r="G107" s="178">
        <f t="shared" si="5"/>
        <v>1.6500000000000001E-2</v>
      </c>
      <c r="H107" s="173"/>
    </row>
    <row r="108" spans="1:8">
      <c r="A108" s="179"/>
      <c r="B108" s="179" t="s">
        <v>443</v>
      </c>
      <c r="C108" s="179"/>
      <c r="D108" s="176" t="s">
        <v>380</v>
      </c>
      <c r="E108" s="345">
        <v>0.55000000000000004</v>
      </c>
      <c r="F108" s="177">
        <v>7.1599999999999997E-3</v>
      </c>
      <c r="G108" s="178">
        <f t="shared" si="5"/>
        <v>3.9380000000000005E-3</v>
      </c>
      <c r="H108" s="173"/>
    </row>
    <row r="109" spans="1:8">
      <c r="A109" s="179"/>
      <c r="B109" s="179" t="s">
        <v>413</v>
      </c>
      <c r="C109" s="179"/>
      <c r="D109" s="176" t="s">
        <v>414</v>
      </c>
      <c r="E109" s="225">
        <v>5.0000000000000001E-3</v>
      </c>
      <c r="F109" s="177">
        <v>0.95454499999999998</v>
      </c>
      <c r="G109" s="178">
        <f t="shared" si="5"/>
        <v>4.7727250000000002E-3</v>
      </c>
      <c r="H109" s="173"/>
    </row>
    <row r="110" spans="1:8">
      <c r="A110" s="179"/>
      <c r="B110" s="179" t="s">
        <v>415</v>
      </c>
      <c r="C110" s="179"/>
      <c r="D110" s="176" t="s">
        <v>380</v>
      </c>
      <c r="E110" s="345">
        <v>3.08</v>
      </c>
      <c r="F110" s="177">
        <v>0.01</v>
      </c>
      <c r="G110" s="178">
        <f t="shared" si="5"/>
        <v>3.0800000000000001E-2</v>
      </c>
      <c r="H110" s="173"/>
    </row>
    <row r="111" spans="1:8">
      <c r="A111" s="179"/>
      <c r="B111" s="179" t="s">
        <v>416</v>
      </c>
      <c r="C111" s="179"/>
      <c r="D111" s="176" t="s">
        <v>395</v>
      </c>
      <c r="E111" s="345">
        <v>2.85</v>
      </c>
      <c r="F111" s="177">
        <v>0.01</v>
      </c>
      <c r="G111" s="178">
        <f t="shared" si="5"/>
        <v>2.8500000000000001E-2</v>
      </c>
      <c r="H111" s="173"/>
    </row>
    <row r="112" spans="1:8">
      <c r="A112" s="179"/>
      <c r="B112" s="179" t="s">
        <v>417</v>
      </c>
      <c r="C112" s="179"/>
      <c r="D112" s="176" t="s">
        <v>395</v>
      </c>
      <c r="E112" s="225">
        <v>16.940000000000001</v>
      </c>
      <c r="F112" s="177">
        <v>0.01</v>
      </c>
      <c r="G112" s="178">
        <f t="shared" si="5"/>
        <v>0.16940000000000002</v>
      </c>
      <c r="H112" s="173"/>
    </row>
    <row r="113" spans="1:8">
      <c r="A113" s="180" t="s">
        <v>97</v>
      </c>
      <c r="B113" s="181"/>
      <c r="C113" s="181"/>
      <c r="D113" s="182"/>
      <c r="E113" s="346"/>
      <c r="F113" s="183"/>
      <c r="G113" s="198">
        <f>SUM(G85:G112)</f>
        <v>4.2300361014000005</v>
      </c>
      <c r="H113" s="191"/>
    </row>
    <row r="114" spans="1:8">
      <c r="A114" s="199"/>
      <c r="B114" s="200"/>
      <c r="C114" s="200"/>
      <c r="D114" s="201"/>
      <c r="E114" s="201"/>
      <c r="F114" s="202"/>
      <c r="G114" s="201"/>
      <c r="H114" s="203"/>
    </row>
    <row r="115" spans="1:8" s="13" customFormat="1" ht="45">
      <c r="A115" s="399" t="s">
        <v>98</v>
      </c>
      <c r="B115" s="399"/>
      <c r="C115" s="399"/>
      <c r="D115" s="400" t="s">
        <v>376</v>
      </c>
      <c r="E115" s="400" t="s">
        <v>91</v>
      </c>
      <c r="F115" s="401" t="s">
        <v>92</v>
      </c>
      <c r="G115" s="402" t="s">
        <v>93</v>
      </c>
      <c r="H115" s="403" t="s">
        <v>377</v>
      </c>
    </row>
    <row r="116" spans="1:8" s="13" customFormat="1">
      <c r="A116" s="165" t="s">
        <v>461</v>
      </c>
      <c r="B116" s="166"/>
      <c r="C116" s="166"/>
      <c r="D116" s="167"/>
      <c r="E116" s="343"/>
      <c r="F116" s="174"/>
      <c r="G116" s="167"/>
      <c r="H116" s="190"/>
    </row>
    <row r="117" spans="1:8" s="13" customFormat="1">
      <c r="A117" s="166"/>
      <c r="B117" s="195" t="s">
        <v>462</v>
      </c>
      <c r="C117" s="195"/>
      <c r="D117" s="170" t="s">
        <v>380</v>
      </c>
      <c r="E117" s="347">
        <v>7.66</v>
      </c>
      <c r="F117" s="168">
        <v>0.19</v>
      </c>
      <c r="G117" s="197">
        <f>F117*E117</f>
        <v>1.4554</v>
      </c>
      <c r="H117" s="190">
        <v>140</v>
      </c>
    </row>
    <row r="118" spans="1:8" s="13" customFormat="1">
      <c r="A118" s="166"/>
      <c r="B118" s="195" t="s">
        <v>463</v>
      </c>
      <c r="C118" s="195"/>
      <c r="D118" s="170" t="s">
        <v>380</v>
      </c>
      <c r="E118" s="347">
        <v>0.96</v>
      </c>
      <c r="F118" s="168">
        <v>5.0000000000000001E-3</v>
      </c>
      <c r="G118" s="197">
        <f t="shared" ref="G118:G140" si="6">F118*E118</f>
        <v>4.7999999999999996E-3</v>
      </c>
      <c r="H118" s="190"/>
    </row>
    <row r="119" spans="1:8" s="13" customFormat="1">
      <c r="A119" s="166"/>
      <c r="B119" s="195" t="s">
        <v>464</v>
      </c>
      <c r="C119" s="195"/>
      <c r="D119" s="170" t="s">
        <v>380</v>
      </c>
      <c r="E119" s="347">
        <v>1.87</v>
      </c>
      <c r="F119" s="168" t="s">
        <v>393</v>
      </c>
      <c r="G119" s="197">
        <f t="shared" si="6"/>
        <v>3.7400000000000003E-2</v>
      </c>
      <c r="H119" s="190"/>
    </row>
    <row r="120" spans="1:8" s="13" customFormat="1">
      <c r="A120" s="166"/>
      <c r="B120" s="195" t="s">
        <v>384</v>
      </c>
      <c r="C120" s="195"/>
      <c r="D120" s="170" t="s">
        <v>380</v>
      </c>
      <c r="E120" s="216">
        <v>3.21</v>
      </c>
      <c r="F120" s="168">
        <v>5.0000000000000001E-3</v>
      </c>
      <c r="G120" s="197">
        <f t="shared" si="6"/>
        <v>1.6050000000000002E-2</v>
      </c>
      <c r="H120" s="190"/>
    </row>
    <row r="121" spans="1:8" s="13" customFormat="1">
      <c r="A121" s="165" t="s">
        <v>465</v>
      </c>
      <c r="B121" s="195" t="s">
        <v>448</v>
      </c>
      <c r="C121" s="195"/>
      <c r="D121" s="167"/>
      <c r="E121" s="348"/>
      <c r="F121" s="174"/>
      <c r="G121" s="197"/>
      <c r="H121" s="190"/>
    </row>
    <row r="122" spans="1:8" s="13" customFormat="1">
      <c r="A122" s="166"/>
      <c r="B122" s="195" t="s">
        <v>466</v>
      </c>
      <c r="C122" s="195"/>
      <c r="D122" s="170" t="s">
        <v>395</v>
      </c>
      <c r="E122" s="347">
        <v>2.06</v>
      </c>
      <c r="F122" s="168">
        <v>0.03</v>
      </c>
      <c r="G122" s="197">
        <f t="shared" si="6"/>
        <v>6.1800000000000001E-2</v>
      </c>
      <c r="H122" s="173"/>
    </row>
    <row r="123" spans="1:8" s="13" customFormat="1">
      <c r="A123" s="166"/>
      <c r="B123" s="195" t="s">
        <v>467</v>
      </c>
      <c r="C123" s="195"/>
      <c r="D123" s="170" t="s">
        <v>380</v>
      </c>
      <c r="E123" s="347">
        <v>4.45</v>
      </c>
      <c r="F123" s="168" t="s">
        <v>385</v>
      </c>
      <c r="G123" s="197">
        <f t="shared" si="6"/>
        <v>2.2250000000000002E-2</v>
      </c>
      <c r="H123" s="190"/>
    </row>
    <row r="124" spans="1:8" s="13" customFormat="1">
      <c r="A124" s="166"/>
      <c r="B124" s="195" t="s">
        <v>388</v>
      </c>
      <c r="C124" s="195"/>
      <c r="D124" s="170" t="s">
        <v>380</v>
      </c>
      <c r="E124" s="216">
        <v>2.63</v>
      </c>
      <c r="F124" s="168" t="s">
        <v>430</v>
      </c>
      <c r="G124" s="197">
        <f t="shared" si="6"/>
        <v>5.2599999999999999E-3</v>
      </c>
      <c r="H124" s="190"/>
    </row>
    <row r="125" spans="1:8" s="13" customFormat="1">
      <c r="A125" s="166"/>
      <c r="B125" s="195" t="s">
        <v>468</v>
      </c>
      <c r="C125" s="195"/>
      <c r="D125" s="170" t="s">
        <v>380</v>
      </c>
      <c r="E125" s="347">
        <v>0.72</v>
      </c>
      <c r="F125" s="168">
        <v>0.14000000000000001</v>
      </c>
      <c r="G125" s="197">
        <f t="shared" si="6"/>
        <v>0.1008</v>
      </c>
      <c r="H125" s="190"/>
    </row>
    <row r="126" spans="1:8" s="13" customFormat="1">
      <c r="A126" s="166"/>
      <c r="B126" s="195" t="s">
        <v>469</v>
      </c>
      <c r="C126" s="195"/>
      <c r="D126" s="170" t="s">
        <v>380</v>
      </c>
      <c r="E126" s="347">
        <v>0.81</v>
      </c>
      <c r="F126" s="168">
        <v>0.03</v>
      </c>
      <c r="G126" s="197">
        <f t="shared" si="6"/>
        <v>2.4300000000000002E-2</v>
      </c>
      <c r="H126" s="190"/>
    </row>
    <row r="127" spans="1:8">
      <c r="A127" s="165" t="s">
        <v>396</v>
      </c>
      <c r="B127" s="195" t="s">
        <v>448</v>
      </c>
      <c r="C127" s="195"/>
      <c r="D127" s="167"/>
      <c r="E127" s="348"/>
      <c r="F127" s="174"/>
      <c r="G127" s="197"/>
      <c r="H127" s="190"/>
    </row>
    <row r="128" spans="1:8" s="150" customFormat="1">
      <c r="A128" s="166"/>
      <c r="B128" s="195" t="s">
        <v>470</v>
      </c>
      <c r="C128" s="195"/>
      <c r="D128" s="170" t="s">
        <v>380</v>
      </c>
      <c r="E128" s="189">
        <v>2.1800000000000002</v>
      </c>
      <c r="F128" s="168">
        <v>7.0000000000000007E-2</v>
      </c>
      <c r="G128" s="197">
        <f t="shared" si="6"/>
        <v>0.15260000000000001</v>
      </c>
      <c r="H128" s="190"/>
    </row>
    <row r="129" spans="1:8" s="150" customFormat="1">
      <c r="A129" s="166"/>
      <c r="B129" s="195" t="s">
        <v>398</v>
      </c>
      <c r="C129" s="195"/>
      <c r="D129" s="170"/>
      <c r="E129" s="189"/>
      <c r="F129" s="168"/>
      <c r="G129" s="197"/>
      <c r="H129" s="190"/>
    </row>
    <row r="130" spans="1:8" s="10" customFormat="1">
      <c r="A130" s="165" t="s">
        <v>432</v>
      </c>
      <c r="B130" s="195" t="s">
        <v>448</v>
      </c>
      <c r="C130" s="195"/>
      <c r="D130" s="167"/>
      <c r="E130" s="348"/>
      <c r="F130" s="174"/>
      <c r="G130" s="197"/>
      <c r="H130" s="190"/>
    </row>
    <row r="131" spans="1:8">
      <c r="A131" s="166"/>
      <c r="B131" s="195" t="s">
        <v>432</v>
      </c>
      <c r="C131" s="195"/>
      <c r="D131" s="170" t="s">
        <v>380</v>
      </c>
      <c r="E131" s="189">
        <v>3.39</v>
      </c>
      <c r="F131" s="168">
        <v>0.04</v>
      </c>
      <c r="G131" s="197">
        <f t="shared" si="6"/>
        <v>0.1356</v>
      </c>
      <c r="H131" s="173"/>
    </row>
    <row r="132" spans="1:8">
      <c r="A132" s="165" t="s">
        <v>471</v>
      </c>
      <c r="B132" s="195" t="s">
        <v>448</v>
      </c>
      <c r="C132" s="195"/>
      <c r="D132" s="167"/>
      <c r="E132" s="348"/>
      <c r="F132" s="174"/>
      <c r="G132" s="197"/>
      <c r="H132" s="190"/>
    </row>
    <row r="133" spans="1:8">
      <c r="A133" s="166"/>
      <c r="B133" s="195" t="s">
        <v>472</v>
      </c>
      <c r="C133" s="195"/>
      <c r="D133" s="170" t="s">
        <v>380</v>
      </c>
      <c r="E133" s="216">
        <v>5.72</v>
      </c>
      <c r="F133" s="168">
        <v>0.04</v>
      </c>
      <c r="G133" s="197">
        <f t="shared" si="6"/>
        <v>0.2288</v>
      </c>
      <c r="H133" s="190"/>
    </row>
    <row r="134" spans="1:8">
      <c r="A134" s="166"/>
      <c r="B134" s="195" t="s">
        <v>463</v>
      </c>
      <c r="C134" s="195"/>
      <c r="D134" s="170" t="s">
        <v>380</v>
      </c>
      <c r="E134" s="347">
        <v>0.96</v>
      </c>
      <c r="F134" s="168" t="s">
        <v>473</v>
      </c>
      <c r="G134" s="197">
        <f t="shared" si="6"/>
        <v>2.4E-2</v>
      </c>
      <c r="H134" s="190"/>
    </row>
    <row r="135" spans="1:8">
      <c r="A135" s="166"/>
      <c r="B135" s="195" t="s">
        <v>474</v>
      </c>
      <c r="C135" s="195"/>
      <c r="D135" s="170" t="s">
        <v>380</v>
      </c>
      <c r="E135" s="347">
        <v>0.77</v>
      </c>
      <c r="F135" s="168" t="s">
        <v>404</v>
      </c>
      <c r="G135" s="197">
        <f t="shared" si="6"/>
        <v>5.3900000000000003E-2</v>
      </c>
      <c r="H135" s="173"/>
    </row>
    <row r="136" spans="1:8">
      <c r="A136" s="165" t="s">
        <v>475</v>
      </c>
      <c r="B136" s="195" t="s">
        <v>448</v>
      </c>
      <c r="C136" s="195"/>
      <c r="D136" s="167"/>
      <c r="E136" s="348"/>
      <c r="F136" s="174"/>
      <c r="G136" s="197"/>
      <c r="H136" s="190"/>
    </row>
    <row r="137" spans="1:8">
      <c r="A137" s="166"/>
      <c r="B137" s="195" t="s">
        <v>476</v>
      </c>
      <c r="C137" s="195"/>
      <c r="D137" s="170" t="s">
        <v>380</v>
      </c>
      <c r="E137" s="216">
        <v>3.97</v>
      </c>
      <c r="F137" s="168">
        <v>0.15</v>
      </c>
      <c r="G137" s="197">
        <f t="shared" si="6"/>
        <v>0.59550000000000003</v>
      </c>
      <c r="H137" s="190"/>
    </row>
    <row r="138" spans="1:8">
      <c r="A138" s="165" t="s">
        <v>477</v>
      </c>
      <c r="B138" s="195" t="s">
        <v>448</v>
      </c>
      <c r="C138" s="195"/>
      <c r="D138" s="167"/>
      <c r="E138" s="348"/>
      <c r="F138" s="174"/>
      <c r="G138" s="197"/>
      <c r="H138" s="190"/>
    </row>
    <row r="139" spans="1:8">
      <c r="A139" s="166"/>
      <c r="B139" s="195" t="s">
        <v>478</v>
      </c>
      <c r="C139" s="195"/>
      <c r="D139" s="170" t="s">
        <v>380</v>
      </c>
      <c r="E139" s="216">
        <v>25.05</v>
      </c>
      <c r="F139" s="168">
        <v>8.9999999999999993E-3</v>
      </c>
      <c r="G139" s="197">
        <f t="shared" si="6"/>
        <v>0.22544999999999998</v>
      </c>
      <c r="H139" s="173"/>
    </row>
    <row r="140" spans="1:8">
      <c r="A140" s="166"/>
      <c r="B140" s="195" t="s">
        <v>409</v>
      </c>
      <c r="C140" s="195"/>
      <c r="D140" s="170" t="s">
        <v>380</v>
      </c>
      <c r="E140" s="223">
        <v>1.52</v>
      </c>
      <c r="F140" s="168">
        <v>0.02</v>
      </c>
      <c r="G140" s="197">
        <f t="shared" si="6"/>
        <v>3.04E-2</v>
      </c>
      <c r="H140" s="190"/>
    </row>
    <row r="141" spans="1:8">
      <c r="A141" s="166" t="s">
        <v>367</v>
      </c>
      <c r="B141" s="165"/>
      <c r="C141" s="165"/>
      <c r="D141" s="170"/>
      <c r="E141" s="189"/>
      <c r="F141" s="168"/>
      <c r="G141" s="149"/>
      <c r="H141" s="173"/>
    </row>
    <row r="142" spans="1:8">
      <c r="A142" s="165"/>
      <c r="B142" s="165" t="s">
        <v>410</v>
      </c>
      <c r="C142" s="165"/>
      <c r="D142" s="176" t="s">
        <v>380</v>
      </c>
      <c r="E142" s="345">
        <v>7.37</v>
      </c>
      <c r="F142" s="177">
        <v>2.385E-3</v>
      </c>
      <c r="G142" s="178">
        <f t="shared" ref="G142:G149" si="7">F142*E142</f>
        <v>1.7577450000000001E-2</v>
      </c>
      <c r="H142" s="173"/>
    </row>
    <row r="143" spans="1:8">
      <c r="A143" s="179"/>
      <c r="B143" s="179" t="s">
        <v>382</v>
      </c>
      <c r="C143" s="179"/>
      <c r="D143" s="176" t="s">
        <v>380</v>
      </c>
      <c r="E143" s="345">
        <v>0.96</v>
      </c>
      <c r="F143" s="177">
        <v>4.9290899999999997E-3</v>
      </c>
      <c r="G143" s="178">
        <f t="shared" si="7"/>
        <v>4.7319263999999993E-3</v>
      </c>
      <c r="H143" s="173"/>
    </row>
    <row r="144" spans="1:8">
      <c r="A144" s="179"/>
      <c r="B144" s="179" t="s">
        <v>411</v>
      </c>
      <c r="C144" s="179"/>
      <c r="D144" s="176" t="s">
        <v>395</v>
      </c>
      <c r="E144" s="225">
        <v>1.65</v>
      </c>
      <c r="F144" s="177">
        <v>0.01</v>
      </c>
      <c r="G144" s="178">
        <f t="shared" si="7"/>
        <v>1.6500000000000001E-2</v>
      </c>
      <c r="H144" s="173"/>
    </row>
    <row r="145" spans="1:8">
      <c r="A145" s="179"/>
      <c r="B145" s="179" t="s">
        <v>412</v>
      </c>
      <c r="C145" s="179"/>
      <c r="D145" s="176" t="s">
        <v>380</v>
      </c>
      <c r="E145" s="345">
        <v>0.55000000000000004</v>
      </c>
      <c r="F145" s="177">
        <v>7.1599999999999997E-3</v>
      </c>
      <c r="G145" s="178">
        <f t="shared" si="7"/>
        <v>3.9380000000000005E-3</v>
      </c>
      <c r="H145" s="173"/>
    </row>
    <row r="146" spans="1:8">
      <c r="A146" s="179"/>
      <c r="B146" s="179" t="s">
        <v>413</v>
      </c>
      <c r="C146" s="179"/>
      <c r="D146" s="176" t="s">
        <v>414</v>
      </c>
      <c r="E146" s="225">
        <v>5.0000000000000001E-3</v>
      </c>
      <c r="F146" s="177">
        <v>0.95454499999999998</v>
      </c>
      <c r="G146" s="178">
        <f t="shared" si="7"/>
        <v>4.7727250000000002E-3</v>
      </c>
      <c r="H146" s="173"/>
    </row>
    <row r="147" spans="1:8">
      <c r="A147" s="179"/>
      <c r="B147" s="179" t="s">
        <v>415</v>
      </c>
      <c r="C147" s="179"/>
      <c r="D147" s="176" t="s">
        <v>380</v>
      </c>
      <c r="E147" s="345">
        <v>3.08</v>
      </c>
      <c r="F147" s="177">
        <v>0.01</v>
      </c>
      <c r="G147" s="178">
        <f t="shared" si="7"/>
        <v>3.0800000000000001E-2</v>
      </c>
      <c r="H147" s="173"/>
    </row>
    <row r="148" spans="1:8">
      <c r="A148" s="179"/>
      <c r="B148" s="179" t="s">
        <v>416</v>
      </c>
      <c r="C148" s="179"/>
      <c r="D148" s="176" t="s">
        <v>395</v>
      </c>
      <c r="E148" s="345">
        <v>2.85</v>
      </c>
      <c r="F148" s="177">
        <v>0.01</v>
      </c>
      <c r="G148" s="178">
        <f t="shared" si="7"/>
        <v>2.8500000000000001E-2</v>
      </c>
      <c r="H148" s="173"/>
    </row>
    <row r="149" spans="1:8">
      <c r="A149" s="179"/>
      <c r="B149" s="179" t="s">
        <v>417</v>
      </c>
      <c r="C149" s="179"/>
      <c r="D149" s="176" t="s">
        <v>395</v>
      </c>
      <c r="E149" s="225">
        <v>16.940000000000001</v>
      </c>
      <c r="F149" s="177">
        <v>0.01</v>
      </c>
      <c r="G149" s="178">
        <f t="shared" si="7"/>
        <v>0.16940000000000002</v>
      </c>
      <c r="H149" s="173"/>
    </row>
    <row r="150" spans="1:8">
      <c r="A150" s="180" t="s">
        <v>99</v>
      </c>
      <c r="B150" s="204"/>
      <c r="C150" s="204"/>
      <c r="D150" s="182"/>
      <c r="E150" s="346"/>
      <c r="F150" s="183"/>
      <c r="G150" s="198">
        <f>SUM(G117:G149)</f>
        <v>3.4505301014000014</v>
      </c>
      <c r="H150" s="191"/>
    </row>
    <row r="151" spans="1:8">
      <c r="A151" s="150"/>
      <c r="B151" s="205"/>
      <c r="C151" s="205"/>
      <c r="D151" s="206"/>
      <c r="E151" s="206"/>
      <c r="F151" s="207"/>
      <c r="G151" s="186"/>
      <c r="H151" s="188"/>
    </row>
    <row r="152" spans="1:8" ht="45">
      <c r="A152" s="399" t="s">
        <v>100</v>
      </c>
      <c r="B152" s="399"/>
      <c r="C152" s="399"/>
      <c r="D152" s="400" t="s">
        <v>376</v>
      </c>
      <c r="E152" s="400" t="s">
        <v>91</v>
      </c>
      <c r="F152" s="401" t="s">
        <v>92</v>
      </c>
      <c r="G152" s="402" t="s">
        <v>93</v>
      </c>
      <c r="H152" s="403" t="s">
        <v>377</v>
      </c>
    </row>
    <row r="153" spans="1:8">
      <c r="A153" s="165" t="s">
        <v>479</v>
      </c>
      <c r="B153" s="166"/>
      <c r="C153" s="166"/>
      <c r="D153" s="170"/>
      <c r="E153" s="343"/>
      <c r="F153" s="174"/>
      <c r="G153" s="167"/>
      <c r="H153" s="190"/>
    </row>
    <row r="154" spans="1:8">
      <c r="A154" s="166"/>
      <c r="B154" s="195" t="s">
        <v>419</v>
      </c>
      <c r="C154" s="195"/>
      <c r="D154" s="170" t="s">
        <v>380</v>
      </c>
      <c r="E154" s="216">
        <v>6.25</v>
      </c>
      <c r="F154" s="168">
        <v>0.24</v>
      </c>
      <c r="G154" s="197">
        <f>F154*E154</f>
        <v>1.5</v>
      </c>
      <c r="H154" s="190">
        <v>150</v>
      </c>
    </row>
    <row r="155" spans="1:8">
      <c r="A155" s="166"/>
      <c r="B155" s="195" t="s">
        <v>480</v>
      </c>
      <c r="C155" s="195"/>
      <c r="D155" s="170" t="s">
        <v>380</v>
      </c>
      <c r="E155" s="347">
        <v>4.45</v>
      </c>
      <c r="F155" s="168">
        <v>5.0000000000000001E-3</v>
      </c>
      <c r="G155" s="197">
        <f t="shared" ref="G155:G183" si="8">F155*E155</f>
        <v>2.2250000000000002E-2</v>
      </c>
      <c r="H155" s="190"/>
    </row>
    <row r="156" spans="1:8">
      <c r="A156" s="166"/>
      <c r="B156" s="195" t="s">
        <v>382</v>
      </c>
      <c r="C156" s="195"/>
      <c r="D156" s="170" t="s">
        <v>380</v>
      </c>
      <c r="E156" s="347">
        <v>0.96</v>
      </c>
      <c r="F156" s="168" t="s">
        <v>385</v>
      </c>
      <c r="G156" s="197">
        <f t="shared" si="8"/>
        <v>4.7999999999999996E-3</v>
      </c>
      <c r="H156" s="190"/>
    </row>
    <row r="157" spans="1:8" s="13" customFormat="1">
      <c r="A157" s="166"/>
      <c r="B157" s="195" t="s">
        <v>481</v>
      </c>
      <c r="C157" s="195"/>
      <c r="D157" s="170" t="s">
        <v>380</v>
      </c>
      <c r="E157" s="216">
        <v>3.62</v>
      </c>
      <c r="F157" s="168">
        <v>5.0000000000000001E-3</v>
      </c>
      <c r="G157" s="197">
        <f t="shared" si="8"/>
        <v>1.8100000000000002E-2</v>
      </c>
      <c r="H157" s="190"/>
    </row>
    <row r="158" spans="1:8" s="13" customFormat="1">
      <c r="A158" s="166"/>
      <c r="B158" s="195" t="s">
        <v>482</v>
      </c>
      <c r="C158" s="195"/>
      <c r="D158" s="170" t="s">
        <v>380</v>
      </c>
      <c r="E158" s="347">
        <v>1.39</v>
      </c>
      <c r="F158" s="168">
        <v>5.0000000000000001E-3</v>
      </c>
      <c r="G158" s="197">
        <f t="shared" si="8"/>
        <v>6.9499999999999996E-3</v>
      </c>
      <c r="H158" s="190"/>
    </row>
    <row r="159" spans="1:8" s="13" customFormat="1">
      <c r="A159" s="166"/>
      <c r="B159" s="195" t="s">
        <v>483</v>
      </c>
      <c r="C159" s="195"/>
      <c r="D159" s="170" t="s">
        <v>380</v>
      </c>
      <c r="E159" s="216">
        <v>3.24</v>
      </c>
      <c r="F159" s="168">
        <v>5.0000000000000001E-3</v>
      </c>
      <c r="G159" s="197">
        <f t="shared" si="8"/>
        <v>1.6200000000000003E-2</v>
      </c>
      <c r="H159" s="190"/>
    </row>
    <row r="160" spans="1:8" s="13" customFormat="1">
      <c r="A160" s="166"/>
      <c r="B160" s="195" t="s">
        <v>484</v>
      </c>
      <c r="C160" s="195"/>
      <c r="D160" s="170" t="s">
        <v>380</v>
      </c>
      <c r="E160" s="216">
        <v>6.15</v>
      </c>
      <c r="F160" s="168" t="s">
        <v>385</v>
      </c>
      <c r="G160" s="197">
        <f t="shared" si="8"/>
        <v>3.0750000000000003E-2</v>
      </c>
      <c r="H160" s="190"/>
    </row>
    <row r="161" spans="1:8" s="13" customFormat="1">
      <c r="A161" s="166"/>
      <c r="B161" s="195" t="s">
        <v>384</v>
      </c>
      <c r="C161" s="195"/>
      <c r="D161" s="170" t="s">
        <v>380</v>
      </c>
      <c r="E161" s="216">
        <v>3.21</v>
      </c>
      <c r="F161" s="168" t="s">
        <v>385</v>
      </c>
      <c r="G161" s="197">
        <f t="shared" si="8"/>
        <v>1.6050000000000002E-2</v>
      </c>
      <c r="H161" s="190"/>
    </row>
    <row r="162" spans="1:8" s="13" customFormat="1">
      <c r="A162" s="166"/>
      <c r="B162" s="195" t="s">
        <v>485</v>
      </c>
      <c r="C162" s="195"/>
      <c r="D162" s="170" t="s">
        <v>395</v>
      </c>
      <c r="E162" s="216">
        <v>3.07</v>
      </c>
      <c r="F162" s="168">
        <v>5.0000000000000001E-3</v>
      </c>
      <c r="G162" s="197">
        <f t="shared" si="8"/>
        <v>1.5349999999999999E-2</v>
      </c>
      <c r="H162" s="190"/>
    </row>
    <row r="163" spans="1:8" s="13" customFormat="1">
      <c r="A163" s="165" t="s">
        <v>486</v>
      </c>
      <c r="B163" s="195" t="s">
        <v>487</v>
      </c>
      <c r="C163" s="195"/>
      <c r="D163" s="167"/>
      <c r="E163" s="348"/>
      <c r="F163" s="174"/>
      <c r="G163" s="197"/>
      <c r="H163" s="190"/>
    </row>
    <row r="164" spans="1:8" s="13" customFormat="1">
      <c r="A164" s="166"/>
      <c r="B164" s="195" t="s">
        <v>488</v>
      </c>
      <c r="C164" s="195"/>
      <c r="D164" s="170" t="s">
        <v>380</v>
      </c>
      <c r="E164" s="347">
        <v>4.45</v>
      </c>
      <c r="F164" s="168">
        <v>0.01</v>
      </c>
      <c r="G164" s="197">
        <f t="shared" si="8"/>
        <v>4.4500000000000005E-2</v>
      </c>
      <c r="H164" s="190">
        <v>130</v>
      </c>
    </row>
    <row r="165" spans="1:8" s="13" customFormat="1">
      <c r="A165" s="166"/>
      <c r="B165" s="195" t="s">
        <v>489</v>
      </c>
      <c r="C165" s="195"/>
      <c r="D165" s="170" t="s">
        <v>380</v>
      </c>
      <c r="E165" s="347">
        <v>0.67</v>
      </c>
      <c r="F165" s="168">
        <v>0.14000000000000001</v>
      </c>
      <c r="G165" s="197">
        <f t="shared" si="8"/>
        <v>9.3800000000000008E-2</v>
      </c>
      <c r="H165" s="173"/>
    </row>
    <row r="166" spans="1:8" s="13" customFormat="1">
      <c r="A166" s="165" t="s">
        <v>396</v>
      </c>
      <c r="B166" s="195" t="s">
        <v>487</v>
      </c>
      <c r="C166" s="195"/>
      <c r="D166" s="167"/>
      <c r="E166" s="348"/>
      <c r="F166" s="174"/>
      <c r="G166" s="197"/>
      <c r="H166" s="190"/>
    </row>
    <row r="167" spans="1:8" s="13" customFormat="1">
      <c r="A167" s="166"/>
      <c r="B167" s="195" t="s">
        <v>397</v>
      </c>
      <c r="C167" s="195"/>
      <c r="D167" s="170" t="s">
        <v>380</v>
      </c>
      <c r="E167" s="189">
        <v>2.1800000000000002</v>
      </c>
      <c r="F167" s="168">
        <v>7.0000000000000007E-2</v>
      </c>
      <c r="G167" s="197">
        <f t="shared" si="8"/>
        <v>0.15260000000000001</v>
      </c>
      <c r="H167" s="190"/>
    </row>
    <row r="168" spans="1:8" s="13" customFormat="1">
      <c r="A168" s="166"/>
      <c r="B168" s="195" t="s">
        <v>398</v>
      </c>
      <c r="C168" s="195"/>
      <c r="D168" s="170"/>
      <c r="E168" s="189"/>
      <c r="F168" s="168"/>
      <c r="G168" s="197"/>
      <c r="H168" s="190"/>
    </row>
    <row r="169" spans="1:8" s="13" customFormat="1">
      <c r="A169" s="165" t="s">
        <v>432</v>
      </c>
      <c r="B169" s="195" t="s">
        <v>487</v>
      </c>
      <c r="C169" s="195"/>
      <c r="D169" s="167"/>
      <c r="E169" s="348"/>
      <c r="F169" s="174"/>
      <c r="G169" s="197"/>
      <c r="H169" s="190"/>
    </row>
    <row r="170" spans="1:8">
      <c r="A170" s="166"/>
      <c r="B170" s="195" t="s">
        <v>432</v>
      </c>
      <c r="C170" s="195"/>
      <c r="D170" s="170" t="s">
        <v>380</v>
      </c>
      <c r="E170" s="189">
        <v>3.39</v>
      </c>
      <c r="F170" s="168">
        <v>0.04</v>
      </c>
      <c r="G170" s="197">
        <f t="shared" si="8"/>
        <v>0.1356</v>
      </c>
      <c r="H170" s="190"/>
    </row>
    <row r="171" spans="1:8" s="150" customFormat="1">
      <c r="A171" s="165" t="s">
        <v>490</v>
      </c>
      <c r="B171" s="195" t="s">
        <v>487</v>
      </c>
      <c r="C171" s="195"/>
      <c r="D171" s="167"/>
      <c r="E171" s="348"/>
      <c r="F171" s="174"/>
      <c r="G171" s="197"/>
      <c r="H171" s="190"/>
    </row>
    <row r="172" spans="1:8" s="10" customFormat="1">
      <c r="A172" s="166"/>
      <c r="B172" s="208" t="s">
        <v>491</v>
      </c>
      <c r="C172" s="195"/>
      <c r="D172" s="349" t="s">
        <v>850</v>
      </c>
      <c r="E172" s="216">
        <v>1.74</v>
      </c>
      <c r="F172" s="168">
        <v>0.8</v>
      </c>
      <c r="G172" s="197">
        <f t="shared" si="8"/>
        <v>1.3920000000000001</v>
      </c>
      <c r="H172" s="190"/>
    </row>
    <row r="173" spans="1:8">
      <c r="A173" s="166"/>
      <c r="B173" s="165" t="s">
        <v>492</v>
      </c>
      <c r="C173" s="165"/>
      <c r="D173" s="170" t="s">
        <v>395</v>
      </c>
      <c r="E173" s="347">
        <v>2.06</v>
      </c>
      <c r="F173" s="168">
        <v>0.01</v>
      </c>
      <c r="G173" s="197">
        <f t="shared" si="8"/>
        <v>2.06E-2</v>
      </c>
      <c r="H173" s="190"/>
    </row>
    <row r="174" spans="1:8">
      <c r="A174" s="166"/>
      <c r="B174" s="195" t="s">
        <v>493</v>
      </c>
      <c r="C174" s="195"/>
      <c r="D174" s="170" t="s">
        <v>380</v>
      </c>
      <c r="E174" s="216">
        <v>17.62</v>
      </c>
      <c r="F174" s="168">
        <v>5.0000000000000001E-3</v>
      </c>
      <c r="G174" s="197">
        <f t="shared" si="8"/>
        <v>8.8100000000000012E-2</v>
      </c>
      <c r="H174" s="190"/>
    </row>
    <row r="175" spans="1:8">
      <c r="A175" s="166"/>
      <c r="B175" s="195" t="s">
        <v>494</v>
      </c>
      <c r="C175" s="195"/>
      <c r="D175" s="170" t="s">
        <v>380</v>
      </c>
      <c r="E175" s="347">
        <v>11.97</v>
      </c>
      <c r="F175" s="168">
        <v>1E-3</v>
      </c>
      <c r="G175" s="197">
        <f t="shared" si="8"/>
        <v>1.1970000000000001E-2</v>
      </c>
      <c r="H175" s="190"/>
    </row>
    <row r="176" spans="1:8">
      <c r="A176" s="166"/>
      <c r="B176" s="195" t="s">
        <v>495</v>
      </c>
      <c r="C176" s="195"/>
      <c r="D176" s="170" t="s">
        <v>380</v>
      </c>
      <c r="E176" s="216">
        <v>0.88</v>
      </c>
      <c r="F176" s="168">
        <v>4.4999999999999998E-2</v>
      </c>
      <c r="G176" s="197">
        <f t="shared" si="8"/>
        <v>3.9599999999999996E-2</v>
      </c>
      <c r="H176" s="190"/>
    </row>
    <row r="177" spans="1:8">
      <c r="A177" s="166"/>
      <c r="B177" s="209" t="s">
        <v>496</v>
      </c>
      <c r="C177" s="210"/>
      <c r="D177" s="170" t="s">
        <v>380</v>
      </c>
      <c r="E177" s="216">
        <v>7.26</v>
      </c>
      <c r="F177" s="168">
        <v>1.4999999999999999E-2</v>
      </c>
      <c r="G177" s="197">
        <f t="shared" si="8"/>
        <v>0.1089</v>
      </c>
      <c r="H177" s="190"/>
    </row>
    <row r="178" spans="1:8">
      <c r="A178" s="165" t="s">
        <v>497</v>
      </c>
      <c r="B178" s="195" t="s">
        <v>487</v>
      </c>
      <c r="C178" s="195"/>
      <c r="D178" s="167"/>
      <c r="E178" s="348"/>
      <c r="F178" s="174"/>
      <c r="G178" s="197"/>
      <c r="H178" s="190"/>
    </row>
    <row r="179" spans="1:8">
      <c r="A179" s="166"/>
      <c r="B179" s="195" t="s">
        <v>498</v>
      </c>
      <c r="C179" s="195"/>
      <c r="D179" s="170" t="s">
        <v>380</v>
      </c>
      <c r="E179" s="216">
        <v>6.68</v>
      </c>
      <c r="F179" s="168">
        <v>7.0000000000000007E-2</v>
      </c>
      <c r="G179" s="197">
        <f t="shared" si="8"/>
        <v>0.46760000000000002</v>
      </c>
      <c r="H179" s="190"/>
    </row>
    <row r="180" spans="1:8">
      <c r="A180" s="165" t="s">
        <v>499</v>
      </c>
      <c r="B180" s="195" t="s">
        <v>487</v>
      </c>
      <c r="C180" s="195"/>
      <c r="D180" s="167"/>
      <c r="E180" s="348"/>
      <c r="F180" s="174"/>
      <c r="G180" s="197"/>
      <c r="H180" s="190"/>
    </row>
    <row r="181" spans="1:8">
      <c r="A181" s="166"/>
      <c r="B181" s="195" t="s">
        <v>500</v>
      </c>
      <c r="C181" s="195"/>
      <c r="D181" s="170" t="s">
        <v>849</v>
      </c>
      <c r="E181" s="216">
        <v>9.6999999999999993</v>
      </c>
      <c r="F181" s="168">
        <v>8.9999999999999993E-3</v>
      </c>
      <c r="G181" s="197">
        <f t="shared" si="8"/>
        <v>8.7299999999999989E-2</v>
      </c>
      <c r="H181" s="190"/>
    </row>
    <row r="182" spans="1:8">
      <c r="A182" s="166"/>
      <c r="B182" s="195" t="s">
        <v>409</v>
      </c>
      <c r="C182" s="195"/>
      <c r="D182" s="170" t="s">
        <v>380</v>
      </c>
      <c r="E182" s="223">
        <v>1.52</v>
      </c>
      <c r="F182" s="168">
        <v>0.02</v>
      </c>
      <c r="G182" s="197">
        <f t="shared" si="8"/>
        <v>3.04E-2</v>
      </c>
      <c r="H182" s="190"/>
    </row>
    <row r="183" spans="1:8">
      <c r="A183" s="166"/>
      <c r="B183" s="165"/>
      <c r="C183" s="165"/>
      <c r="D183" s="170"/>
      <c r="E183" s="350"/>
      <c r="F183" s="168"/>
      <c r="G183" s="197">
        <f t="shared" si="8"/>
        <v>0</v>
      </c>
      <c r="H183" s="190"/>
    </row>
    <row r="184" spans="1:8">
      <c r="A184" s="166" t="s">
        <v>367</v>
      </c>
      <c r="B184" s="165"/>
      <c r="C184" s="165"/>
      <c r="D184" s="170"/>
      <c r="E184" s="189"/>
      <c r="F184" s="168"/>
      <c r="G184" s="149"/>
      <c r="H184" s="173"/>
    </row>
    <row r="185" spans="1:8">
      <c r="A185" s="165"/>
      <c r="B185" s="165" t="s">
        <v>410</v>
      </c>
      <c r="C185" s="165"/>
      <c r="D185" s="176" t="s">
        <v>380</v>
      </c>
      <c r="E185" s="345">
        <v>7.37</v>
      </c>
      <c r="F185" s="177">
        <v>2.385E-3</v>
      </c>
      <c r="G185" s="178">
        <f t="shared" ref="G185:G192" si="9">F185*E185</f>
        <v>1.7577450000000001E-2</v>
      </c>
      <c r="H185" s="173"/>
    </row>
    <row r="186" spans="1:8">
      <c r="A186" s="179"/>
      <c r="B186" s="179" t="s">
        <v>382</v>
      </c>
      <c r="C186" s="179"/>
      <c r="D186" s="176" t="s">
        <v>380</v>
      </c>
      <c r="E186" s="345">
        <v>0.96</v>
      </c>
      <c r="F186" s="177">
        <v>4.9290899999999997E-3</v>
      </c>
      <c r="G186" s="178">
        <f t="shared" si="9"/>
        <v>4.7319263999999993E-3</v>
      </c>
      <c r="H186" s="173"/>
    </row>
    <row r="187" spans="1:8">
      <c r="A187" s="179"/>
      <c r="B187" s="179" t="s">
        <v>411</v>
      </c>
      <c r="C187" s="179"/>
      <c r="D187" s="176" t="s">
        <v>395</v>
      </c>
      <c r="E187" s="225">
        <v>1.65</v>
      </c>
      <c r="F187" s="177">
        <v>0.01</v>
      </c>
      <c r="G187" s="178">
        <f t="shared" si="9"/>
        <v>1.6500000000000001E-2</v>
      </c>
      <c r="H187" s="173"/>
    </row>
    <row r="188" spans="1:8">
      <c r="A188" s="179"/>
      <c r="B188" s="179" t="s">
        <v>443</v>
      </c>
      <c r="C188" s="179"/>
      <c r="D188" s="176" t="s">
        <v>380</v>
      </c>
      <c r="E188" s="345">
        <v>0.55000000000000004</v>
      </c>
      <c r="F188" s="177">
        <v>7.1599999999999997E-3</v>
      </c>
      <c r="G188" s="178">
        <f t="shared" si="9"/>
        <v>3.9380000000000005E-3</v>
      </c>
      <c r="H188" s="173"/>
    </row>
    <row r="189" spans="1:8">
      <c r="A189" s="179"/>
      <c r="B189" s="179" t="s">
        <v>413</v>
      </c>
      <c r="C189" s="179"/>
      <c r="D189" s="176" t="s">
        <v>414</v>
      </c>
      <c r="E189" s="225">
        <v>5.0000000000000001E-3</v>
      </c>
      <c r="F189" s="177">
        <v>0.95454499999999998</v>
      </c>
      <c r="G189" s="178">
        <f t="shared" si="9"/>
        <v>4.7727250000000002E-3</v>
      </c>
      <c r="H189" s="173"/>
    </row>
    <row r="190" spans="1:8">
      <c r="A190" s="179"/>
      <c r="B190" s="179" t="s">
        <v>415</v>
      </c>
      <c r="C190" s="179"/>
      <c r="D190" s="176" t="s">
        <v>380</v>
      </c>
      <c r="E190" s="345">
        <v>3.08</v>
      </c>
      <c r="F190" s="177">
        <v>0.01</v>
      </c>
      <c r="G190" s="178">
        <f t="shared" si="9"/>
        <v>3.0800000000000001E-2</v>
      </c>
      <c r="H190" s="173"/>
    </row>
    <row r="191" spans="1:8">
      <c r="A191" s="179"/>
      <c r="B191" s="179" t="s">
        <v>416</v>
      </c>
      <c r="C191" s="179"/>
      <c r="D191" s="176" t="s">
        <v>395</v>
      </c>
      <c r="E191" s="345">
        <v>2.85</v>
      </c>
      <c r="F191" s="177">
        <v>0.01</v>
      </c>
      <c r="G191" s="178">
        <f t="shared" si="9"/>
        <v>2.8500000000000001E-2</v>
      </c>
      <c r="H191" s="173"/>
    </row>
    <row r="192" spans="1:8">
      <c r="A192" s="179"/>
      <c r="B192" s="179" t="s">
        <v>417</v>
      </c>
      <c r="C192" s="179"/>
      <c r="D192" s="176" t="s">
        <v>395</v>
      </c>
      <c r="E192" s="225">
        <v>16.940000000000001</v>
      </c>
      <c r="F192" s="177">
        <v>0.01</v>
      </c>
      <c r="G192" s="178">
        <f t="shared" si="9"/>
        <v>0.16940000000000002</v>
      </c>
      <c r="H192" s="173"/>
    </row>
    <row r="193" spans="1:8">
      <c r="A193" s="180" t="s">
        <v>501</v>
      </c>
      <c r="B193" s="181"/>
      <c r="C193" s="181"/>
      <c r="D193" s="182"/>
      <c r="E193" s="346"/>
      <c r="F193" s="183"/>
      <c r="G193" s="198">
        <f>SUM(G154:G192)</f>
        <v>4.5796401013999999</v>
      </c>
      <c r="H193" s="191"/>
    </row>
    <row r="194" spans="1:8">
      <c r="A194" s="199"/>
      <c r="B194" s="200"/>
      <c r="C194" s="200"/>
      <c r="D194" s="201"/>
      <c r="E194" s="201"/>
      <c r="F194" s="202"/>
      <c r="G194" s="201"/>
      <c r="H194" s="203"/>
    </row>
    <row r="195" spans="1:8" ht="45">
      <c r="A195" s="399" t="s">
        <v>101</v>
      </c>
      <c r="B195" s="399"/>
      <c r="C195" s="399"/>
      <c r="D195" s="400" t="s">
        <v>376</v>
      </c>
      <c r="E195" s="400" t="s">
        <v>91</v>
      </c>
      <c r="F195" s="401" t="s">
        <v>92</v>
      </c>
      <c r="G195" s="402" t="s">
        <v>93</v>
      </c>
      <c r="H195" s="403" t="s">
        <v>377</v>
      </c>
    </row>
    <row r="196" spans="1:8">
      <c r="A196" s="165" t="s">
        <v>502</v>
      </c>
      <c r="B196" s="166"/>
      <c r="C196" s="166"/>
      <c r="D196" s="167"/>
      <c r="E196" s="343"/>
      <c r="F196" s="174"/>
      <c r="G196" s="170"/>
      <c r="H196" s="173"/>
    </row>
    <row r="197" spans="1:8">
      <c r="A197" s="166"/>
      <c r="B197" s="195" t="s">
        <v>379</v>
      </c>
      <c r="C197" s="195"/>
      <c r="D197" s="170" t="s">
        <v>380</v>
      </c>
      <c r="E197" s="347">
        <v>14.17</v>
      </c>
      <c r="F197" s="168">
        <v>0.23</v>
      </c>
      <c r="G197" s="197">
        <f>F197*E197</f>
        <v>3.2591000000000001</v>
      </c>
      <c r="H197" s="173">
        <v>150</v>
      </c>
    </row>
    <row r="198" spans="1:8">
      <c r="A198" s="166"/>
      <c r="B198" s="195" t="s">
        <v>382</v>
      </c>
      <c r="C198" s="195"/>
      <c r="D198" s="170" t="s">
        <v>380</v>
      </c>
      <c r="E198" s="347">
        <v>0.96</v>
      </c>
      <c r="F198" s="168">
        <v>5.0000000000000001E-3</v>
      </c>
      <c r="G198" s="197">
        <f t="shared" ref="G198:G220" si="10">F198*E198</f>
        <v>4.7999999999999996E-3</v>
      </c>
      <c r="H198" s="173"/>
    </row>
    <row r="199" spans="1:8">
      <c r="A199" s="166"/>
      <c r="B199" s="195" t="s">
        <v>503</v>
      </c>
      <c r="C199" s="195"/>
      <c r="D199" s="170" t="s">
        <v>380</v>
      </c>
      <c r="E199" s="347">
        <v>1.87</v>
      </c>
      <c r="F199" s="168" t="s">
        <v>504</v>
      </c>
      <c r="G199" s="197">
        <f t="shared" si="10"/>
        <v>5.6100000000000004E-3</v>
      </c>
      <c r="H199" s="173"/>
    </row>
    <row r="200" spans="1:8">
      <c r="A200" s="166"/>
      <c r="B200" s="195" t="s">
        <v>505</v>
      </c>
      <c r="C200" s="195"/>
      <c r="D200" s="170" t="s">
        <v>380</v>
      </c>
      <c r="E200" s="216">
        <v>3.21</v>
      </c>
      <c r="F200" s="168" t="s">
        <v>385</v>
      </c>
      <c r="G200" s="197">
        <f t="shared" si="10"/>
        <v>1.6050000000000002E-2</v>
      </c>
      <c r="H200" s="173"/>
    </row>
    <row r="201" spans="1:8">
      <c r="A201" s="166"/>
      <c r="B201" s="195" t="s">
        <v>485</v>
      </c>
      <c r="C201" s="195"/>
      <c r="D201" s="170" t="s">
        <v>395</v>
      </c>
      <c r="E201" s="216">
        <v>3.07</v>
      </c>
      <c r="F201" s="168" t="s">
        <v>385</v>
      </c>
      <c r="G201" s="197">
        <f t="shared" si="10"/>
        <v>1.5349999999999999E-2</v>
      </c>
      <c r="H201" s="190"/>
    </row>
    <row r="202" spans="1:8">
      <c r="A202" s="165" t="s">
        <v>506</v>
      </c>
      <c r="B202" s="195" t="s">
        <v>487</v>
      </c>
      <c r="C202" s="195"/>
      <c r="D202" s="167"/>
      <c r="E202" s="348"/>
      <c r="F202" s="174"/>
      <c r="G202" s="197"/>
      <c r="H202" s="190"/>
    </row>
    <row r="203" spans="1:8">
      <c r="A203" s="166"/>
      <c r="B203" s="195" t="s">
        <v>507</v>
      </c>
      <c r="C203" s="195"/>
      <c r="D203" s="170" t="s">
        <v>380</v>
      </c>
      <c r="E203" s="347">
        <v>4.45</v>
      </c>
      <c r="F203" s="168">
        <v>5.0000000000000001E-3</v>
      </c>
      <c r="G203" s="197">
        <f t="shared" si="10"/>
        <v>2.2250000000000002E-2</v>
      </c>
      <c r="H203" s="190"/>
    </row>
    <row r="204" spans="1:8">
      <c r="A204" s="166"/>
      <c r="B204" s="195" t="s">
        <v>382</v>
      </c>
      <c r="C204" s="195"/>
      <c r="D204" s="170" t="s">
        <v>380</v>
      </c>
      <c r="E204" s="347">
        <v>0.96</v>
      </c>
      <c r="F204" s="168" t="s">
        <v>385</v>
      </c>
      <c r="G204" s="197">
        <f t="shared" si="10"/>
        <v>4.7999999999999996E-3</v>
      </c>
      <c r="H204" s="173"/>
    </row>
    <row r="205" spans="1:8">
      <c r="A205" s="166"/>
      <c r="B205" s="195" t="s">
        <v>508</v>
      </c>
      <c r="C205" s="195"/>
      <c r="D205" s="170" t="s">
        <v>414</v>
      </c>
      <c r="E205" s="347">
        <v>0.21</v>
      </c>
      <c r="F205" s="168" t="s">
        <v>439</v>
      </c>
      <c r="G205" s="197">
        <f t="shared" si="10"/>
        <v>5.2499999999999998E-2</v>
      </c>
      <c r="H205" s="173"/>
    </row>
    <row r="206" spans="1:8">
      <c r="A206" s="166"/>
      <c r="B206" s="195" t="s">
        <v>390</v>
      </c>
      <c r="C206" s="195"/>
      <c r="D206" s="170" t="s">
        <v>380</v>
      </c>
      <c r="E206" s="347">
        <v>3.08</v>
      </c>
      <c r="F206" s="168">
        <v>5.5E-2</v>
      </c>
      <c r="G206" s="197">
        <f t="shared" si="10"/>
        <v>0.1694</v>
      </c>
      <c r="H206" s="173"/>
    </row>
    <row r="207" spans="1:8" s="13" customFormat="1">
      <c r="A207" s="165" t="s">
        <v>509</v>
      </c>
      <c r="B207" s="195" t="s">
        <v>487</v>
      </c>
      <c r="C207" s="195"/>
      <c r="D207" s="167"/>
      <c r="E207" s="348"/>
      <c r="F207" s="174"/>
      <c r="G207" s="197"/>
      <c r="H207" s="173"/>
    </row>
    <row r="208" spans="1:8" s="13" customFormat="1">
      <c r="A208" s="166"/>
      <c r="B208" s="195" t="s">
        <v>382</v>
      </c>
      <c r="C208" s="195"/>
      <c r="D208" s="170" t="s">
        <v>380</v>
      </c>
      <c r="E208" s="347">
        <v>0.96</v>
      </c>
      <c r="F208" s="168">
        <v>5.0000000000000001E-3</v>
      </c>
      <c r="G208" s="197">
        <f t="shared" si="10"/>
        <v>4.7999999999999996E-3</v>
      </c>
      <c r="H208" s="173"/>
    </row>
    <row r="209" spans="1:8" s="13" customFormat="1">
      <c r="A209" s="166"/>
      <c r="B209" s="195" t="s">
        <v>510</v>
      </c>
      <c r="C209" s="195"/>
      <c r="D209" s="170" t="s">
        <v>380</v>
      </c>
      <c r="E209" s="347">
        <v>0.77</v>
      </c>
      <c r="F209" s="168">
        <v>0.2</v>
      </c>
      <c r="G209" s="197">
        <f t="shared" si="10"/>
        <v>0.15400000000000003</v>
      </c>
      <c r="H209" s="173"/>
    </row>
    <row r="210" spans="1:8" s="13" customFormat="1">
      <c r="A210" s="166"/>
      <c r="B210" s="195" t="s">
        <v>369</v>
      </c>
      <c r="C210" s="195"/>
      <c r="D210" s="170" t="s">
        <v>380</v>
      </c>
      <c r="E210" s="216">
        <v>2.63</v>
      </c>
      <c r="F210" s="168">
        <v>1E-3</v>
      </c>
      <c r="G210" s="197">
        <f t="shared" si="10"/>
        <v>2.63E-3</v>
      </c>
      <c r="H210" s="190"/>
    </row>
    <row r="211" spans="1:8" s="13" customFormat="1">
      <c r="A211" s="165" t="s">
        <v>396</v>
      </c>
      <c r="B211" s="195" t="s">
        <v>487</v>
      </c>
      <c r="C211" s="195"/>
      <c r="D211" s="167"/>
      <c r="E211" s="348"/>
      <c r="F211" s="174"/>
      <c r="G211" s="197"/>
      <c r="H211" s="173"/>
    </row>
    <row r="212" spans="1:8" s="13" customFormat="1">
      <c r="A212" s="166"/>
      <c r="B212" s="195" t="s">
        <v>397</v>
      </c>
      <c r="C212" s="195"/>
      <c r="D212" s="170" t="s">
        <v>380</v>
      </c>
      <c r="E212" s="189">
        <v>2.1800000000000002</v>
      </c>
      <c r="F212" s="168">
        <v>7.0000000000000007E-2</v>
      </c>
      <c r="G212" s="197">
        <f t="shared" si="10"/>
        <v>0.15260000000000001</v>
      </c>
      <c r="H212" s="190"/>
    </row>
    <row r="213" spans="1:8" s="13" customFormat="1">
      <c r="A213" s="166"/>
      <c r="B213" s="195" t="s">
        <v>398</v>
      </c>
      <c r="C213" s="195"/>
      <c r="D213" s="170"/>
      <c r="E213" s="189"/>
      <c r="F213" s="168"/>
      <c r="G213" s="197"/>
      <c r="H213" s="190"/>
    </row>
    <row r="214" spans="1:8" s="13" customFormat="1">
      <c r="A214" s="165" t="s">
        <v>432</v>
      </c>
      <c r="B214" s="195" t="s">
        <v>487</v>
      </c>
      <c r="C214" s="195"/>
      <c r="D214" s="167"/>
      <c r="E214" s="348"/>
      <c r="F214" s="174"/>
      <c r="G214" s="197"/>
      <c r="H214" s="190"/>
    </row>
    <row r="215" spans="1:8" s="13" customFormat="1">
      <c r="A215" s="166"/>
      <c r="B215" s="195" t="s">
        <v>433</v>
      </c>
      <c r="C215" s="195"/>
      <c r="D215" s="170" t="s">
        <v>380</v>
      </c>
      <c r="E215" s="189">
        <v>3.39</v>
      </c>
      <c r="F215" s="168">
        <v>0.04</v>
      </c>
      <c r="G215" s="197">
        <f t="shared" si="10"/>
        <v>0.1356</v>
      </c>
      <c r="H215" s="190"/>
    </row>
    <row r="216" spans="1:8" s="13" customFormat="1">
      <c r="A216" s="165" t="s">
        <v>511</v>
      </c>
      <c r="B216" s="195" t="s">
        <v>487</v>
      </c>
      <c r="C216" s="195"/>
      <c r="D216" s="167"/>
      <c r="E216" s="348"/>
      <c r="F216" s="174"/>
      <c r="G216" s="197"/>
      <c r="H216" s="173"/>
    </row>
    <row r="217" spans="1:8" s="13" customFormat="1">
      <c r="A217" s="166"/>
      <c r="B217" s="195" t="s">
        <v>512</v>
      </c>
      <c r="C217" s="195"/>
      <c r="D217" s="170" t="s">
        <v>380</v>
      </c>
      <c r="E217" s="216">
        <v>0.66</v>
      </c>
      <c r="F217" s="168">
        <v>0.15</v>
      </c>
      <c r="G217" s="197">
        <f t="shared" si="10"/>
        <v>9.9000000000000005E-2</v>
      </c>
      <c r="H217" s="190"/>
    </row>
    <row r="218" spans="1:8" s="13" customFormat="1">
      <c r="A218" s="165" t="s">
        <v>513</v>
      </c>
      <c r="B218" s="195" t="s">
        <v>487</v>
      </c>
      <c r="C218" s="195"/>
      <c r="D218" s="167"/>
      <c r="E218" s="348"/>
      <c r="F218" s="174"/>
      <c r="G218" s="197"/>
      <c r="H218" s="190"/>
    </row>
    <row r="219" spans="1:8" s="13" customFormat="1">
      <c r="A219" s="166"/>
      <c r="B219" s="195" t="s">
        <v>514</v>
      </c>
      <c r="C219" s="195"/>
      <c r="D219" s="170" t="s">
        <v>380</v>
      </c>
      <c r="E219" s="216">
        <v>13.77</v>
      </c>
      <c r="F219" s="168">
        <v>8.9999999999999993E-3</v>
      </c>
      <c r="G219" s="197">
        <f t="shared" si="10"/>
        <v>0.12392999999999998</v>
      </c>
      <c r="H219" s="190"/>
    </row>
    <row r="220" spans="1:8">
      <c r="A220" s="166"/>
      <c r="B220" s="195" t="s">
        <v>515</v>
      </c>
      <c r="C220" s="195"/>
      <c r="D220" s="170" t="s">
        <v>380</v>
      </c>
      <c r="E220" s="223">
        <v>1.52</v>
      </c>
      <c r="F220" s="168">
        <v>0.02</v>
      </c>
      <c r="G220" s="197">
        <f t="shared" si="10"/>
        <v>3.04E-2</v>
      </c>
      <c r="H220" s="173"/>
    </row>
    <row r="221" spans="1:8" s="150" customFormat="1">
      <c r="A221" s="166" t="s">
        <v>367</v>
      </c>
      <c r="B221" s="165"/>
      <c r="C221" s="165"/>
      <c r="D221" s="170"/>
      <c r="E221" s="189"/>
      <c r="F221" s="168"/>
      <c r="G221" s="197"/>
      <c r="H221" s="173"/>
    </row>
    <row r="222" spans="1:8" s="10" customFormat="1">
      <c r="A222" s="165"/>
      <c r="B222" s="165" t="s">
        <v>410</v>
      </c>
      <c r="C222" s="165"/>
      <c r="D222" s="176" t="s">
        <v>380</v>
      </c>
      <c r="E222" s="345">
        <v>7.37</v>
      </c>
      <c r="F222" s="177">
        <v>2.385E-3</v>
      </c>
      <c r="G222" s="178">
        <f t="shared" ref="G222:G229" si="11">F222*E222</f>
        <v>1.7577450000000001E-2</v>
      </c>
      <c r="H222" s="173"/>
    </row>
    <row r="223" spans="1:8">
      <c r="A223" s="179"/>
      <c r="B223" s="179" t="s">
        <v>382</v>
      </c>
      <c r="C223" s="179"/>
      <c r="D223" s="176" t="s">
        <v>380</v>
      </c>
      <c r="E223" s="345">
        <v>0.96</v>
      </c>
      <c r="F223" s="177">
        <v>4.9290899999999997E-3</v>
      </c>
      <c r="G223" s="178">
        <f t="shared" si="11"/>
        <v>4.7319263999999993E-3</v>
      </c>
      <c r="H223" s="173"/>
    </row>
    <row r="224" spans="1:8">
      <c r="A224" s="179"/>
      <c r="B224" s="179" t="s">
        <v>411</v>
      </c>
      <c r="C224" s="179"/>
      <c r="D224" s="176" t="s">
        <v>395</v>
      </c>
      <c r="E224" s="225">
        <v>1.65</v>
      </c>
      <c r="F224" s="177">
        <v>0.01</v>
      </c>
      <c r="G224" s="178">
        <f t="shared" si="11"/>
        <v>1.6500000000000001E-2</v>
      </c>
      <c r="H224" s="173"/>
    </row>
    <row r="225" spans="1:8">
      <c r="A225" s="179"/>
      <c r="B225" s="179" t="s">
        <v>412</v>
      </c>
      <c r="C225" s="179"/>
      <c r="D225" s="176" t="s">
        <v>380</v>
      </c>
      <c r="E225" s="345">
        <v>0.55000000000000004</v>
      </c>
      <c r="F225" s="177">
        <v>7.1599999999999997E-3</v>
      </c>
      <c r="G225" s="178">
        <f t="shared" si="11"/>
        <v>3.9380000000000005E-3</v>
      </c>
      <c r="H225" s="173"/>
    </row>
    <row r="226" spans="1:8">
      <c r="A226" s="179"/>
      <c r="B226" s="179" t="s">
        <v>413</v>
      </c>
      <c r="C226" s="179"/>
      <c r="D226" s="176" t="s">
        <v>414</v>
      </c>
      <c r="E226" s="225">
        <v>5.0000000000000001E-3</v>
      </c>
      <c r="F226" s="177">
        <v>0.95454499999999998</v>
      </c>
      <c r="G226" s="178">
        <f t="shared" si="11"/>
        <v>4.7727250000000002E-3</v>
      </c>
      <c r="H226" s="173"/>
    </row>
    <row r="227" spans="1:8">
      <c r="A227" s="179"/>
      <c r="B227" s="179" t="s">
        <v>415</v>
      </c>
      <c r="C227" s="179"/>
      <c r="D227" s="176" t="s">
        <v>380</v>
      </c>
      <c r="E227" s="345">
        <v>3.08</v>
      </c>
      <c r="F227" s="177">
        <v>0.01</v>
      </c>
      <c r="G227" s="178">
        <f t="shared" si="11"/>
        <v>3.0800000000000001E-2</v>
      </c>
      <c r="H227" s="173"/>
    </row>
    <row r="228" spans="1:8">
      <c r="A228" s="179"/>
      <c r="B228" s="179" t="s">
        <v>416</v>
      </c>
      <c r="C228" s="179"/>
      <c r="D228" s="176" t="s">
        <v>395</v>
      </c>
      <c r="E228" s="345">
        <v>2.85</v>
      </c>
      <c r="F228" s="177">
        <v>0.01</v>
      </c>
      <c r="G228" s="178">
        <f t="shared" si="11"/>
        <v>2.8500000000000001E-2</v>
      </c>
      <c r="H228" s="173"/>
    </row>
    <row r="229" spans="1:8">
      <c r="A229" s="179"/>
      <c r="B229" s="179" t="s">
        <v>417</v>
      </c>
      <c r="C229" s="179"/>
      <c r="D229" s="176" t="s">
        <v>395</v>
      </c>
      <c r="E229" s="225">
        <v>16.940000000000001</v>
      </c>
      <c r="F229" s="177">
        <v>0.01</v>
      </c>
      <c r="G229" s="178">
        <f t="shared" si="11"/>
        <v>0.16940000000000002</v>
      </c>
      <c r="H229" s="173"/>
    </row>
    <row r="230" spans="1:8">
      <c r="A230" s="180" t="s">
        <v>516</v>
      </c>
      <c r="B230" s="181"/>
      <c r="C230" s="181"/>
      <c r="D230" s="182"/>
      <c r="E230" s="346"/>
      <c r="F230" s="183"/>
      <c r="G230" s="198">
        <f>SUM(G197:G229)</f>
        <v>4.5290401013999997</v>
      </c>
      <c r="H230" s="191"/>
    </row>
    <row r="231" spans="1:8">
      <c r="A231" s="150"/>
      <c r="B231" s="150"/>
      <c r="C231" s="150"/>
      <c r="D231" s="186"/>
      <c r="E231" s="186"/>
      <c r="F231" s="187"/>
      <c r="G231" s="186"/>
      <c r="H231" s="188"/>
    </row>
    <row r="232" spans="1:8" ht="45">
      <c r="A232" s="399" t="s">
        <v>102</v>
      </c>
      <c r="B232" s="399"/>
      <c r="C232" s="399"/>
      <c r="D232" s="400" t="s">
        <v>376</v>
      </c>
      <c r="E232" s="400" t="s">
        <v>91</v>
      </c>
      <c r="F232" s="401" t="s">
        <v>92</v>
      </c>
      <c r="G232" s="402" t="s">
        <v>93</v>
      </c>
      <c r="H232" s="403" t="s">
        <v>377</v>
      </c>
    </row>
    <row r="233" spans="1:8">
      <c r="A233" s="165" t="s">
        <v>517</v>
      </c>
      <c r="B233" s="165"/>
      <c r="C233" s="165"/>
      <c r="D233" s="167"/>
      <c r="E233" s="350"/>
      <c r="F233" s="174"/>
      <c r="G233" s="167"/>
      <c r="H233" s="190"/>
    </row>
    <row r="234" spans="1:8">
      <c r="A234" s="165"/>
      <c r="B234" s="195" t="s">
        <v>518</v>
      </c>
      <c r="C234" s="195"/>
      <c r="D234" s="170" t="s">
        <v>380</v>
      </c>
      <c r="E234" s="216">
        <v>6.25</v>
      </c>
      <c r="F234" s="168">
        <v>0.21</v>
      </c>
      <c r="G234" s="196">
        <f>F234*E234</f>
        <v>1.3125</v>
      </c>
      <c r="H234" s="173">
        <v>120</v>
      </c>
    </row>
    <row r="235" spans="1:8">
      <c r="A235" s="166"/>
      <c r="B235" s="195" t="s">
        <v>488</v>
      </c>
      <c r="C235" s="195"/>
      <c r="D235" s="170" t="s">
        <v>380</v>
      </c>
      <c r="E235" s="347">
        <v>4.45</v>
      </c>
      <c r="F235" s="168" t="s">
        <v>385</v>
      </c>
      <c r="G235" s="196">
        <f t="shared" ref="G235:G261" si="12">F235*E235</f>
        <v>2.2250000000000002E-2</v>
      </c>
      <c r="H235" s="190"/>
    </row>
    <row r="236" spans="1:8">
      <c r="A236" s="166"/>
      <c r="B236" s="195" t="s">
        <v>463</v>
      </c>
      <c r="C236" s="195"/>
      <c r="D236" s="170" t="s">
        <v>380</v>
      </c>
      <c r="E236" s="347">
        <v>0.96</v>
      </c>
      <c r="F236" s="168" t="s">
        <v>385</v>
      </c>
      <c r="G236" s="196">
        <f t="shared" si="12"/>
        <v>4.7999999999999996E-3</v>
      </c>
      <c r="H236" s="190"/>
    </row>
    <row r="237" spans="1:8">
      <c r="A237" s="166"/>
      <c r="B237" s="195" t="s">
        <v>519</v>
      </c>
      <c r="C237" s="195"/>
      <c r="D237" s="170" t="s">
        <v>380</v>
      </c>
      <c r="E237" s="347">
        <v>1.2</v>
      </c>
      <c r="F237" s="168" t="s">
        <v>385</v>
      </c>
      <c r="G237" s="196">
        <f t="shared" si="12"/>
        <v>6.0000000000000001E-3</v>
      </c>
      <c r="H237" s="190"/>
    </row>
    <row r="238" spans="1:8">
      <c r="A238" s="166"/>
      <c r="B238" s="195" t="s">
        <v>520</v>
      </c>
      <c r="C238" s="195"/>
      <c r="D238" s="170" t="s">
        <v>380</v>
      </c>
      <c r="E238" s="216">
        <v>3</v>
      </c>
      <c r="F238" s="168" t="s">
        <v>385</v>
      </c>
      <c r="G238" s="196">
        <f t="shared" si="12"/>
        <v>1.4999999999999999E-2</v>
      </c>
      <c r="H238" s="190"/>
    </row>
    <row r="239" spans="1:8">
      <c r="A239" s="166"/>
      <c r="B239" s="195" t="s">
        <v>521</v>
      </c>
      <c r="C239" s="195"/>
      <c r="D239" s="170" t="s">
        <v>380</v>
      </c>
      <c r="E239" s="216">
        <v>9</v>
      </c>
      <c r="F239" s="168">
        <v>5.0000000000000001E-3</v>
      </c>
      <c r="G239" s="196">
        <f t="shared" si="12"/>
        <v>4.4999999999999998E-2</v>
      </c>
      <c r="H239" s="190"/>
    </row>
    <row r="240" spans="1:8">
      <c r="A240" s="165" t="s">
        <v>522</v>
      </c>
      <c r="B240" s="195" t="s">
        <v>487</v>
      </c>
      <c r="C240" s="195"/>
      <c r="D240" s="167"/>
      <c r="E240" s="348"/>
      <c r="F240" s="174"/>
      <c r="G240" s="196"/>
      <c r="H240" s="190"/>
    </row>
    <row r="241" spans="1:8">
      <c r="A241" s="166"/>
      <c r="B241" s="195" t="s">
        <v>523</v>
      </c>
      <c r="C241" s="195"/>
      <c r="D241" s="170" t="s">
        <v>380</v>
      </c>
      <c r="E241" s="216">
        <v>17.62</v>
      </c>
      <c r="F241" s="168" t="s">
        <v>385</v>
      </c>
      <c r="G241" s="196">
        <f t="shared" si="12"/>
        <v>8.8100000000000012E-2</v>
      </c>
      <c r="H241" s="190"/>
    </row>
    <row r="242" spans="1:8">
      <c r="A242" s="166"/>
      <c r="B242" s="195" t="s">
        <v>524</v>
      </c>
      <c r="C242" s="195"/>
      <c r="D242" s="170" t="s">
        <v>380</v>
      </c>
      <c r="E242" s="216">
        <v>4.33</v>
      </c>
      <c r="F242" s="168" t="s">
        <v>451</v>
      </c>
      <c r="G242" s="196">
        <f t="shared" si="12"/>
        <v>3.4640000000000001E-3</v>
      </c>
      <c r="H242" s="190"/>
    </row>
    <row r="243" spans="1:8">
      <c r="A243" s="166"/>
      <c r="B243" s="195" t="s">
        <v>525</v>
      </c>
      <c r="C243" s="195"/>
      <c r="D243" s="170" t="s">
        <v>380</v>
      </c>
      <c r="E243" s="347">
        <v>1.25</v>
      </c>
      <c r="F243" s="168">
        <v>0.14000000000000001</v>
      </c>
      <c r="G243" s="196">
        <f t="shared" si="12"/>
        <v>0.17500000000000002</v>
      </c>
      <c r="H243" s="190"/>
    </row>
    <row r="244" spans="1:8">
      <c r="A244" s="166"/>
      <c r="B244" s="195" t="s">
        <v>526</v>
      </c>
      <c r="C244" s="195"/>
      <c r="D244" s="170" t="s">
        <v>380</v>
      </c>
      <c r="E244" s="347">
        <v>1.87</v>
      </c>
      <c r="F244" s="168">
        <v>5.0000000000000001E-3</v>
      </c>
      <c r="G244" s="196">
        <f t="shared" si="12"/>
        <v>9.3500000000000007E-3</v>
      </c>
      <c r="H244" s="190"/>
    </row>
    <row r="245" spans="1:8">
      <c r="A245" s="166"/>
      <c r="B245" s="195" t="s">
        <v>505</v>
      </c>
      <c r="C245" s="195"/>
      <c r="D245" s="170" t="s">
        <v>380</v>
      </c>
      <c r="E245" s="216">
        <v>3.21</v>
      </c>
      <c r="F245" s="168" t="s">
        <v>385</v>
      </c>
      <c r="G245" s="196">
        <f t="shared" si="12"/>
        <v>1.6050000000000002E-2</v>
      </c>
      <c r="H245" s="190"/>
    </row>
    <row r="246" spans="1:8">
      <c r="A246" s="165" t="s">
        <v>527</v>
      </c>
      <c r="B246" s="195" t="s">
        <v>487</v>
      </c>
      <c r="C246" s="195"/>
      <c r="D246" s="167"/>
      <c r="E246" s="348"/>
      <c r="F246" s="174"/>
      <c r="G246" s="196"/>
      <c r="H246" s="190"/>
    </row>
    <row r="247" spans="1:8">
      <c r="A247" s="166"/>
      <c r="B247" s="195" t="s">
        <v>442</v>
      </c>
      <c r="C247" s="195"/>
      <c r="D247" s="170" t="s">
        <v>380</v>
      </c>
      <c r="E247" s="347">
        <v>7.37</v>
      </c>
      <c r="F247" s="168" t="s">
        <v>389</v>
      </c>
      <c r="G247" s="196">
        <f t="shared" si="12"/>
        <v>7.3700000000000007E-3</v>
      </c>
      <c r="H247" s="190"/>
    </row>
    <row r="248" spans="1:8">
      <c r="A248" s="166"/>
      <c r="B248" s="195" t="s">
        <v>528</v>
      </c>
      <c r="C248" s="195"/>
      <c r="D248" s="170" t="s">
        <v>380</v>
      </c>
      <c r="E248" s="347">
        <v>0.37</v>
      </c>
      <c r="F248" s="168" t="s">
        <v>529</v>
      </c>
      <c r="G248" s="196">
        <f t="shared" si="12"/>
        <v>1.4800000000000001E-2</v>
      </c>
      <c r="H248" s="190"/>
    </row>
    <row r="249" spans="1:8">
      <c r="A249" s="166"/>
      <c r="B249" s="195" t="s">
        <v>530</v>
      </c>
      <c r="C249" s="195"/>
      <c r="D249" s="170" t="s">
        <v>380</v>
      </c>
      <c r="E249" s="347">
        <v>0.77</v>
      </c>
      <c r="F249" s="168" t="s">
        <v>446</v>
      </c>
      <c r="G249" s="196">
        <f t="shared" si="12"/>
        <v>4.6199999999999998E-2</v>
      </c>
      <c r="H249" s="190"/>
    </row>
    <row r="250" spans="1:8">
      <c r="A250" s="166"/>
      <c r="B250" s="195" t="s">
        <v>531</v>
      </c>
      <c r="C250" s="195"/>
      <c r="D250" s="170" t="s">
        <v>380</v>
      </c>
      <c r="E250" s="347">
        <v>0.72</v>
      </c>
      <c r="F250" s="168">
        <v>0.06</v>
      </c>
      <c r="G250" s="196">
        <f t="shared" si="12"/>
        <v>4.3199999999999995E-2</v>
      </c>
      <c r="H250" s="190"/>
    </row>
    <row r="251" spans="1:8">
      <c r="A251" s="166"/>
      <c r="B251" s="195" t="s">
        <v>532</v>
      </c>
      <c r="C251" s="195"/>
      <c r="D251" s="170" t="s">
        <v>380</v>
      </c>
      <c r="E251" s="347">
        <v>3.12</v>
      </c>
      <c r="F251" s="168">
        <v>5.0000000000000001E-3</v>
      </c>
      <c r="G251" s="196">
        <f t="shared" si="12"/>
        <v>1.5600000000000001E-2</v>
      </c>
      <c r="H251" s="190"/>
    </row>
    <row r="252" spans="1:8" s="13" customFormat="1">
      <c r="A252" s="165" t="s">
        <v>396</v>
      </c>
      <c r="B252" s="195" t="s">
        <v>487</v>
      </c>
      <c r="C252" s="195"/>
      <c r="D252" s="167"/>
      <c r="E252" s="348"/>
      <c r="F252" s="174"/>
      <c r="G252" s="196"/>
      <c r="H252" s="190"/>
    </row>
    <row r="253" spans="1:8" s="13" customFormat="1">
      <c r="A253" s="166"/>
      <c r="B253" s="195" t="s">
        <v>470</v>
      </c>
      <c r="C253" s="195"/>
      <c r="D253" s="170" t="s">
        <v>380</v>
      </c>
      <c r="E253" s="189">
        <v>2.1800000000000002</v>
      </c>
      <c r="F253" s="168">
        <v>7.0000000000000007E-2</v>
      </c>
      <c r="G253" s="196">
        <f t="shared" si="12"/>
        <v>0.15260000000000001</v>
      </c>
      <c r="H253" s="190"/>
    </row>
    <row r="254" spans="1:8" s="13" customFormat="1">
      <c r="A254" s="166"/>
      <c r="B254" s="195" t="s">
        <v>398</v>
      </c>
      <c r="C254" s="195"/>
      <c r="D254" s="170"/>
      <c r="E254" s="189"/>
      <c r="F254" s="168"/>
      <c r="G254" s="196"/>
      <c r="H254" s="190"/>
    </row>
    <row r="255" spans="1:8" s="13" customFormat="1">
      <c r="A255" s="165" t="s">
        <v>432</v>
      </c>
      <c r="B255" s="195" t="s">
        <v>487</v>
      </c>
      <c r="C255" s="195"/>
      <c r="D255" s="167"/>
      <c r="E255" s="348"/>
      <c r="F255" s="174"/>
      <c r="G255" s="196"/>
      <c r="H255" s="190"/>
    </row>
    <row r="256" spans="1:8" s="13" customFormat="1">
      <c r="A256" s="166"/>
      <c r="B256" s="195" t="s">
        <v>533</v>
      </c>
      <c r="C256" s="195"/>
      <c r="D256" s="170" t="s">
        <v>380</v>
      </c>
      <c r="E256" s="189">
        <v>3.39</v>
      </c>
      <c r="F256" s="168">
        <v>0.04</v>
      </c>
      <c r="G256" s="196">
        <f t="shared" si="12"/>
        <v>0.1356</v>
      </c>
      <c r="H256" s="190"/>
    </row>
    <row r="257" spans="1:8" s="13" customFormat="1">
      <c r="A257" s="165" t="s">
        <v>534</v>
      </c>
      <c r="B257" s="195" t="s">
        <v>487</v>
      </c>
      <c r="C257" s="195"/>
      <c r="D257" s="167"/>
      <c r="E257" s="348"/>
      <c r="F257" s="174"/>
      <c r="G257" s="196"/>
      <c r="H257" s="190"/>
    </row>
    <row r="258" spans="1:8" s="13" customFormat="1">
      <c r="A258" s="166"/>
      <c r="B258" s="195" t="s">
        <v>535</v>
      </c>
      <c r="C258" s="195"/>
      <c r="D258" s="170" t="s">
        <v>380</v>
      </c>
      <c r="E258" s="216">
        <v>4.2699999999999996</v>
      </c>
      <c r="F258" s="168">
        <v>7.0000000000000007E-2</v>
      </c>
      <c r="G258" s="196">
        <f t="shared" si="12"/>
        <v>0.2989</v>
      </c>
      <c r="H258" s="190"/>
    </row>
    <row r="259" spans="1:8" s="13" customFormat="1">
      <c r="A259" s="165" t="s">
        <v>477</v>
      </c>
      <c r="B259" s="195" t="s">
        <v>487</v>
      </c>
      <c r="C259" s="195"/>
      <c r="D259" s="167"/>
      <c r="E259" s="348"/>
      <c r="F259" s="174"/>
      <c r="G259" s="196"/>
      <c r="H259" s="190"/>
    </row>
    <row r="260" spans="1:8" s="13" customFormat="1">
      <c r="A260" s="166"/>
      <c r="B260" s="195" t="s">
        <v>478</v>
      </c>
      <c r="C260" s="195"/>
      <c r="D260" s="170" t="s">
        <v>380</v>
      </c>
      <c r="E260" s="216">
        <v>25.05</v>
      </c>
      <c r="F260" s="168">
        <v>8.9999999999999993E-3</v>
      </c>
      <c r="G260" s="196">
        <f t="shared" si="12"/>
        <v>0.22544999999999998</v>
      </c>
      <c r="H260" s="190"/>
    </row>
    <row r="261" spans="1:8" s="13" customFormat="1">
      <c r="A261" s="166"/>
      <c r="B261" s="195" t="s">
        <v>409</v>
      </c>
      <c r="C261" s="195"/>
      <c r="D261" s="170" t="s">
        <v>380</v>
      </c>
      <c r="E261" s="223">
        <v>1.52</v>
      </c>
      <c r="F261" s="168">
        <v>0.02</v>
      </c>
      <c r="G261" s="196">
        <f t="shared" si="12"/>
        <v>3.04E-2</v>
      </c>
      <c r="H261" s="190"/>
    </row>
    <row r="262" spans="1:8" s="13" customFormat="1">
      <c r="A262" s="166" t="s">
        <v>367</v>
      </c>
      <c r="B262" s="165"/>
      <c r="C262" s="165"/>
      <c r="D262" s="170"/>
      <c r="E262" s="189"/>
      <c r="F262" s="168"/>
      <c r="G262" s="149"/>
      <c r="H262" s="173"/>
    </row>
    <row r="263" spans="1:8" s="13" customFormat="1">
      <c r="A263" s="165"/>
      <c r="B263" s="165" t="s">
        <v>410</v>
      </c>
      <c r="C263" s="165"/>
      <c r="D263" s="176" t="s">
        <v>380</v>
      </c>
      <c r="E263" s="345">
        <v>7.37</v>
      </c>
      <c r="F263" s="177">
        <v>2.385E-3</v>
      </c>
      <c r="G263" s="178">
        <f t="shared" ref="G263:G270" si="13">F263*E263</f>
        <v>1.7577450000000001E-2</v>
      </c>
      <c r="H263" s="173"/>
    </row>
    <row r="264" spans="1:8" s="13" customFormat="1" ht="15.75" customHeight="1">
      <c r="A264" s="179"/>
      <c r="B264" s="179" t="s">
        <v>382</v>
      </c>
      <c r="C264" s="179"/>
      <c r="D264" s="176" t="s">
        <v>380</v>
      </c>
      <c r="E264" s="345">
        <v>0.96</v>
      </c>
      <c r="F264" s="177">
        <v>4.9290899999999997E-3</v>
      </c>
      <c r="G264" s="178">
        <f t="shared" si="13"/>
        <v>4.7319263999999993E-3</v>
      </c>
      <c r="H264" s="173"/>
    </row>
    <row r="265" spans="1:8" ht="15.75" customHeight="1">
      <c r="A265" s="179"/>
      <c r="B265" s="179" t="s">
        <v>411</v>
      </c>
      <c r="C265" s="179"/>
      <c r="D265" s="176" t="s">
        <v>395</v>
      </c>
      <c r="E265" s="225">
        <v>1.65</v>
      </c>
      <c r="F265" s="177">
        <v>0.01</v>
      </c>
      <c r="G265" s="178">
        <f t="shared" si="13"/>
        <v>1.6500000000000001E-2</v>
      </c>
      <c r="H265" s="173"/>
    </row>
    <row r="266" spans="1:8" s="150" customFormat="1">
      <c r="A266" s="179"/>
      <c r="B266" s="179" t="s">
        <v>412</v>
      </c>
      <c r="C266" s="179"/>
      <c r="D266" s="176" t="s">
        <v>380</v>
      </c>
      <c r="E266" s="345">
        <v>0.55000000000000004</v>
      </c>
      <c r="F266" s="177">
        <v>7.1599999999999997E-3</v>
      </c>
      <c r="G266" s="178">
        <f t="shared" si="13"/>
        <v>3.9380000000000005E-3</v>
      </c>
      <c r="H266" s="173"/>
    </row>
    <row r="267" spans="1:8" s="10" customFormat="1">
      <c r="A267" s="179"/>
      <c r="B267" s="179" t="s">
        <v>413</v>
      </c>
      <c r="C267" s="179"/>
      <c r="D267" s="176" t="s">
        <v>414</v>
      </c>
      <c r="E267" s="225">
        <v>5.0000000000000001E-3</v>
      </c>
      <c r="F267" s="177">
        <v>0.95454499999999998</v>
      </c>
      <c r="G267" s="178">
        <f t="shared" si="13"/>
        <v>4.7727250000000002E-3</v>
      </c>
      <c r="H267" s="173"/>
    </row>
    <row r="268" spans="1:8">
      <c r="A268" s="179"/>
      <c r="B268" s="179" t="s">
        <v>415</v>
      </c>
      <c r="C268" s="179"/>
      <c r="D268" s="176" t="s">
        <v>380</v>
      </c>
      <c r="E268" s="345">
        <v>3.08</v>
      </c>
      <c r="F268" s="177">
        <v>0.01</v>
      </c>
      <c r="G268" s="178">
        <f t="shared" si="13"/>
        <v>3.0800000000000001E-2</v>
      </c>
      <c r="H268" s="173"/>
    </row>
    <row r="269" spans="1:8">
      <c r="A269" s="179"/>
      <c r="B269" s="179" t="s">
        <v>416</v>
      </c>
      <c r="C269" s="179"/>
      <c r="D269" s="176" t="s">
        <v>395</v>
      </c>
      <c r="E269" s="345">
        <v>2.85</v>
      </c>
      <c r="F269" s="177">
        <v>0.01</v>
      </c>
      <c r="G269" s="178">
        <f t="shared" si="13"/>
        <v>2.8500000000000001E-2</v>
      </c>
      <c r="H269" s="173"/>
    </row>
    <row r="270" spans="1:8">
      <c r="A270" s="179"/>
      <c r="B270" s="179" t="s">
        <v>417</v>
      </c>
      <c r="C270" s="179"/>
      <c r="D270" s="176" t="s">
        <v>395</v>
      </c>
      <c r="E270" s="225">
        <v>16.940000000000001</v>
      </c>
      <c r="F270" s="177">
        <v>0.01</v>
      </c>
      <c r="G270" s="178">
        <f t="shared" si="13"/>
        <v>0.16940000000000002</v>
      </c>
      <c r="H270" s="173"/>
    </row>
    <row r="271" spans="1:8">
      <c r="A271" s="180" t="s">
        <v>103</v>
      </c>
      <c r="B271" s="181"/>
      <c r="C271" s="181"/>
      <c r="D271" s="182"/>
      <c r="E271" s="346"/>
      <c r="F271" s="183"/>
      <c r="G271" s="198">
        <f>SUM(G234:G270)</f>
        <v>2.9438541014000008</v>
      </c>
      <c r="H271" s="191"/>
    </row>
    <row r="272" spans="1:8">
      <c r="A272" s="150"/>
      <c r="B272" s="150"/>
      <c r="C272" s="150"/>
      <c r="D272" s="186"/>
      <c r="E272" s="186"/>
      <c r="F272" s="187"/>
      <c r="G272" s="186"/>
      <c r="H272" s="188"/>
    </row>
    <row r="273" spans="1:8" ht="45">
      <c r="A273" s="399" t="s">
        <v>536</v>
      </c>
      <c r="B273" s="399"/>
      <c r="C273" s="399"/>
      <c r="D273" s="400" t="s">
        <v>376</v>
      </c>
      <c r="E273" s="400" t="s">
        <v>91</v>
      </c>
      <c r="F273" s="401" t="s">
        <v>92</v>
      </c>
      <c r="G273" s="402" t="s">
        <v>93</v>
      </c>
      <c r="H273" s="403" t="s">
        <v>377</v>
      </c>
    </row>
    <row r="274" spans="1:8">
      <c r="A274" s="165" t="s">
        <v>537</v>
      </c>
      <c r="B274" s="166"/>
      <c r="C274" s="166"/>
      <c r="D274" s="167"/>
      <c r="E274" s="350"/>
      <c r="F274" s="174"/>
      <c r="G274" s="167"/>
      <c r="H274" s="190"/>
    </row>
    <row r="275" spans="1:8">
      <c r="A275" s="165"/>
      <c r="B275" s="195" t="s">
        <v>379</v>
      </c>
      <c r="C275" s="195"/>
      <c r="D275" s="170" t="s">
        <v>380</v>
      </c>
      <c r="E275" s="347">
        <v>14.17</v>
      </c>
      <c r="F275" s="168">
        <v>0.2</v>
      </c>
      <c r="G275" s="196">
        <f>F275*E275</f>
        <v>2.8340000000000001</v>
      </c>
      <c r="H275" s="173">
        <v>120</v>
      </c>
    </row>
    <row r="276" spans="1:8">
      <c r="A276" s="165"/>
      <c r="B276" s="195" t="s">
        <v>388</v>
      </c>
      <c r="C276" s="195"/>
      <c r="D276" s="170" t="s">
        <v>380</v>
      </c>
      <c r="E276" s="216">
        <v>2.63</v>
      </c>
      <c r="F276" s="168" t="s">
        <v>389</v>
      </c>
      <c r="G276" s="196">
        <f t="shared" ref="G276:G298" si="14">F276*E276</f>
        <v>2.63E-3</v>
      </c>
      <c r="H276" s="173"/>
    </row>
    <row r="277" spans="1:8">
      <c r="A277" s="165"/>
      <c r="B277" s="195" t="s">
        <v>520</v>
      </c>
      <c r="C277" s="195"/>
      <c r="D277" s="170" t="s">
        <v>380</v>
      </c>
      <c r="E277" s="216">
        <v>3</v>
      </c>
      <c r="F277" s="168">
        <v>4.9199999999999999E-3</v>
      </c>
      <c r="G277" s="196">
        <f t="shared" si="14"/>
        <v>1.4759999999999999E-2</v>
      </c>
      <c r="H277" s="173"/>
    </row>
    <row r="278" spans="1:8">
      <c r="A278" s="166"/>
      <c r="B278" s="195" t="s">
        <v>384</v>
      </c>
      <c r="C278" s="195"/>
      <c r="D278" s="170" t="s">
        <v>380</v>
      </c>
      <c r="E278" s="216">
        <v>3.21</v>
      </c>
      <c r="F278" s="168" t="s">
        <v>385</v>
      </c>
      <c r="G278" s="196">
        <f t="shared" si="14"/>
        <v>1.6050000000000002E-2</v>
      </c>
      <c r="H278" s="173"/>
    </row>
    <row r="279" spans="1:8">
      <c r="A279" s="166"/>
      <c r="B279" s="195" t="s">
        <v>538</v>
      </c>
      <c r="C279" s="195"/>
      <c r="D279" s="170" t="s">
        <v>395</v>
      </c>
      <c r="E279" s="347">
        <v>9.99</v>
      </c>
      <c r="F279" s="168" t="s">
        <v>385</v>
      </c>
      <c r="G279" s="196">
        <f t="shared" si="14"/>
        <v>4.9950000000000001E-2</v>
      </c>
      <c r="H279" s="173"/>
    </row>
    <row r="280" spans="1:8">
      <c r="A280" s="166"/>
      <c r="B280" s="195" t="s">
        <v>539</v>
      </c>
      <c r="C280" s="195"/>
      <c r="D280" s="170" t="s">
        <v>380</v>
      </c>
      <c r="E280" s="347">
        <v>17.420000000000002</v>
      </c>
      <c r="F280" s="168">
        <v>4.9199999999999999E-3</v>
      </c>
      <c r="G280" s="196">
        <f t="shared" si="14"/>
        <v>8.5706400000000002E-2</v>
      </c>
      <c r="H280" s="190"/>
    </row>
    <row r="281" spans="1:8">
      <c r="A281" s="165" t="s">
        <v>540</v>
      </c>
      <c r="B281" s="195" t="s">
        <v>448</v>
      </c>
      <c r="C281" s="195"/>
      <c r="D281" s="167"/>
      <c r="E281" s="348"/>
      <c r="F281" s="174"/>
      <c r="G281" s="196"/>
      <c r="H281" s="190"/>
    </row>
    <row r="282" spans="1:8">
      <c r="A282" s="166"/>
      <c r="B282" s="195" t="s">
        <v>410</v>
      </c>
      <c r="C282" s="195"/>
      <c r="D282" s="170" t="s">
        <v>380</v>
      </c>
      <c r="E282" s="347">
        <v>7.37</v>
      </c>
      <c r="F282" s="168">
        <v>0.01</v>
      </c>
      <c r="G282" s="196">
        <f t="shared" si="14"/>
        <v>7.3700000000000002E-2</v>
      </c>
      <c r="H282" s="190"/>
    </row>
    <row r="283" spans="1:8">
      <c r="A283" s="166"/>
      <c r="B283" s="195" t="s">
        <v>541</v>
      </c>
      <c r="C283" s="195"/>
      <c r="D283" s="170" t="s">
        <v>395</v>
      </c>
      <c r="E283" s="347">
        <v>1.88</v>
      </c>
      <c r="F283" s="168">
        <v>5.0000000000000001E-3</v>
      </c>
      <c r="G283" s="196">
        <f t="shared" si="14"/>
        <v>9.4000000000000004E-3</v>
      </c>
      <c r="H283" s="190"/>
    </row>
    <row r="284" spans="1:8">
      <c r="A284" s="166"/>
      <c r="B284" s="195" t="s">
        <v>542</v>
      </c>
      <c r="C284" s="195"/>
      <c r="D284" s="170" t="s">
        <v>380</v>
      </c>
      <c r="E284" s="216">
        <v>1.31</v>
      </c>
      <c r="F284" s="168">
        <v>7.0000000000000007E-2</v>
      </c>
      <c r="G284" s="196">
        <f t="shared" si="14"/>
        <v>9.1700000000000018E-2</v>
      </c>
      <c r="H284" s="173"/>
    </row>
    <row r="285" spans="1:8">
      <c r="A285" s="165" t="s">
        <v>396</v>
      </c>
      <c r="B285" s="195" t="s">
        <v>448</v>
      </c>
      <c r="C285" s="195"/>
      <c r="D285" s="167"/>
      <c r="E285" s="348"/>
      <c r="F285" s="174"/>
      <c r="G285" s="196"/>
      <c r="H285" s="173"/>
    </row>
    <row r="286" spans="1:8">
      <c r="A286" s="166"/>
      <c r="B286" s="195" t="s">
        <v>397</v>
      </c>
      <c r="C286" s="195"/>
      <c r="D286" s="170" t="s">
        <v>380</v>
      </c>
      <c r="E286" s="189">
        <v>2.1800000000000002</v>
      </c>
      <c r="F286" s="168">
        <v>7.0000000000000007E-2</v>
      </c>
      <c r="G286" s="196">
        <f t="shared" si="14"/>
        <v>0.15260000000000001</v>
      </c>
      <c r="H286" s="190"/>
    </row>
    <row r="287" spans="1:8">
      <c r="A287" s="166"/>
      <c r="B287" s="195" t="s">
        <v>398</v>
      </c>
      <c r="C287" s="195"/>
      <c r="D287" s="170"/>
      <c r="E287" s="189"/>
      <c r="F287" s="168"/>
      <c r="G287" s="196"/>
      <c r="H287" s="190"/>
    </row>
    <row r="288" spans="1:8">
      <c r="A288" s="165" t="s">
        <v>432</v>
      </c>
      <c r="B288" s="195" t="s">
        <v>448</v>
      </c>
      <c r="C288" s="195"/>
      <c r="D288" s="167"/>
      <c r="E288" s="348"/>
      <c r="F288" s="174"/>
      <c r="G288" s="196"/>
      <c r="H288" s="190"/>
    </row>
    <row r="289" spans="1:8">
      <c r="A289" s="166"/>
      <c r="B289" s="195" t="s">
        <v>433</v>
      </c>
      <c r="C289" s="195"/>
      <c r="D289" s="170" t="s">
        <v>380</v>
      </c>
      <c r="E289" s="189">
        <v>3.39</v>
      </c>
      <c r="F289" s="168">
        <v>0.04</v>
      </c>
      <c r="G289" s="196">
        <f t="shared" si="14"/>
        <v>0.1356</v>
      </c>
      <c r="H289" s="190"/>
    </row>
    <row r="290" spans="1:8">
      <c r="A290" s="165" t="s">
        <v>543</v>
      </c>
      <c r="B290" s="195" t="s">
        <v>448</v>
      </c>
      <c r="C290" s="195"/>
      <c r="D290" s="167"/>
      <c r="E290" s="347"/>
      <c r="F290" s="174"/>
      <c r="G290" s="196"/>
      <c r="H290" s="173"/>
    </row>
    <row r="291" spans="1:8">
      <c r="A291" s="166"/>
      <c r="B291" s="195" t="s">
        <v>544</v>
      </c>
      <c r="C291" s="195"/>
      <c r="D291" s="170" t="s">
        <v>380</v>
      </c>
      <c r="E291" s="347">
        <v>0.99</v>
      </c>
      <c r="F291" s="168">
        <v>0.05</v>
      </c>
      <c r="G291" s="196">
        <f t="shared" si="14"/>
        <v>4.9500000000000002E-2</v>
      </c>
      <c r="H291" s="173"/>
    </row>
    <row r="292" spans="1:8">
      <c r="A292" s="166"/>
      <c r="B292" s="195" t="s">
        <v>403</v>
      </c>
      <c r="C292" s="195"/>
      <c r="D292" s="170" t="s">
        <v>380</v>
      </c>
      <c r="E292" s="189">
        <v>1.25</v>
      </c>
      <c r="F292" s="168">
        <v>7.0000000000000007E-2</v>
      </c>
      <c r="G292" s="196">
        <f t="shared" si="14"/>
        <v>8.7500000000000008E-2</v>
      </c>
      <c r="H292" s="173"/>
    </row>
    <row r="293" spans="1:8">
      <c r="A293" s="166"/>
      <c r="B293" s="195" t="s">
        <v>545</v>
      </c>
      <c r="C293" s="195"/>
      <c r="D293" s="170" t="s">
        <v>380</v>
      </c>
      <c r="E293" s="216">
        <v>24.01</v>
      </c>
      <c r="F293" s="168">
        <v>2.0000000000000001E-4</v>
      </c>
      <c r="G293" s="196">
        <f t="shared" si="14"/>
        <v>4.8020000000000007E-3</v>
      </c>
      <c r="H293" s="190"/>
    </row>
    <row r="294" spans="1:8">
      <c r="A294" s="165" t="s">
        <v>546</v>
      </c>
      <c r="B294" s="195" t="s">
        <v>448</v>
      </c>
      <c r="C294" s="195"/>
      <c r="D294" s="167"/>
      <c r="E294" s="348"/>
      <c r="F294" s="174"/>
      <c r="G294" s="196"/>
      <c r="H294" s="190"/>
    </row>
    <row r="295" spans="1:8">
      <c r="A295" s="166"/>
      <c r="B295" s="195" t="s">
        <v>547</v>
      </c>
      <c r="C295" s="195"/>
      <c r="D295" s="170" t="s">
        <v>380</v>
      </c>
      <c r="E295" s="216">
        <v>1.06</v>
      </c>
      <c r="F295" s="168">
        <v>0.15</v>
      </c>
      <c r="G295" s="196">
        <f t="shared" si="14"/>
        <v>0.159</v>
      </c>
      <c r="H295" s="190"/>
    </row>
    <row r="296" spans="1:8">
      <c r="A296" s="165" t="s">
        <v>548</v>
      </c>
      <c r="B296" s="195" t="s">
        <v>448</v>
      </c>
      <c r="C296" s="195"/>
      <c r="D296" s="167"/>
      <c r="E296" s="347"/>
      <c r="F296" s="174"/>
      <c r="G296" s="196"/>
      <c r="H296" s="173"/>
    </row>
    <row r="297" spans="1:8">
      <c r="A297" s="166"/>
      <c r="B297" s="195" t="s">
        <v>549</v>
      </c>
      <c r="C297" s="195"/>
      <c r="D297" s="170" t="s">
        <v>380</v>
      </c>
      <c r="E297" s="216">
        <v>13.77</v>
      </c>
      <c r="F297" s="168">
        <v>8.9999999999999993E-3</v>
      </c>
      <c r="G297" s="196">
        <f t="shared" si="14"/>
        <v>0.12392999999999998</v>
      </c>
      <c r="H297" s="190"/>
    </row>
    <row r="298" spans="1:8">
      <c r="A298" s="166"/>
      <c r="B298" s="195" t="s">
        <v>409</v>
      </c>
      <c r="C298" s="195"/>
      <c r="D298" s="170" t="s">
        <v>380</v>
      </c>
      <c r="E298" s="223">
        <v>1.52</v>
      </c>
      <c r="F298" s="168">
        <v>0.02</v>
      </c>
      <c r="G298" s="196">
        <f t="shared" si="14"/>
        <v>3.04E-2</v>
      </c>
      <c r="H298" s="190"/>
    </row>
    <row r="299" spans="1:8">
      <c r="A299" s="166" t="s">
        <v>367</v>
      </c>
      <c r="B299" s="165"/>
      <c r="C299" s="165"/>
      <c r="D299" s="170"/>
      <c r="E299" s="189"/>
      <c r="F299" s="168"/>
      <c r="G299" s="196"/>
      <c r="H299" s="173"/>
    </row>
    <row r="300" spans="1:8" s="13" customFormat="1">
      <c r="A300" s="165"/>
      <c r="B300" s="165" t="s">
        <v>410</v>
      </c>
      <c r="C300" s="165"/>
      <c r="D300" s="176" t="s">
        <v>380</v>
      </c>
      <c r="E300" s="345">
        <v>7.37</v>
      </c>
      <c r="F300" s="177">
        <v>2.385E-3</v>
      </c>
      <c r="G300" s="178">
        <f t="shared" ref="G300:G307" si="15">F300*E300</f>
        <v>1.7577450000000001E-2</v>
      </c>
      <c r="H300" s="173"/>
    </row>
    <row r="301" spans="1:8" s="13" customFormat="1">
      <c r="A301" s="179"/>
      <c r="B301" s="179" t="s">
        <v>463</v>
      </c>
      <c r="C301" s="179"/>
      <c r="D301" s="176" t="s">
        <v>380</v>
      </c>
      <c r="E301" s="345">
        <v>0.96</v>
      </c>
      <c r="F301" s="177">
        <v>4.9290899999999997E-3</v>
      </c>
      <c r="G301" s="178">
        <f t="shared" si="15"/>
        <v>4.7319263999999993E-3</v>
      </c>
      <c r="H301" s="173"/>
    </row>
    <row r="302" spans="1:8" s="13" customFormat="1">
      <c r="A302" s="179"/>
      <c r="B302" s="179" t="s">
        <v>411</v>
      </c>
      <c r="C302" s="179"/>
      <c r="D302" s="176" t="s">
        <v>395</v>
      </c>
      <c r="E302" s="225">
        <v>1.65</v>
      </c>
      <c r="F302" s="177">
        <v>0.01</v>
      </c>
      <c r="G302" s="178">
        <f t="shared" si="15"/>
        <v>1.6500000000000001E-2</v>
      </c>
      <c r="H302" s="173"/>
    </row>
    <row r="303" spans="1:8" s="13" customFormat="1">
      <c r="A303" s="179"/>
      <c r="B303" s="179" t="s">
        <v>412</v>
      </c>
      <c r="C303" s="179"/>
      <c r="D303" s="176" t="s">
        <v>380</v>
      </c>
      <c r="E303" s="345">
        <v>0.55000000000000004</v>
      </c>
      <c r="F303" s="177">
        <v>7.1599999999999997E-3</v>
      </c>
      <c r="G303" s="178">
        <f t="shared" si="15"/>
        <v>3.9380000000000005E-3</v>
      </c>
      <c r="H303" s="173"/>
    </row>
    <row r="304" spans="1:8" s="13" customFormat="1">
      <c r="A304" s="179"/>
      <c r="B304" s="179" t="s">
        <v>413</v>
      </c>
      <c r="C304" s="179"/>
      <c r="D304" s="176" t="s">
        <v>414</v>
      </c>
      <c r="E304" s="225">
        <v>5.0000000000000001E-3</v>
      </c>
      <c r="F304" s="177">
        <v>0.95454499999999998</v>
      </c>
      <c r="G304" s="178">
        <f t="shared" si="15"/>
        <v>4.7727250000000002E-3</v>
      </c>
      <c r="H304" s="173"/>
    </row>
    <row r="305" spans="1:8" s="13" customFormat="1" ht="11.25" customHeight="1">
      <c r="A305" s="179"/>
      <c r="B305" s="179" t="s">
        <v>415</v>
      </c>
      <c r="C305" s="179"/>
      <c r="D305" s="176" t="s">
        <v>380</v>
      </c>
      <c r="E305" s="345">
        <v>3.08</v>
      </c>
      <c r="F305" s="177">
        <v>0.01</v>
      </c>
      <c r="G305" s="178">
        <f t="shared" si="15"/>
        <v>3.0800000000000001E-2</v>
      </c>
      <c r="H305" s="173"/>
    </row>
    <row r="306" spans="1:8" s="13" customFormat="1" ht="11.25" customHeight="1">
      <c r="A306" s="179"/>
      <c r="B306" s="179" t="s">
        <v>416</v>
      </c>
      <c r="C306" s="179"/>
      <c r="D306" s="176" t="s">
        <v>395</v>
      </c>
      <c r="E306" s="345">
        <v>2.85</v>
      </c>
      <c r="F306" s="177">
        <v>0.01</v>
      </c>
      <c r="G306" s="178">
        <f t="shared" si="15"/>
        <v>2.8500000000000001E-2</v>
      </c>
      <c r="H306" s="173"/>
    </row>
    <row r="307" spans="1:8" s="13" customFormat="1" ht="11.25" customHeight="1">
      <c r="A307" s="179"/>
      <c r="B307" s="179" t="s">
        <v>417</v>
      </c>
      <c r="C307" s="179"/>
      <c r="D307" s="176" t="s">
        <v>395</v>
      </c>
      <c r="E307" s="225">
        <v>16.940000000000001</v>
      </c>
      <c r="F307" s="177">
        <v>0.01</v>
      </c>
      <c r="G307" s="178">
        <f t="shared" si="15"/>
        <v>0.16940000000000002</v>
      </c>
      <c r="H307" s="173"/>
    </row>
    <row r="308" spans="1:8" s="13" customFormat="1" ht="11.25" customHeight="1">
      <c r="A308" s="180" t="s">
        <v>104</v>
      </c>
      <c r="B308" s="181"/>
      <c r="C308" s="181"/>
      <c r="D308" s="182"/>
      <c r="E308" s="346"/>
      <c r="F308" s="183"/>
      <c r="G308" s="198">
        <f>SUM(G275:G307)</f>
        <v>4.1974485014000011</v>
      </c>
      <c r="H308" s="191"/>
    </row>
    <row r="309" spans="1:8" s="13" customFormat="1">
      <c r="A309" s="150"/>
      <c r="B309" s="150"/>
      <c r="C309" s="150"/>
      <c r="D309" s="186"/>
      <c r="E309" s="186"/>
      <c r="F309" s="207"/>
      <c r="G309" s="186"/>
      <c r="H309" s="188"/>
    </row>
    <row r="310" spans="1:8" s="13" customFormat="1" ht="45">
      <c r="A310" s="399" t="s">
        <v>550</v>
      </c>
      <c r="B310" s="399"/>
      <c r="C310" s="399"/>
      <c r="D310" s="400" t="s">
        <v>376</v>
      </c>
      <c r="E310" s="400" t="s">
        <v>91</v>
      </c>
      <c r="F310" s="401" t="s">
        <v>92</v>
      </c>
      <c r="G310" s="402" t="s">
        <v>93</v>
      </c>
      <c r="H310" s="403" t="s">
        <v>377</v>
      </c>
    </row>
    <row r="311" spans="1:8" s="13" customFormat="1" ht="11.25" customHeight="1">
      <c r="A311" s="165" t="s">
        <v>551</v>
      </c>
      <c r="B311" s="166"/>
      <c r="C311" s="166"/>
      <c r="D311" s="167"/>
      <c r="E311" s="350"/>
      <c r="F311" s="174"/>
      <c r="G311" s="167"/>
      <c r="H311" s="190"/>
    </row>
    <row r="312" spans="1:8" ht="11.25" customHeight="1">
      <c r="A312" s="166"/>
      <c r="B312" s="195" t="s">
        <v>552</v>
      </c>
      <c r="C312" s="195"/>
      <c r="D312" s="170" t="s">
        <v>380</v>
      </c>
      <c r="E312" s="347">
        <v>14.05</v>
      </c>
      <c r="F312" s="168">
        <v>0.24</v>
      </c>
      <c r="G312" s="197">
        <f>F312*E312</f>
        <v>3.3719999999999999</v>
      </c>
      <c r="H312" s="190">
        <v>130</v>
      </c>
    </row>
    <row r="313" spans="1:8" s="150" customFormat="1" ht="11.25" customHeight="1">
      <c r="A313" s="166"/>
      <c r="B313" s="165" t="s">
        <v>492</v>
      </c>
      <c r="C313" s="165"/>
      <c r="D313" s="170" t="s">
        <v>395</v>
      </c>
      <c r="E313" s="347">
        <v>2.06</v>
      </c>
      <c r="F313" s="168">
        <v>0.01</v>
      </c>
      <c r="G313" s="197">
        <f>F313*E313</f>
        <v>2.06E-2</v>
      </c>
      <c r="H313" s="190"/>
    </row>
    <row r="314" spans="1:8" s="10" customFormat="1">
      <c r="A314" s="166"/>
      <c r="B314" s="195" t="s">
        <v>553</v>
      </c>
      <c r="C314" s="195"/>
      <c r="D314" s="170" t="s">
        <v>380</v>
      </c>
      <c r="E314" s="216">
        <v>1.54</v>
      </c>
      <c r="F314" s="168" t="s">
        <v>430</v>
      </c>
      <c r="G314" s="197">
        <f t="shared" ref="G314:G338" si="16">F314*E314</f>
        <v>3.0800000000000003E-3</v>
      </c>
      <c r="H314" s="190"/>
    </row>
    <row r="315" spans="1:8" ht="11.25" customHeight="1">
      <c r="A315" s="166"/>
      <c r="B315" s="195" t="s">
        <v>554</v>
      </c>
      <c r="C315" s="195"/>
      <c r="D315" s="170" t="s">
        <v>380</v>
      </c>
      <c r="E315" s="347">
        <v>1.2</v>
      </c>
      <c r="F315" s="168">
        <v>0.02</v>
      </c>
      <c r="G315" s="197">
        <f t="shared" si="16"/>
        <v>2.4E-2</v>
      </c>
      <c r="H315" s="190"/>
    </row>
    <row r="316" spans="1:8" ht="11.25" customHeight="1">
      <c r="A316" s="166"/>
      <c r="B316" s="195" t="s">
        <v>508</v>
      </c>
      <c r="C316" s="195"/>
      <c r="D316" s="170" t="s">
        <v>414</v>
      </c>
      <c r="E316" s="347">
        <v>0.21</v>
      </c>
      <c r="F316" s="168">
        <v>0.2</v>
      </c>
      <c r="G316" s="197">
        <f t="shared" si="16"/>
        <v>4.2000000000000003E-2</v>
      </c>
      <c r="H316" s="190"/>
    </row>
    <row r="317" spans="1:8" ht="11.25" customHeight="1">
      <c r="A317" s="166"/>
      <c r="B317" s="195" t="s">
        <v>555</v>
      </c>
      <c r="C317" s="195"/>
      <c r="D317" s="170" t="s">
        <v>380</v>
      </c>
      <c r="E317" s="216">
        <v>1.76</v>
      </c>
      <c r="F317" s="168">
        <v>0.04</v>
      </c>
      <c r="G317" s="197">
        <f t="shared" si="16"/>
        <v>7.0400000000000004E-2</v>
      </c>
      <c r="H317" s="190"/>
    </row>
    <row r="318" spans="1:8">
      <c r="A318" s="166"/>
      <c r="B318" s="195" t="s">
        <v>556</v>
      </c>
      <c r="C318" s="195"/>
      <c r="D318" s="170" t="s">
        <v>380</v>
      </c>
      <c r="E318" s="347">
        <v>1.8</v>
      </c>
      <c r="F318" s="168">
        <v>0.01</v>
      </c>
      <c r="G318" s="197">
        <f t="shared" si="16"/>
        <v>1.8000000000000002E-2</v>
      </c>
      <c r="H318" s="190"/>
    </row>
    <row r="319" spans="1:8" ht="11.25" customHeight="1">
      <c r="A319" s="166" t="s">
        <v>557</v>
      </c>
      <c r="B319" s="195" t="s">
        <v>487</v>
      </c>
      <c r="C319" s="195"/>
      <c r="D319" s="167"/>
      <c r="E319" s="348"/>
      <c r="F319" s="174"/>
      <c r="G319" s="197"/>
      <c r="H319" s="190"/>
    </row>
    <row r="320" spans="1:8" ht="11.25" customHeight="1">
      <c r="A320" s="166"/>
      <c r="B320" s="165" t="s">
        <v>492</v>
      </c>
      <c r="C320" s="165"/>
      <c r="D320" s="170" t="s">
        <v>395</v>
      </c>
      <c r="E320" s="347">
        <v>2.06</v>
      </c>
      <c r="F320" s="168">
        <v>0.04</v>
      </c>
      <c r="G320" s="197">
        <f>F320*E320</f>
        <v>8.2400000000000001E-2</v>
      </c>
      <c r="H320" s="190"/>
    </row>
    <row r="321" spans="1:8" ht="11.25" customHeight="1">
      <c r="A321" s="166"/>
      <c r="B321" s="195" t="s">
        <v>488</v>
      </c>
      <c r="C321" s="195"/>
      <c r="D321" s="170" t="s">
        <v>380</v>
      </c>
      <c r="E321" s="347">
        <v>4.45</v>
      </c>
      <c r="F321" s="168" t="s">
        <v>385</v>
      </c>
      <c r="G321" s="197">
        <f t="shared" si="16"/>
        <v>2.2250000000000002E-2</v>
      </c>
      <c r="H321" s="190"/>
    </row>
    <row r="322" spans="1:8" ht="11.25" customHeight="1">
      <c r="A322" s="166"/>
      <c r="B322" s="195" t="s">
        <v>558</v>
      </c>
      <c r="C322" s="195"/>
      <c r="D322" s="170" t="s">
        <v>380</v>
      </c>
      <c r="E322" s="347">
        <v>1.48</v>
      </c>
      <c r="F322" s="168" t="s">
        <v>559</v>
      </c>
      <c r="G322" s="197">
        <f t="shared" si="16"/>
        <v>0.17759999999999998</v>
      </c>
      <c r="H322" s="190"/>
    </row>
    <row r="323" spans="1:8">
      <c r="A323" s="166"/>
      <c r="B323" s="195" t="s">
        <v>463</v>
      </c>
      <c r="C323" s="195"/>
      <c r="D323" s="170" t="s">
        <v>380</v>
      </c>
      <c r="E323" s="347">
        <v>0.96</v>
      </c>
      <c r="F323" s="168" t="s">
        <v>385</v>
      </c>
      <c r="G323" s="197">
        <f t="shared" si="16"/>
        <v>4.7999999999999996E-3</v>
      </c>
      <c r="H323" s="190"/>
    </row>
    <row r="324" spans="1:8">
      <c r="A324" s="166"/>
      <c r="B324" s="195" t="s">
        <v>423</v>
      </c>
      <c r="C324" s="195"/>
      <c r="D324" s="170" t="s">
        <v>380</v>
      </c>
      <c r="E324" s="347">
        <v>1.8</v>
      </c>
      <c r="F324" s="168">
        <v>5.0000000000000001E-3</v>
      </c>
      <c r="G324" s="197">
        <f t="shared" si="16"/>
        <v>9.0000000000000011E-3</v>
      </c>
      <c r="H324" s="190"/>
    </row>
    <row r="325" spans="1:8">
      <c r="A325" s="165" t="s">
        <v>396</v>
      </c>
      <c r="B325" s="195" t="s">
        <v>487</v>
      </c>
      <c r="C325" s="195"/>
      <c r="D325" s="167"/>
      <c r="E325" s="348"/>
      <c r="F325" s="174"/>
      <c r="G325" s="197"/>
      <c r="H325" s="190"/>
    </row>
    <row r="326" spans="1:8">
      <c r="A326" s="166"/>
      <c r="B326" s="195" t="s">
        <v>397</v>
      </c>
      <c r="C326" s="195"/>
      <c r="D326" s="170" t="s">
        <v>380</v>
      </c>
      <c r="E326" s="189">
        <v>2.1800000000000002</v>
      </c>
      <c r="F326" s="168">
        <v>7.0000000000000007E-2</v>
      </c>
      <c r="G326" s="197">
        <f t="shared" si="16"/>
        <v>0.15260000000000001</v>
      </c>
      <c r="H326" s="190"/>
    </row>
    <row r="327" spans="1:8">
      <c r="A327" s="166"/>
      <c r="B327" s="195" t="s">
        <v>398</v>
      </c>
      <c r="C327" s="195"/>
      <c r="D327" s="170"/>
      <c r="E327" s="189"/>
      <c r="F327" s="168"/>
      <c r="G327" s="197"/>
      <c r="H327" s="190"/>
    </row>
    <row r="328" spans="1:8">
      <c r="A328" s="165" t="s">
        <v>432</v>
      </c>
      <c r="B328" s="195" t="s">
        <v>487</v>
      </c>
      <c r="C328" s="195"/>
      <c r="D328" s="167"/>
      <c r="E328" s="348"/>
      <c r="F328" s="174"/>
      <c r="G328" s="197"/>
      <c r="H328" s="190"/>
    </row>
    <row r="329" spans="1:8">
      <c r="A329" s="166"/>
      <c r="B329" s="195" t="s">
        <v>433</v>
      </c>
      <c r="C329" s="195"/>
      <c r="D329" s="170" t="s">
        <v>380</v>
      </c>
      <c r="E329" s="189">
        <v>3.39</v>
      </c>
      <c r="F329" s="168">
        <v>0.04</v>
      </c>
      <c r="G329" s="197">
        <f t="shared" si="16"/>
        <v>0.1356</v>
      </c>
      <c r="H329" s="190"/>
    </row>
    <row r="330" spans="1:8">
      <c r="A330" s="166" t="s">
        <v>560</v>
      </c>
      <c r="B330" s="195" t="s">
        <v>487</v>
      </c>
      <c r="C330" s="195"/>
      <c r="D330" s="167"/>
      <c r="E330" s="348"/>
      <c r="F330" s="174"/>
      <c r="G330" s="197"/>
      <c r="H330" s="190"/>
    </row>
    <row r="331" spans="1:8">
      <c r="A331" s="166"/>
      <c r="B331" s="195" t="s">
        <v>561</v>
      </c>
      <c r="C331" s="195"/>
      <c r="D331" s="170" t="s">
        <v>380</v>
      </c>
      <c r="E331" s="216">
        <v>0.88</v>
      </c>
      <c r="F331" s="168">
        <v>2.8000000000000001E-2</v>
      </c>
      <c r="G331" s="197">
        <f t="shared" si="16"/>
        <v>2.4640000000000002E-2</v>
      </c>
      <c r="H331" s="190"/>
    </row>
    <row r="332" spans="1:8">
      <c r="A332" s="166"/>
      <c r="B332" s="195" t="s">
        <v>403</v>
      </c>
      <c r="C332" s="195"/>
      <c r="D332" s="170" t="s">
        <v>380</v>
      </c>
      <c r="E332" s="189">
        <v>1.25</v>
      </c>
      <c r="F332" s="168" t="s">
        <v>404</v>
      </c>
      <c r="G332" s="149">
        <f t="shared" si="16"/>
        <v>8.7500000000000008E-2</v>
      </c>
      <c r="H332" s="173"/>
    </row>
    <row r="333" spans="1:8">
      <c r="A333" s="166"/>
      <c r="B333" s="195"/>
      <c r="C333" s="195"/>
      <c r="D333" s="170"/>
      <c r="E333" s="347"/>
      <c r="F333" s="168"/>
      <c r="G333" s="197"/>
      <c r="H333" s="190"/>
    </row>
    <row r="334" spans="1:8">
      <c r="A334" s="165" t="s">
        <v>406</v>
      </c>
      <c r="B334" s="195" t="s">
        <v>487</v>
      </c>
      <c r="C334" s="195"/>
      <c r="D334" s="167"/>
      <c r="E334" s="348"/>
      <c r="F334" s="174"/>
      <c r="G334" s="197"/>
      <c r="H334" s="190"/>
    </row>
    <row r="335" spans="1:8">
      <c r="A335" s="166"/>
      <c r="B335" s="195" t="s">
        <v>406</v>
      </c>
      <c r="C335" s="195"/>
      <c r="D335" s="170" t="s">
        <v>380</v>
      </c>
      <c r="E335" s="348">
        <v>1.17</v>
      </c>
      <c r="F335" s="168">
        <v>0.15</v>
      </c>
      <c r="G335" s="197">
        <f t="shared" si="16"/>
        <v>0.17549999999999999</v>
      </c>
      <c r="H335" s="190"/>
    </row>
    <row r="336" spans="1:8">
      <c r="A336" s="165" t="s">
        <v>562</v>
      </c>
      <c r="B336" s="195" t="s">
        <v>487</v>
      </c>
      <c r="C336" s="195"/>
      <c r="D336" s="167"/>
      <c r="E336" s="348"/>
      <c r="F336" s="174"/>
      <c r="G336" s="197"/>
      <c r="H336" s="190"/>
    </row>
    <row r="337" spans="1:8">
      <c r="A337" s="166"/>
      <c r="B337" s="195" t="s">
        <v>500</v>
      </c>
      <c r="C337" s="195"/>
      <c r="D337" s="170" t="s">
        <v>563</v>
      </c>
      <c r="E337" s="216">
        <v>9.6999999999999993</v>
      </c>
      <c r="F337" s="168">
        <v>8.9999999999999993E-3</v>
      </c>
      <c r="G337" s="197">
        <f t="shared" si="16"/>
        <v>8.7299999999999989E-2</v>
      </c>
      <c r="H337" s="190"/>
    </row>
    <row r="338" spans="1:8">
      <c r="A338" s="166"/>
      <c r="B338" s="195" t="s">
        <v>515</v>
      </c>
      <c r="C338" s="195"/>
      <c r="D338" s="170" t="s">
        <v>380</v>
      </c>
      <c r="E338" s="223">
        <v>1.52</v>
      </c>
      <c r="F338" s="168">
        <v>0.02</v>
      </c>
      <c r="G338" s="197">
        <f t="shared" si="16"/>
        <v>3.04E-2</v>
      </c>
      <c r="H338" s="190"/>
    </row>
    <row r="339" spans="1:8">
      <c r="A339" s="166" t="s">
        <v>367</v>
      </c>
      <c r="B339" s="165"/>
      <c r="C339" s="165"/>
      <c r="D339" s="170"/>
      <c r="E339" s="189"/>
      <c r="F339" s="168"/>
      <c r="G339" s="197"/>
      <c r="H339" s="173"/>
    </row>
    <row r="340" spans="1:8">
      <c r="A340" s="165"/>
      <c r="B340" s="165" t="s">
        <v>410</v>
      </c>
      <c r="C340" s="165"/>
      <c r="D340" s="176" t="s">
        <v>380</v>
      </c>
      <c r="E340" s="345">
        <v>7.37</v>
      </c>
      <c r="F340" s="177">
        <v>2.385E-3</v>
      </c>
      <c r="G340" s="178">
        <f t="shared" ref="G340:G347" si="17">F340*E340</f>
        <v>1.7577450000000001E-2</v>
      </c>
      <c r="H340" s="173"/>
    </row>
    <row r="341" spans="1:8">
      <c r="A341" s="179"/>
      <c r="B341" s="179" t="s">
        <v>382</v>
      </c>
      <c r="C341" s="179"/>
      <c r="D341" s="176" t="s">
        <v>380</v>
      </c>
      <c r="E341" s="345">
        <v>0.96</v>
      </c>
      <c r="F341" s="177">
        <v>4.9290899999999997E-3</v>
      </c>
      <c r="G341" s="178">
        <f t="shared" si="17"/>
        <v>4.7319263999999993E-3</v>
      </c>
      <c r="H341" s="173"/>
    </row>
    <row r="342" spans="1:8">
      <c r="A342" s="179"/>
      <c r="B342" s="179" t="s">
        <v>411</v>
      </c>
      <c r="C342" s="179"/>
      <c r="D342" s="176" t="s">
        <v>395</v>
      </c>
      <c r="E342" s="225">
        <v>1.65</v>
      </c>
      <c r="F342" s="177">
        <v>0.01</v>
      </c>
      <c r="G342" s="178">
        <f t="shared" si="17"/>
        <v>1.6500000000000001E-2</v>
      </c>
      <c r="H342" s="173"/>
    </row>
    <row r="343" spans="1:8" s="13" customFormat="1">
      <c r="A343" s="179"/>
      <c r="B343" s="179" t="s">
        <v>412</v>
      </c>
      <c r="C343" s="179"/>
      <c r="D343" s="176" t="s">
        <v>380</v>
      </c>
      <c r="E343" s="345">
        <v>0.55000000000000004</v>
      </c>
      <c r="F343" s="177">
        <v>7.1599999999999997E-3</v>
      </c>
      <c r="G343" s="178">
        <f t="shared" si="17"/>
        <v>3.9380000000000005E-3</v>
      </c>
      <c r="H343" s="173"/>
    </row>
    <row r="344" spans="1:8" s="13" customFormat="1">
      <c r="A344" s="179"/>
      <c r="B344" s="179" t="s">
        <v>413</v>
      </c>
      <c r="C344" s="179"/>
      <c r="D344" s="176" t="s">
        <v>414</v>
      </c>
      <c r="E344" s="225">
        <v>5.0000000000000001E-3</v>
      </c>
      <c r="F344" s="177">
        <v>0.95454499999999998</v>
      </c>
      <c r="G344" s="178">
        <f t="shared" si="17"/>
        <v>4.7727250000000002E-3</v>
      </c>
      <c r="H344" s="173"/>
    </row>
    <row r="345" spans="1:8" s="13" customFormat="1">
      <c r="A345" s="179"/>
      <c r="B345" s="179" t="s">
        <v>415</v>
      </c>
      <c r="C345" s="179"/>
      <c r="D345" s="176" t="s">
        <v>380</v>
      </c>
      <c r="E345" s="345">
        <v>3.08</v>
      </c>
      <c r="F345" s="177">
        <v>0.01</v>
      </c>
      <c r="G345" s="178">
        <f t="shared" si="17"/>
        <v>3.0800000000000001E-2</v>
      </c>
      <c r="H345" s="173"/>
    </row>
    <row r="346" spans="1:8" s="13" customFormat="1">
      <c r="A346" s="179"/>
      <c r="B346" s="179" t="s">
        <v>416</v>
      </c>
      <c r="C346" s="179"/>
      <c r="D346" s="176" t="s">
        <v>395</v>
      </c>
      <c r="E346" s="345">
        <v>2.85</v>
      </c>
      <c r="F346" s="177">
        <v>0.01</v>
      </c>
      <c r="G346" s="178">
        <f t="shared" si="17"/>
        <v>2.8500000000000001E-2</v>
      </c>
      <c r="H346" s="173"/>
    </row>
    <row r="347" spans="1:8" s="13" customFormat="1">
      <c r="A347" s="179"/>
      <c r="B347" s="179" t="s">
        <v>417</v>
      </c>
      <c r="C347" s="179"/>
      <c r="D347" s="176" t="s">
        <v>395</v>
      </c>
      <c r="E347" s="225">
        <v>16.940000000000001</v>
      </c>
      <c r="F347" s="177">
        <v>0.01</v>
      </c>
      <c r="G347" s="178">
        <f t="shared" si="17"/>
        <v>0.16940000000000002</v>
      </c>
      <c r="H347" s="211"/>
    </row>
    <row r="348" spans="1:8" s="13" customFormat="1">
      <c r="A348" s="180" t="s">
        <v>564</v>
      </c>
      <c r="B348" s="181"/>
      <c r="C348" s="181"/>
      <c r="D348" s="182"/>
      <c r="E348" s="346"/>
      <c r="F348" s="183"/>
      <c r="G348" s="198">
        <f>SUM(G312:G347)</f>
        <v>4.8158901014</v>
      </c>
      <c r="H348" s="191"/>
    </row>
    <row r="349" spans="1:8" s="13" customFormat="1">
      <c r="A349" s="205"/>
      <c r="B349" s="150"/>
      <c r="C349" s="150"/>
      <c r="D349" s="206"/>
      <c r="E349" s="186"/>
      <c r="F349" s="187"/>
      <c r="G349" s="186"/>
      <c r="H349" s="203"/>
    </row>
    <row r="350" spans="1:8" s="13" customFormat="1" ht="45">
      <c r="A350" s="399" t="s">
        <v>105</v>
      </c>
      <c r="B350" s="399"/>
      <c r="C350" s="399"/>
      <c r="D350" s="400" t="s">
        <v>376</v>
      </c>
      <c r="E350" s="400" t="s">
        <v>91</v>
      </c>
      <c r="F350" s="401" t="s">
        <v>92</v>
      </c>
      <c r="G350" s="402" t="s">
        <v>93</v>
      </c>
      <c r="H350" s="403" t="s">
        <v>377</v>
      </c>
    </row>
    <row r="351" spans="1:8" s="13" customFormat="1" ht="18.75" customHeight="1">
      <c r="A351" s="165" t="s">
        <v>565</v>
      </c>
      <c r="B351" s="166"/>
      <c r="C351" s="166"/>
      <c r="D351" s="167"/>
      <c r="E351" s="343"/>
      <c r="F351" s="174"/>
      <c r="G351" s="167"/>
      <c r="H351" s="190"/>
    </row>
    <row r="352" spans="1:8" s="13" customFormat="1">
      <c r="A352" s="166"/>
      <c r="B352" s="195" t="s">
        <v>445</v>
      </c>
      <c r="C352" s="195"/>
      <c r="D352" s="170" t="s">
        <v>380</v>
      </c>
      <c r="E352" s="347">
        <v>14.17</v>
      </c>
      <c r="F352" s="168">
        <v>0.2</v>
      </c>
      <c r="G352" s="197">
        <f>F352*E352</f>
        <v>2.8340000000000001</v>
      </c>
      <c r="H352" s="190">
        <v>120</v>
      </c>
    </row>
    <row r="353" spans="1:8" s="13" customFormat="1">
      <c r="A353" s="166"/>
      <c r="B353" s="195" t="s">
        <v>566</v>
      </c>
      <c r="C353" s="195"/>
      <c r="D353" s="170" t="s">
        <v>380</v>
      </c>
      <c r="E353" s="347">
        <v>7.99</v>
      </c>
      <c r="F353" s="168">
        <v>3.5000000000000003E-2</v>
      </c>
      <c r="G353" s="197">
        <f t="shared" ref="G353:G373" si="18">F353*E353</f>
        <v>0.27965000000000001</v>
      </c>
      <c r="H353" s="190">
        <v>30</v>
      </c>
    </row>
    <row r="354" spans="1:8" s="13" customFormat="1" ht="15.75" customHeight="1">
      <c r="A354" s="166"/>
      <c r="B354" s="195" t="s">
        <v>463</v>
      </c>
      <c r="C354" s="195"/>
      <c r="D354" s="170" t="s">
        <v>380</v>
      </c>
      <c r="E354" s="347">
        <v>0.96</v>
      </c>
      <c r="F354" s="168" t="s">
        <v>385</v>
      </c>
      <c r="G354" s="197">
        <f t="shared" si="18"/>
        <v>4.7999999999999996E-3</v>
      </c>
      <c r="H354" s="190"/>
    </row>
    <row r="355" spans="1:8">
      <c r="A355" s="166"/>
      <c r="B355" s="195" t="s">
        <v>503</v>
      </c>
      <c r="C355" s="195"/>
      <c r="D355" s="170" t="s">
        <v>380</v>
      </c>
      <c r="E355" s="347">
        <v>1.87</v>
      </c>
      <c r="F355" s="168" t="s">
        <v>393</v>
      </c>
      <c r="G355" s="197">
        <f t="shared" si="18"/>
        <v>3.7400000000000003E-2</v>
      </c>
      <c r="H355" s="190"/>
    </row>
    <row r="356" spans="1:8" s="150" customFormat="1">
      <c r="A356" s="166"/>
      <c r="B356" s="195" t="s">
        <v>505</v>
      </c>
      <c r="C356" s="195"/>
      <c r="D356" s="170" t="s">
        <v>380</v>
      </c>
      <c r="E356" s="216">
        <v>3.21</v>
      </c>
      <c r="F356" s="168" t="s">
        <v>385</v>
      </c>
      <c r="G356" s="197">
        <f t="shared" si="18"/>
        <v>1.6050000000000002E-2</v>
      </c>
      <c r="H356" s="190"/>
    </row>
    <row r="357" spans="1:8" s="10" customFormat="1">
      <c r="A357" s="165" t="s">
        <v>567</v>
      </c>
      <c r="B357" s="195" t="s">
        <v>448</v>
      </c>
      <c r="C357" s="195"/>
      <c r="D357" s="167"/>
      <c r="E357" s="348"/>
      <c r="F357" s="174"/>
      <c r="G357" s="197"/>
      <c r="H357" s="190"/>
    </row>
    <row r="358" spans="1:8">
      <c r="A358" s="166"/>
      <c r="B358" s="195" t="s">
        <v>388</v>
      </c>
      <c r="C358" s="195"/>
      <c r="D358" s="170" t="s">
        <v>380</v>
      </c>
      <c r="E358" s="216">
        <v>2.63</v>
      </c>
      <c r="F358" s="168">
        <v>2E-3</v>
      </c>
      <c r="G358" s="197">
        <f t="shared" si="18"/>
        <v>5.2599999999999999E-3</v>
      </c>
      <c r="H358" s="190"/>
    </row>
    <row r="359" spans="1:8">
      <c r="A359" s="166"/>
      <c r="B359" s="195" t="s">
        <v>568</v>
      </c>
      <c r="C359" s="195"/>
      <c r="D359" s="170" t="s">
        <v>380</v>
      </c>
      <c r="E359" s="347">
        <v>0.77</v>
      </c>
      <c r="F359" s="168">
        <v>0.13</v>
      </c>
      <c r="G359" s="197">
        <f t="shared" si="18"/>
        <v>0.10010000000000001</v>
      </c>
      <c r="H359" s="190">
        <v>130</v>
      </c>
    </row>
    <row r="360" spans="1:8">
      <c r="A360" s="165" t="s">
        <v>396</v>
      </c>
      <c r="B360" s="195" t="s">
        <v>448</v>
      </c>
      <c r="C360" s="195"/>
      <c r="D360" s="167"/>
      <c r="E360" s="348"/>
      <c r="F360" s="174"/>
      <c r="G360" s="197"/>
      <c r="H360" s="190"/>
    </row>
    <row r="361" spans="1:8">
      <c r="A361" s="166"/>
      <c r="B361" s="195" t="s">
        <v>397</v>
      </c>
      <c r="C361" s="195"/>
      <c r="D361" s="170" t="s">
        <v>380</v>
      </c>
      <c r="E361" s="189">
        <v>2.1800000000000002</v>
      </c>
      <c r="F361" s="168">
        <v>7.0000000000000007E-2</v>
      </c>
      <c r="G361" s="197">
        <f t="shared" si="18"/>
        <v>0.15260000000000001</v>
      </c>
      <c r="H361" s="190"/>
    </row>
    <row r="362" spans="1:8">
      <c r="A362" s="166"/>
      <c r="B362" s="195" t="s">
        <v>398</v>
      </c>
      <c r="C362" s="195"/>
      <c r="D362" s="170"/>
      <c r="E362" s="189"/>
      <c r="F362" s="168"/>
      <c r="G362" s="197"/>
      <c r="H362" s="190"/>
    </row>
    <row r="363" spans="1:8">
      <c r="A363" s="165" t="s">
        <v>432</v>
      </c>
      <c r="B363" s="195" t="s">
        <v>448</v>
      </c>
      <c r="C363" s="195"/>
      <c r="D363" s="167"/>
      <c r="E363" s="348"/>
      <c r="F363" s="174"/>
      <c r="G363" s="197"/>
      <c r="H363" s="190"/>
    </row>
    <row r="364" spans="1:8">
      <c r="A364" s="166"/>
      <c r="B364" s="195" t="s">
        <v>433</v>
      </c>
      <c r="C364" s="195"/>
      <c r="D364" s="170" t="s">
        <v>380</v>
      </c>
      <c r="E364" s="189">
        <v>3.39</v>
      </c>
      <c r="F364" s="168">
        <v>0.04</v>
      </c>
      <c r="G364" s="197">
        <f t="shared" si="18"/>
        <v>0.1356</v>
      </c>
      <c r="H364" s="190"/>
    </row>
    <row r="365" spans="1:8">
      <c r="A365" s="165" t="s">
        <v>569</v>
      </c>
      <c r="B365" s="195" t="s">
        <v>448</v>
      </c>
      <c r="C365" s="195"/>
      <c r="D365" s="167"/>
      <c r="E365" s="348"/>
      <c r="F365" s="174"/>
      <c r="G365" s="197"/>
      <c r="H365" s="190"/>
    </row>
    <row r="366" spans="1:8">
      <c r="A366" s="166"/>
      <c r="B366" s="195" t="s">
        <v>402</v>
      </c>
      <c r="C366" s="195"/>
      <c r="D366" s="170" t="s">
        <v>380</v>
      </c>
      <c r="E366" s="216">
        <v>0.83</v>
      </c>
      <c r="F366" s="168">
        <v>2.8000000000000001E-2</v>
      </c>
      <c r="G366" s="197">
        <f t="shared" si="18"/>
        <v>2.324E-2</v>
      </c>
      <c r="H366" s="190"/>
    </row>
    <row r="367" spans="1:8">
      <c r="A367" s="166"/>
      <c r="B367" s="195" t="s">
        <v>570</v>
      </c>
      <c r="C367" s="195"/>
      <c r="D367" s="170" t="s">
        <v>380</v>
      </c>
      <c r="E367" s="189">
        <v>1.25</v>
      </c>
      <c r="F367" s="168">
        <v>7.0000000000000007E-2</v>
      </c>
      <c r="G367" s="197">
        <f t="shared" si="18"/>
        <v>8.7500000000000008E-2</v>
      </c>
      <c r="H367" s="173"/>
    </row>
    <row r="368" spans="1:8">
      <c r="A368" s="166"/>
      <c r="B368" s="195" t="s">
        <v>571</v>
      </c>
      <c r="C368" s="195"/>
      <c r="D368" s="170" t="s">
        <v>380</v>
      </c>
      <c r="E368" s="216">
        <v>6.08</v>
      </c>
      <c r="F368" s="168">
        <v>0.01</v>
      </c>
      <c r="G368" s="197">
        <f t="shared" si="18"/>
        <v>6.08E-2</v>
      </c>
      <c r="H368" s="190"/>
    </row>
    <row r="369" spans="1:8">
      <c r="A369" s="165" t="s">
        <v>572</v>
      </c>
      <c r="B369" s="195" t="s">
        <v>448</v>
      </c>
      <c r="C369" s="195"/>
      <c r="D369" s="167"/>
      <c r="E369" s="348"/>
      <c r="F369" s="174"/>
      <c r="G369" s="197">
        <f t="shared" si="18"/>
        <v>0</v>
      </c>
      <c r="H369" s="190"/>
    </row>
    <row r="370" spans="1:8">
      <c r="A370" s="166"/>
      <c r="B370" s="195" t="s">
        <v>573</v>
      </c>
      <c r="C370" s="195"/>
      <c r="D370" s="170" t="s">
        <v>380</v>
      </c>
      <c r="E370" s="216">
        <v>2.12</v>
      </c>
      <c r="F370" s="168">
        <v>0.15</v>
      </c>
      <c r="G370" s="197">
        <f t="shared" si="18"/>
        <v>0.318</v>
      </c>
      <c r="H370" s="190"/>
    </row>
    <row r="371" spans="1:8">
      <c r="A371" s="165" t="s">
        <v>574</v>
      </c>
      <c r="B371" s="195" t="s">
        <v>448</v>
      </c>
      <c r="C371" s="195"/>
      <c r="D371" s="167"/>
      <c r="E371" s="348"/>
      <c r="F371" s="174"/>
      <c r="G371" s="197">
        <f t="shared" si="18"/>
        <v>0</v>
      </c>
      <c r="H371" s="190"/>
    </row>
    <row r="372" spans="1:8">
      <c r="A372" s="166"/>
      <c r="B372" s="195" t="s">
        <v>575</v>
      </c>
      <c r="C372" s="195"/>
      <c r="D372" s="170" t="s">
        <v>380</v>
      </c>
      <c r="E372" s="216">
        <v>11.9</v>
      </c>
      <c r="F372" s="168">
        <v>8.9999999999999993E-3</v>
      </c>
      <c r="G372" s="197">
        <f t="shared" si="18"/>
        <v>0.1071</v>
      </c>
      <c r="H372" s="190"/>
    </row>
    <row r="373" spans="1:8">
      <c r="A373" s="166"/>
      <c r="B373" s="195" t="s">
        <v>515</v>
      </c>
      <c r="C373" s="195"/>
      <c r="D373" s="170" t="s">
        <v>380</v>
      </c>
      <c r="E373" s="223">
        <v>1.52</v>
      </c>
      <c r="F373" s="168">
        <v>0.02</v>
      </c>
      <c r="G373" s="197">
        <f t="shared" si="18"/>
        <v>3.04E-2</v>
      </c>
      <c r="H373" s="173"/>
    </row>
    <row r="374" spans="1:8">
      <c r="A374" s="166" t="s">
        <v>367</v>
      </c>
      <c r="B374" s="165"/>
      <c r="C374" s="165"/>
      <c r="D374" s="170"/>
      <c r="E374" s="189"/>
      <c r="F374" s="168"/>
      <c r="G374" s="149"/>
      <c r="H374" s="173"/>
    </row>
    <row r="375" spans="1:8">
      <c r="A375" s="165"/>
      <c r="B375" s="165" t="s">
        <v>442</v>
      </c>
      <c r="C375" s="165"/>
      <c r="D375" s="176" t="s">
        <v>380</v>
      </c>
      <c r="E375" s="345">
        <v>7.37</v>
      </c>
      <c r="F375" s="177">
        <v>2.385E-3</v>
      </c>
      <c r="G375" s="178">
        <f t="shared" ref="G375:G382" si="19">F375*E375</f>
        <v>1.7577450000000001E-2</v>
      </c>
      <c r="H375" s="173"/>
    </row>
    <row r="376" spans="1:8">
      <c r="A376" s="179"/>
      <c r="B376" s="179" t="s">
        <v>382</v>
      </c>
      <c r="C376" s="179"/>
      <c r="D376" s="176" t="s">
        <v>380</v>
      </c>
      <c r="E376" s="345">
        <v>0.96</v>
      </c>
      <c r="F376" s="177">
        <v>4.9290899999999997E-3</v>
      </c>
      <c r="G376" s="178">
        <f t="shared" si="19"/>
        <v>4.7319263999999993E-3</v>
      </c>
      <c r="H376" s="173"/>
    </row>
    <row r="377" spans="1:8">
      <c r="A377" s="179"/>
      <c r="B377" s="179" t="s">
        <v>411</v>
      </c>
      <c r="C377" s="179"/>
      <c r="D377" s="176" t="s">
        <v>395</v>
      </c>
      <c r="E377" s="225">
        <v>1.65</v>
      </c>
      <c r="F377" s="177">
        <v>0.01</v>
      </c>
      <c r="G377" s="178">
        <f t="shared" si="19"/>
        <v>1.6500000000000001E-2</v>
      </c>
      <c r="H377" s="173"/>
    </row>
    <row r="378" spans="1:8">
      <c r="A378" s="179"/>
      <c r="B378" s="179" t="s">
        <v>443</v>
      </c>
      <c r="C378" s="179"/>
      <c r="D378" s="176" t="s">
        <v>380</v>
      </c>
      <c r="E378" s="345">
        <v>0.55000000000000004</v>
      </c>
      <c r="F378" s="177">
        <v>7.1599999999999997E-3</v>
      </c>
      <c r="G378" s="178">
        <f t="shared" si="19"/>
        <v>3.9380000000000005E-3</v>
      </c>
      <c r="H378" s="173"/>
    </row>
    <row r="379" spans="1:8">
      <c r="A379" s="179"/>
      <c r="B379" s="179" t="s">
        <v>576</v>
      </c>
      <c r="C379" s="179"/>
      <c r="D379" s="176" t="s">
        <v>414</v>
      </c>
      <c r="E379" s="225">
        <v>5.0000000000000001E-3</v>
      </c>
      <c r="F379" s="177">
        <v>0.95454499999999998</v>
      </c>
      <c r="G379" s="178">
        <f t="shared" si="19"/>
        <v>4.7727250000000002E-3</v>
      </c>
      <c r="H379" s="173"/>
    </row>
    <row r="380" spans="1:8">
      <c r="A380" s="179"/>
      <c r="B380" s="179" t="s">
        <v>415</v>
      </c>
      <c r="C380" s="179"/>
      <c r="D380" s="176" t="s">
        <v>380</v>
      </c>
      <c r="E380" s="345">
        <v>3.08</v>
      </c>
      <c r="F380" s="177">
        <v>0.01</v>
      </c>
      <c r="G380" s="178">
        <f t="shared" si="19"/>
        <v>3.0800000000000001E-2</v>
      </c>
      <c r="H380" s="173"/>
    </row>
    <row r="381" spans="1:8">
      <c r="A381" s="179"/>
      <c r="B381" s="179" t="s">
        <v>416</v>
      </c>
      <c r="C381" s="179"/>
      <c r="D381" s="176" t="s">
        <v>395</v>
      </c>
      <c r="E381" s="345">
        <v>2.85</v>
      </c>
      <c r="F381" s="177">
        <v>0.01</v>
      </c>
      <c r="G381" s="178">
        <f t="shared" si="19"/>
        <v>2.8500000000000001E-2</v>
      </c>
      <c r="H381" s="173"/>
    </row>
    <row r="382" spans="1:8">
      <c r="A382" s="179"/>
      <c r="B382" s="179" t="s">
        <v>417</v>
      </c>
      <c r="C382" s="179"/>
      <c r="D382" s="176" t="s">
        <v>395</v>
      </c>
      <c r="E382" s="225">
        <v>16.940000000000001</v>
      </c>
      <c r="F382" s="177">
        <v>0.01</v>
      </c>
      <c r="G382" s="178">
        <f t="shared" si="19"/>
        <v>0.16940000000000002</v>
      </c>
      <c r="H382" s="173"/>
    </row>
    <row r="383" spans="1:8">
      <c r="A383" s="180" t="s">
        <v>106</v>
      </c>
      <c r="B383" s="181"/>
      <c r="C383" s="181"/>
      <c r="D383" s="182"/>
      <c r="E383" s="346"/>
      <c r="F383" s="183"/>
      <c r="G383" s="198">
        <f>SUM(G352:G382)</f>
        <v>4.4687201013999998</v>
      </c>
      <c r="H383" s="191"/>
    </row>
    <row r="384" spans="1:8">
      <c r="B384" s="192"/>
      <c r="C384" s="192"/>
      <c r="D384" s="212"/>
      <c r="E384" s="213"/>
      <c r="F384" s="214"/>
      <c r="H384" s="215"/>
    </row>
    <row r="385" spans="1:8" ht="45">
      <c r="A385" s="399" t="s">
        <v>107</v>
      </c>
      <c r="B385" s="399"/>
      <c r="C385" s="399"/>
      <c r="D385" s="400" t="s">
        <v>376</v>
      </c>
      <c r="E385" s="400" t="s">
        <v>91</v>
      </c>
      <c r="F385" s="401" t="s">
        <v>92</v>
      </c>
      <c r="G385" s="402" t="s">
        <v>93</v>
      </c>
      <c r="H385" s="403" t="s">
        <v>377</v>
      </c>
    </row>
    <row r="386" spans="1:8">
      <c r="A386" s="166" t="s">
        <v>577</v>
      </c>
      <c r="B386" s="166"/>
      <c r="C386" s="166"/>
      <c r="D386" s="167"/>
      <c r="E386" s="348"/>
      <c r="F386" s="168"/>
      <c r="G386" s="167"/>
      <c r="H386" s="190"/>
    </row>
    <row r="387" spans="1:8">
      <c r="A387" s="166"/>
      <c r="B387" s="165" t="s">
        <v>578</v>
      </c>
      <c r="C387" s="195"/>
      <c r="D387" s="170" t="s">
        <v>380</v>
      </c>
      <c r="E387" s="347">
        <v>4.3499999999999996</v>
      </c>
      <c r="F387" s="168">
        <v>0.37</v>
      </c>
      <c r="G387" s="197">
        <f>F387*E387</f>
        <v>1.6094999999999999</v>
      </c>
      <c r="H387" s="190">
        <v>200</v>
      </c>
    </row>
    <row r="388" spans="1:8" s="13" customFormat="1">
      <c r="A388" s="166"/>
      <c r="B388" s="195" t="s">
        <v>463</v>
      </c>
      <c r="C388" s="195"/>
      <c r="D388" s="170" t="s">
        <v>380</v>
      </c>
      <c r="E388" s="347">
        <v>0.96</v>
      </c>
      <c r="F388" s="168">
        <v>5.0000000000000001E-3</v>
      </c>
      <c r="G388" s="197">
        <f t="shared" ref="G388:G409" si="20">F388*E388</f>
        <v>4.7999999999999996E-3</v>
      </c>
      <c r="H388" s="190"/>
    </row>
    <row r="389" spans="1:8" s="13" customFormat="1">
      <c r="A389" s="166"/>
      <c r="B389" s="195" t="s">
        <v>579</v>
      </c>
      <c r="C389" s="195"/>
      <c r="D389" s="170" t="s">
        <v>380</v>
      </c>
      <c r="E389" s="347">
        <v>2.3199999999999998</v>
      </c>
      <c r="F389" s="168" t="s">
        <v>529</v>
      </c>
      <c r="G389" s="197">
        <f t="shared" si="20"/>
        <v>9.2799999999999994E-2</v>
      </c>
      <c r="H389" s="190"/>
    </row>
    <row r="390" spans="1:8" s="13" customFormat="1">
      <c r="A390" s="166"/>
      <c r="B390" s="195" t="s">
        <v>464</v>
      </c>
      <c r="C390" s="195"/>
      <c r="D390" s="170" t="s">
        <v>380</v>
      </c>
      <c r="E390" s="347">
        <v>1.87</v>
      </c>
      <c r="F390" s="168">
        <v>0.05</v>
      </c>
      <c r="G390" s="197">
        <f t="shared" si="20"/>
        <v>9.3500000000000014E-2</v>
      </c>
      <c r="H390" s="190"/>
    </row>
    <row r="391" spans="1:8" s="13" customFormat="1">
      <c r="A391" s="166"/>
      <c r="B391" s="195" t="s">
        <v>505</v>
      </c>
      <c r="C391" s="195"/>
      <c r="D391" s="170" t="s">
        <v>380</v>
      </c>
      <c r="E391" s="216">
        <v>3.21</v>
      </c>
      <c r="F391" s="168" t="s">
        <v>385</v>
      </c>
      <c r="G391" s="197">
        <f t="shared" si="20"/>
        <v>1.6050000000000002E-2</v>
      </c>
      <c r="H391" s="190"/>
    </row>
    <row r="392" spans="1:8" s="13" customFormat="1">
      <c r="A392" s="166"/>
      <c r="B392" s="195" t="s">
        <v>425</v>
      </c>
      <c r="C392" s="195"/>
      <c r="D392" s="170" t="s">
        <v>395</v>
      </c>
      <c r="E392" s="216">
        <v>2.74</v>
      </c>
      <c r="F392" s="168">
        <v>3.0000000000000001E-3</v>
      </c>
      <c r="G392" s="197">
        <f t="shared" si="20"/>
        <v>8.2200000000000016E-3</v>
      </c>
      <c r="H392" s="190"/>
    </row>
    <row r="393" spans="1:8" s="13" customFormat="1">
      <c r="A393" s="165" t="s">
        <v>580</v>
      </c>
      <c r="B393" s="195" t="s">
        <v>487</v>
      </c>
      <c r="C393" s="195"/>
      <c r="D393" s="167"/>
      <c r="E393" s="348"/>
      <c r="F393" s="174"/>
      <c r="G393" s="197"/>
      <c r="H393" s="190"/>
    </row>
    <row r="394" spans="1:8" s="13" customFormat="1">
      <c r="A394" s="166"/>
      <c r="B394" s="195" t="s">
        <v>523</v>
      </c>
      <c r="C394" s="195"/>
      <c r="D394" s="170" t="s">
        <v>380</v>
      </c>
      <c r="E394" s="216">
        <v>17.62</v>
      </c>
      <c r="F394" s="168" t="s">
        <v>385</v>
      </c>
      <c r="G394" s="197">
        <f t="shared" si="20"/>
        <v>8.8100000000000012E-2</v>
      </c>
      <c r="H394" s="190"/>
    </row>
    <row r="395" spans="1:8" s="13" customFormat="1">
      <c r="A395" s="166"/>
      <c r="B395" s="195" t="s">
        <v>453</v>
      </c>
      <c r="C395" s="195"/>
      <c r="D395" s="170" t="s">
        <v>380</v>
      </c>
      <c r="E395" s="347">
        <v>1.7</v>
      </c>
      <c r="F395" s="168">
        <v>0.02</v>
      </c>
      <c r="G395" s="197">
        <f t="shared" si="20"/>
        <v>3.4000000000000002E-2</v>
      </c>
      <c r="H395" s="190"/>
    </row>
    <row r="396" spans="1:8" s="13" customFormat="1">
      <c r="A396" s="165" t="s">
        <v>396</v>
      </c>
      <c r="B396" s="195" t="s">
        <v>487</v>
      </c>
      <c r="C396" s="195"/>
      <c r="D396" s="167"/>
      <c r="E396" s="348"/>
      <c r="F396" s="174"/>
      <c r="G396" s="197"/>
      <c r="H396" s="190"/>
    </row>
    <row r="397" spans="1:8" s="13" customFormat="1">
      <c r="A397" s="166"/>
      <c r="B397" s="195" t="s">
        <v>470</v>
      </c>
      <c r="C397" s="195"/>
      <c r="D397" s="170" t="s">
        <v>380</v>
      </c>
      <c r="E397" s="189">
        <v>2.1800000000000002</v>
      </c>
      <c r="F397" s="168">
        <v>7.0000000000000007E-2</v>
      </c>
      <c r="G397" s="197">
        <f t="shared" si="20"/>
        <v>0.15260000000000001</v>
      </c>
      <c r="H397" s="190"/>
    </row>
    <row r="398" spans="1:8" s="13" customFormat="1">
      <c r="A398" s="166"/>
      <c r="B398" s="195" t="s">
        <v>398</v>
      </c>
      <c r="C398" s="195"/>
      <c r="D398" s="170"/>
      <c r="E398" s="189"/>
      <c r="F398" s="168"/>
      <c r="G398" s="197"/>
      <c r="H398" s="190"/>
    </row>
    <row r="399" spans="1:8" s="13" customFormat="1">
      <c r="A399" s="165" t="s">
        <v>399</v>
      </c>
      <c r="B399" s="195" t="s">
        <v>487</v>
      </c>
      <c r="C399" s="195"/>
      <c r="D399" s="167"/>
      <c r="E399" s="348"/>
      <c r="F399" s="174"/>
      <c r="G399" s="197"/>
      <c r="H399" s="190"/>
    </row>
    <row r="400" spans="1:8" s="13" customFormat="1">
      <c r="A400" s="166"/>
      <c r="B400" s="195" t="s">
        <v>400</v>
      </c>
      <c r="C400" s="195"/>
      <c r="D400" s="170" t="s">
        <v>380</v>
      </c>
      <c r="E400" s="347">
        <v>5.59</v>
      </c>
      <c r="F400" s="168">
        <v>0.05</v>
      </c>
      <c r="G400" s="197">
        <f t="shared" si="20"/>
        <v>0.27950000000000003</v>
      </c>
      <c r="H400" s="190"/>
    </row>
    <row r="401" spans="1:8">
      <c r="A401" s="165" t="s">
        <v>581</v>
      </c>
      <c r="B401" s="195" t="s">
        <v>487</v>
      </c>
      <c r="C401" s="195"/>
      <c r="D401" s="167"/>
      <c r="E401" s="348"/>
      <c r="F401" s="174"/>
      <c r="G401" s="197"/>
      <c r="H401" s="190"/>
    </row>
    <row r="402" spans="1:8" s="150" customFormat="1">
      <c r="A402" s="166"/>
      <c r="B402" s="195" t="s">
        <v>561</v>
      </c>
      <c r="C402" s="195"/>
      <c r="D402" s="170" t="s">
        <v>380</v>
      </c>
      <c r="E402" s="216">
        <v>0.88</v>
      </c>
      <c r="F402" s="168">
        <v>2.8000000000000001E-2</v>
      </c>
      <c r="G402" s="197">
        <f t="shared" si="20"/>
        <v>2.4640000000000002E-2</v>
      </c>
      <c r="H402" s="190"/>
    </row>
    <row r="403" spans="1:8" s="10" customFormat="1" ht="12" customHeight="1">
      <c r="A403" s="166"/>
      <c r="B403" s="195" t="s">
        <v>403</v>
      </c>
      <c r="C403" s="195"/>
      <c r="D403" s="170" t="s">
        <v>380</v>
      </c>
      <c r="E403" s="189">
        <v>1.25</v>
      </c>
      <c r="F403" s="168">
        <v>0.06</v>
      </c>
      <c r="G403" s="149">
        <f t="shared" si="20"/>
        <v>7.4999999999999997E-2</v>
      </c>
      <c r="H403" s="173"/>
    </row>
    <row r="404" spans="1:8">
      <c r="A404" s="166"/>
      <c r="B404" s="195" t="s">
        <v>582</v>
      </c>
      <c r="C404" s="195"/>
      <c r="D404" s="170" t="s">
        <v>380</v>
      </c>
      <c r="E404" s="347">
        <v>0.96</v>
      </c>
      <c r="F404" s="168">
        <v>0.03</v>
      </c>
      <c r="G404" s="197">
        <f t="shared" si="20"/>
        <v>2.8799999999999999E-2</v>
      </c>
      <c r="H404" s="190"/>
    </row>
    <row r="405" spans="1:8">
      <c r="A405" s="165" t="s">
        <v>583</v>
      </c>
      <c r="B405" s="195" t="s">
        <v>487</v>
      </c>
      <c r="C405" s="195"/>
      <c r="D405" s="167"/>
      <c r="E405" s="348"/>
      <c r="F405" s="174"/>
      <c r="G405" s="197"/>
      <c r="H405" s="190"/>
    </row>
    <row r="406" spans="1:8">
      <c r="A406" s="166"/>
      <c r="B406" s="195" t="s">
        <v>584</v>
      </c>
      <c r="C406" s="195"/>
      <c r="D406" s="170" t="s">
        <v>380</v>
      </c>
      <c r="E406" s="347">
        <v>1.21</v>
      </c>
      <c r="F406" s="168">
        <v>0.15</v>
      </c>
      <c r="G406" s="197">
        <f t="shared" si="20"/>
        <v>0.18149999999999999</v>
      </c>
      <c r="H406" s="190"/>
    </row>
    <row r="407" spans="1:8">
      <c r="A407" s="165" t="s">
        <v>585</v>
      </c>
      <c r="B407" s="195" t="s">
        <v>487</v>
      </c>
      <c r="C407" s="195"/>
      <c r="D407" s="167"/>
      <c r="E407" s="348"/>
      <c r="F407" s="174"/>
      <c r="G407" s="197"/>
      <c r="H407" s="190"/>
    </row>
    <row r="408" spans="1:8">
      <c r="A408" s="166"/>
      <c r="B408" s="195" t="s">
        <v>441</v>
      </c>
      <c r="C408" s="195"/>
      <c r="D408" s="170" t="s">
        <v>380</v>
      </c>
      <c r="E408" s="216">
        <v>14.49</v>
      </c>
      <c r="F408" s="168">
        <v>8.9999999999999993E-3</v>
      </c>
      <c r="G408" s="197">
        <f t="shared" si="20"/>
        <v>0.13041</v>
      </c>
      <c r="H408" s="190"/>
    </row>
    <row r="409" spans="1:8">
      <c r="A409" s="166"/>
      <c r="B409" s="195" t="s">
        <v>409</v>
      </c>
      <c r="C409" s="195"/>
      <c r="D409" s="170" t="s">
        <v>380</v>
      </c>
      <c r="E409" s="223">
        <v>1.52</v>
      </c>
      <c r="F409" s="168">
        <v>0.02</v>
      </c>
      <c r="G409" s="197">
        <f t="shared" si="20"/>
        <v>3.04E-2</v>
      </c>
      <c r="H409" s="190"/>
    </row>
    <row r="410" spans="1:8">
      <c r="A410" s="166" t="s">
        <v>367</v>
      </c>
      <c r="B410" s="165"/>
      <c r="C410" s="165"/>
      <c r="D410" s="170"/>
      <c r="E410" s="189"/>
      <c r="F410" s="168"/>
      <c r="G410" s="149"/>
      <c r="H410" s="173"/>
    </row>
    <row r="411" spans="1:8">
      <c r="A411" s="165"/>
      <c r="B411" s="165" t="s">
        <v>410</v>
      </c>
      <c r="C411" s="165"/>
      <c r="D411" s="176" t="s">
        <v>380</v>
      </c>
      <c r="E411" s="345">
        <v>7.37</v>
      </c>
      <c r="F411" s="177">
        <v>2.385E-3</v>
      </c>
      <c r="G411" s="178">
        <f t="shared" ref="G411:G418" si="21">F411*E411</f>
        <v>1.7577450000000001E-2</v>
      </c>
      <c r="H411" s="173"/>
    </row>
    <row r="412" spans="1:8">
      <c r="A412" s="179"/>
      <c r="B412" s="179" t="s">
        <v>382</v>
      </c>
      <c r="C412" s="179"/>
      <c r="D412" s="176" t="s">
        <v>380</v>
      </c>
      <c r="E412" s="345">
        <v>0.96</v>
      </c>
      <c r="F412" s="177">
        <v>4.9290899999999997E-3</v>
      </c>
      <c r="G412" s="178">
        <f t="shared" si="21"/>
        <v>4.7319263999999993E-3</v>
      </c>
      <c r="H412" s="173"/>
    </row>
    <row r="413" spans="1:8">
      <c r="A413" s="179"/>
      <c r="B413" s="179" t="s">
        <v>411</v>
      </c>
      <c r="C413" s="179"/>
      <c r="D413" s="176" t="s">
        <v>395</v>
      </c>
      <c r="E413" s="225">
        <v>1.65</v>
      </c>
      <c r="F413" s="177">
        <v>0.01</v>
      </c>
      <c r="G413" s="178">
        <f t="shared" si="21"/>
        <v>1.6500000000000001E-2</v>
      </c>
      <c r="H413" s="173"/>
    </row>
    <row r="414" spans="1:8">
      <c r="A414" s="179"/>
      <c r="B414" s="179" t="s">
        <v>412</v>
      </c>
      <c r="C414" s="179"/>
      <c r="D414" s="176" t="s">
        <v>380</v>
      </c>
      <c r="E414" s="345">
        <v>0.55000000000000004</v>
      </c>
      <c r="F414" s="177">
        <v>7.1599999999999997E-3</v>
      </c>
      <c r="G414" s="178">
        <f t="shared" si="21"/>
        <v>3.9380000000000005E-3</v>
      </c>
      <c r="H414" s="173"/>
    </row>
    <row r="415" spans="1:8">
      <c r="A415" s="179"/>
      <c r="B415" s="179" t="s">
        <v>413</v>
      </c>
      <c r="C415" s="179"/>
      <c r="D415" s="176" t="s">
        <v>414</v>
      </c>
      <c r="E415" s="225">
        <v>5.0000000000000001E-3</v>
      </c>
      <c r="F415" s="177">
        <v>0.95454499999999998</v>
      </c>
      <c r="G415" s="178">
        <f t="shared" si="21"/>
        <v>4.7727250000000002E-3</v>
      </c>
      <c r="H415" s="173"/>
    </row>
    <row r="416" spans="1:8">
      <c r="A416" s="179"/>
      <c r="B416" s="179" t="s">
        <v>415</v>
      </c>
      <c r="C416" s="179"/>
      <c r="D416" s="176" t="s">
        <v>380</v>
      </c>
      <c r="E416" s="345">
        <v>3.08</v>
      </c>
      <c r="F416" s="177">
        <v>0.01</v>
      </c>
      <c r="G416" s="178">
        <f t="shared" si="21"/>
        <v>3.0800000000000001E-2</v>
      </c>
      <c r="H416" s="173"/>
    </row>
    <row r="417" spans="1:8">
      <c r="A417" s="179"/>
      <c r="B417" s="179" t="s">
        <v>416</v>
      </c>
      <c r="C417" s="179"/>
      <c r="D417" s="176" t="s">
        <v>395</v>
      </c>
      <c r="E417" s="345">
        <v>2.85</v>
      </c>
      <c r="F417" s="177">
        <v>0.01</v>
      </c>
      <c r="G417" s="178">
        <f t="shared" si="21"/>
        <v>2.8500000000000001E-2</v>
      </c>
      <c r="H417" s="173"/>
    </row>
    <row r="418" spans="1:8">
      <c r="A418" s="179"/>
      <c r="B418" s="179" t="s">
        <v>417</v>
      </c>
      <c r="C418" s="179"/>
      <c r="D418" s="176" t="s">
        <v>395</v>
      </c>
      <c r="E418" s="225">
        <v>16.940000000000001</v>
      </c>
      <c r="F418" s="177">
        <v>0.01</v>
      </c>
      <c r="G418" s="178">
        <f t="shared" si="21"/>
        <v>0.16940000000000002</v>
      </c>
      <c r="H418" s="173"/>
    </row>
    <row r="419" spans="1:8">
      <c r="A419" s="180" t="s">
        <v>108</v>
      </c>
      <c r="B419" s="181"/>
      <c r="C419" s="181"/>
      <c r="D419" s="182"/>
      <c r="E419" s="346"/>
      <c r="F419" s="183"/>
      <c r="G419" s="198">
        <f>SUM(G387:G418)</f>
        <v>3.1260401014000005</v>
      </c>
      <c r="H419" s="191"/>
    </row>
    <row r="420" spans="1:8" ht="10.5" customHeight="1">
      <c r="A420" s="199"/>
      <c r="B420" s="200"/>
      <c r="C420" s="200"/>
      <c r="D420" s="201"/>
      <c r="E420" s="201"/>
      <c r="F420" s="202"/>
      <c r="G420" s="201"/>
      <c r="H420" s="203"/>
    </row>
    <row r="421" spans="1:8" ht="45">
      <c r="A421" s="399" t="s">
        <v>109</v>
      </c>
      <c r="B421" s="399"/>
      <c r="C421" s="399"/>
      <c r="D421" s="400" t="s">
        <v>376</v>
      </c>
      <c r="E421" s="400" t="s">
        <v>91</v>
      </c>
      <c r="F421" s="401" t="s">
        <v>92</v>
      </c>
      <c r="G421" s="402" t="s">
        <v>93</v>
      </c>
      <c r="H421" s="403" t="s">
        <v>377</v>
      </c>
    </row>
    <row r="422" spans="1:8" ht="10.5" customHeight="1">
      <c r="A422" s="165" t="s">
        <v>586</v>
      </c>
      <c r="B422" s="166"/>
      <c r="C422" s="166"/>
      <c r="D422" s="167"/>
      <c r="E422" s="343"/>
      <c r="F422" s="174"/>
      <c r="G422" s="167"/>
      <c r="H422" s="190"/>
    </row>
    <row r="423" spans="1:8" ht="10.5" customHeight="1">
      <c r="A423" s="166"/>
      <c r="B423" s="195" t="s">
        <v>379</v>
      </c>
      <c r="C423" s="195"/>
      <c r="D423" s="170" t="s">
        <v>380</v>
      </c>
      <c r="E423" s="347">
        <v>14.17</v>
      </c>
      <c r="F423" s="168">
        <v>0.2</v>
      </c>
      <c r="G423" s="197">
        <f>F423*E423</f>
        <v>2.8340000000000001</v>
      </c>
      <c r="H423" s="190">
        <v>120</v>
      </c>
    </row>
    <row r="424" spans="1:8" ht="10.5" customHeight="1">
      <c r="A424" s="166"/>
      <c r="B424" s="195" t="s">
        <v>587</v>
      </c>
      <c r="C424" s="195"/>
      <c r="D424" s="170" t="s">
        <v>380</v>
      </c>
      <c r="E424" s="216">
        <v>17.62</v>
      </c>
      <c r="F424" s="168" t="s">
        <v>504</v>
      </c>
      <c r="G424" s="197">
        <f t="shared" ref="G424:G445" si="22">F424*E424</f>
        <v>5.2860000000000004E-2</v>
      </c>
      <c r="H424" s="190"/>
    </row>
    <row r="425" spans="1:8" ht="10.5" customHeight="1">
      <c r="A425" s="166"/>
      <c r="B425" s="195" t="s">
        <v>588</v>
      </c>
      <c r="C425" s="195"/>
      <c r="D425" s="170" t="s">
        <v>380</v>
      </c>
      <c r="E425" s="216">
        <v>1.67</v>
      </c>
      <c r="F425" s="168" t="s">
        <v>389</v>
      </c>
      <c r="G425" s="197">
        <f t="shared" si="22"/>
        <v>1.67E-3</v>
      </c>
      <c r="H425" s="190"/>
    </row>
    <row r="426" spans="1:8" ht="10.5" customHeight="1">
      <c r="A426" s="166"/>
      <c r="B426" s="195" t="s">
        <v>382</v>
      </c>
      <c r="C426" s="195"/>
      <c r="D426" s="170" t="s">
        <v>380</v>
      </c>
      <c r="E426" s="347">
        <v>0.96</v>
      </c>
      <c r="F426" s="168">
        <v>4.9199999999999999E-3</v>
      </c>
      <c r="G426" s="197">
        <f t="shared" si="22"/>
        <v>4.7231999999999994E-3</v>
      </c>
      <c r="H426" s="190"/>
    </row>
    <row r="427" spans="1:8" ht="10.5" customHeight="1">
      <c r="A427" s="166"/>
      <c r="B427" s="195" t="s">
        <v>503</v>
      </c>
      <c r="C427" s="195"/>
      <c r="D427" s="170" t="s">
        <v>380</v>
      </c>
      <c r="E427" s="347">
        <v>1.87</v>
      </c>
      <c r="F427" s="168" t="s">
        <v>385</v>
      </c>
      <c r="G427" s="197">
        <f t="shared" si="22"/>
        <v>9.3500000000000007E-3</v>
      </c>
      <c r="H427" s="190"/>
    </row>
    <row r="428" spans="1:8">
      <c r="A428" s="166"/>
      <c r="B428" s="195" t="s">
        <v>384</v>
      </c>
      <c r="C428" s="195"/>
      <c r="D428" s="170" t="s">
        <v>380</v>
      </c>
      <c r="E428" s="216">
        <v>3.21</v>
      </c>
      <c r="F428" s="168" t="s">
        <v>385</v>
      </c>
      <c r="G428" s="197">
        <f t="shared" si="22"/>
        <v>1.6050000000000002E-2</v>
      </c>
      <c r="H428" s="190"/>
    </row>
    <row r="429" spans="1:8">
      <c r="A429" s="165" t="s">
        <v>589</v>
      </c>
      <c r="B429" s="195" t="s">
        <v>448</v>
      </c>
      <c r="C429" s="195"/>
      <c r="D429" s="167"/>
      <c r="E429" s="348"/>
      <c r="F429" s="174"/>
      <c r="G429" s="197"/>
      <c r="H429" s="190"/>
    </row>
    <row r="430" spans="1:8">
      <c r="A430" s="166"/>
      <c r="B430" s="195" t="s">
        <v>388</v>
      </c>
      <c r="C430" s="195"/>
      <c r="D430" s="170" t="s">
        <v>380</v>
      </c>
      <c r="E430" s="216">
        <v>2.63</v>
      </c>
      <c r="F430" s="168">
        <v>5.0000000000000001E-3</v>
      </c>
      <c r="G430" s="197">
        <f t="shared" si="22"/>
        <v>1.315E-2</v>
      </c>
      <c r="H430" s="190"/>
    </row>
    <row r="431" spans="1:8" s="13" customFormat="1" ht="16.5" customHeight="1">
      <c r="A431" s="166"/>
      <c r="B431" s="195" t="s">
        <v>590</v>
      </c>
      <c r="C431" s="195"/>
      <c r="D431" s="170" t="s">
        <v>380</v>
      </c>
      <c r="E431" s="347">
        <v>0.63</v>
      </c>
      <c r="F431" s="168">
        <v>0.11</v>
      </c>
      <c r="G431" s="197">
        <f t="shared" si="22"/>
        <v>6.93E-2</v>
      </c>
      <c r="H431" s="190">
        <v>110</v>
      </c>
    </row>
    <row r="432" spans="1:8" s="13" customFormat="1">
      <c r="A432" s="165" t="s">
        <v>396</v>
      </c>
      <c r="B432" s="195" t="s">
        <v>448</v>
      </c>
      <c r="C432" s="195"/>
      <c r="D432" s="167"/>
      <c r="E432" s="348"/>
      <c r="F432" s="174"/>
      <c r="G432" s="197"/>
      <c r="H432" s="190"/>
    </row>
    <row r="433" spans="1:8" s="13" customFormat="1">
      <c r="A433" s="166"/>
      <c r="B433" s="195" t="s">
        <v>397</v>
      </c>
      <c r="C433" s="195"/>
      <c r="D433" s="170" t="s">
        <v>380</v>
      </c>
      <c r="E433" s="189">
        <v>2.1800000000000002</v>
      </c>
      <c r="F433" s="168">
        <v>7.0000000000000007E-2</v>
      </c>
      <c r="G433" s="197">
        <f t="shared" si="22"/>
        <v>0.15260000000000001</v>
      </c>
      <c r="H433" s="190"/>
    </row>
    <row r="434" spans="1:8" s="13" customFormat="1">
      <c r="A434" s="166"/>
      <c r="B434" s="195" t="s">
        <v>398</v>
      </c>
      <c r="C434" s="195"/>
      <c r="D434" s="170"/>
      <c r="E434" s="189"/>
      <c r="F434" s="168"/>
      <c r="G434" s="197"/>
      <c r="H434" s="190"/>
    </row>
    <row r="435" spans="1:8" s="13" customFormat="1">
      <c r="A435" s="165" t="s">
        <v>432</v>
      </c>
      <c r="B435" s="195" t="s">
        <v>448</v>
      </c>
      <c r="C435" s="195"/>
      <c r="D435" s="167"/>
      <c r="E435" s="348"/>
      <c r="F435" s="174"/>
      <c r="G435" s="197"/>
      <c r="H435" s="190"/>
    </row>
    <row r="436" spans="1:8" s="13" customFormat="1">
      <c r="A436" s="166"/>
      <c r="B436" s="195" t="s">
        <v>433</v>
      </c>
      <c r="C436" s="195"/>
      <c r="D436" s="170" t="s">
        <v>380</v>
      </c>
      <c r="E436" s="189">
        <v>3.39</v>
      </c>
      <c r="F436" s="168">
        <v>0.04</v>
      </c>
      <c r="G436" s="197">
        <f t="shared" si="22"/>
        <v>0.1356</v>
      </c>
      <c r="H436" s="190"/>
    </row>
    <row r="437" spans="1:8" s="13" customFormat="1">
      <c r="A437" s="165" t="s">
        <v>591</v>
      </c>
      <c r="B437" s="195" t="s">
        <v>448</v>
      </c>
      <c r="C437" s="195"/>
      <c r="D437" s="167"/>
      <c r="E437" s="348"/>
      <c r="F437" s="174"/>
      <c r="G437" s="197"/>
      <c r="H437" s="190"/>
    </row>
    <row r="438" spans="1:8" s="13" customFormat="1">
      <c r="A438" s="166"/>
      <c r="B438" s="195" t="s">
        <v>435</v>
      </c>
      <c r="C438" s="195"/>
      <c r="D438" s="170" t="s">
        <v>380</v>
      </c>
      <c r="E438" s="216">
        <v>0.88</v>
      </c>
      <c r="F438" s="168">
        <v>2.8000000000000001E-2</v>
      </c>
      <c r="G438" s="197">
        <f t="shared" si="22"/>
        <v>2.4640000000000002E-2</v>
      </c>
      <c r="H438" s="190"/>
    </row>
    <row r="439" spans="1:8" s="13" customFormat="1">
      <c r="A439" s="166"/>
      <c r="B439" s="195" t="s">
        <v>592</v>
      </c>
      <c r="C439" s="195"/>
      <c r="D439" s="170" t="s">
        <v>380</v>
      </c>
      <c r="E439" s="347">
        <v>2.0499999999999998</v>
      </c>
      <c r="F439" s="168">
        <v>9.1999999999999998E-2</v>
      </c>
      <c r="G439" s="197">
        <f t="shared" si="22"/>
        <v>0.18859999999999999</v>
      </c>
      <c r="H439" s="190"/>
    </row>
    <row r="440" spans="1:8" s="13" customFormat="1">
      <c r="A440" s="166"/>
      <c r="B440" s="195" t="s">
        <v>571</v>
      </c>
      <c r="C440" s="195"/>
      <c r="D440" s="170" t="s">
        <v>380</v>
      </c>
      <c r="E440" s="216">
        <v>6.08</v>
      </c>
      <c r="F440" s="171">
        <v>0.02</v>
      </c>
      <c r="G440" s="197">
        <f t="shared" si="22"/>
        <v>0.1216</v>
      </c>
      <c r="H440" s="190"/>
    </row>
    <row r="441" spans="1:8" s="13" customFormat="1">
      <c r="A441" s="165" t="s">
        <v>593</v>
      </c>
      <c r="B441" s="195" t="s">
        <v>448</v>
      </c>
      <c r="C441" s="195"/>
      <c r="D441" s="167"/>
      <c r="E441" s="348"/>
      <c r="F441" s="174"/>
      <c r="G441" s="197"/>
      <c r="H441" s="190"/>
    </row>
    <row r="442" spans="1:8" s="13" customFormat="1">
      <c r="A442" s="166"/>
      <c r="B442" s="195" t="s">
        <v>594</v>
      </c>
      <c r="C442" s="195"/>
      <c r="D442" s="170" t="s">
        <v>380</v>
      </c>
      <c r="E442" s="216">
        <v>6.54</v>
      </c>
      <c r="F442" s="168">
        <v>7.0000000000000007E-2</v>
      </c>
      <c r="G442" s="197">
        <f t="shared" si="22"/>
        <v>0.45780000000000004</v>
      </c>
      <c r="H442" s="173"/>
    </row>
    <row r="443" spans="1:8" s="13" customFormat="1" ht="16.5" customHeight="1">
      <c r="A443" s="165" t="s">
        <v>595</v>
      </c>
      <c r="B443" s="195" t="s">
        <v>448</v>
      </c>
      <c r="C443" s="195"/>
      <c r="D443" s="167"/>
      <c r="E443" s="348"/>
      <c r="F443" s="174"/>
      <c r="G443" s="197"/>
      <c r="H443" s="190"/>
    </row>
    <row r="444" spans="1:8">
      <c r="A444" s="166"/>
      <c r="B444" s="195" t="s">
        <v>719</v>
      </c>
      <c r="C444" s="195"/>
      <c r="D444" s="170" t="s">
        <v>380</v>
      </c>
      <c r="E444" s="216">
        <v>11.9</v>
      </c>
      <c r="F444" s="168">
        <v>8.9999999999999993E-3</v>
      </c>
      <c r="G444" s="197">
        <f t="shared" si="22"/>
        <v>0.1071</v>
      </c>
      <c r="H444" s="190"/>
    </row>
    <row r="445" spans="1:8">
      <c r="A445" s="166"/>
      <c r="B445" s="195" t="s">
        <v>409</v>
      </c>
      <c r="C445" s="195"/>
      <c r="D445" s="170" t="s">
        <v>380</v>
      </c>
      <c r="E445" s="223">
        <v>1.52</v>
      </c>
      <c r="F445" s="168">
        <v>0.02</v>
      </c>
      <c r="G445" s="197">
        <f t="shared" si="22"/>
        <v>3.04E-2</v>
      </c>
      <c r="H445" s="173"/>
    </row>
    <row r="446" spans="1:8" s="10" customFormat="1" ht="18" customHeight="1">
      <c r="A446" s="166" t="s">
        <v>367</v>
      </c>
      <c r="B446" s="165"/>
      <c r="C446" s="165"/>
      <c r="D446" s="170"/>
      <c r="E446" s="189"/>
      <c r="F446" s="168"/>
      <c r="G446" s="149"/>
      <c r="H446" s="173"/>
    </row>
    <row r="447" spans="1:8">
      <c r="A447" s="165"/>
      <c r="B447" s="165" t="s">
        <v>410</v>
      </c>
      <c r="C447" s="165"/>
      <c r="D447" s="176" t="s">
        <v>380</v>
      </c>
      <c r="E447" s="345">
        <v>7.37</v>
      </c>
      <c r="F447" s="177">
        <v>2.385E-3</v>
      </c>
      <c r="G447" s="178">
        <f t="shared" ref="G447:G454" si="23">F447*E447</f>
        <v>1.7577450000000001E-2</v>
      </c>
      <c r="H447" s="173"/>
    </row>
    <row r="448" spans="1:8">
      <c r="A448" s="179"/>
      <c r="B448" s="179" t="s">
        <v>463</v>
      </c>
      <c r="C448" s="179"/>
      <c r="D448" s="176" t="s">
        <v>380</v>
      </c>
      <c r="E448" s="345">
        <v>0.96</v>
      </c>
      <c r="F448" s="177">
        <v>4.9290899999999997E-3</v>
      </c>
      <c r="G448" s="178">
        <f t="shared" si="23"/>
        <v>4.7319263999999993E-3</v>
      </c>
      <c r="H448" s="173"/>
    </row>
    <row r="449" spans="1:8">
      <c r="A449" s="179"/>
      <c r="B449" s="179" t="s">
        <v>411</v>
      </c>
      <c r="C449" s="179"/>
      <c r="D449" s="176" t="s">
        <v>395</v>
      </c>
      <c r="E449" s="225">
        <v>1.65</v>
      </c>
      <c r="F449" s="177">
        <v>0.01</v>
      </c>
      <c r="G449" s="178">
        <f t="shared" si="23"/>
        <v>1.6500000000000001E-2</v>
      </c>
      <c r="H449" s="173"/>
    </row>
    <row r="450" spans="1:8">
      <c r="A450" s="179"/>
      <c r="B450" s="179" t="s">
        <v>412</v>
      </c>
      <c r="C450" s="179"/>
      <c r="D450" s="176" t="s">
        <v>380</v>
      </c>
      <c r="E450" s="345">
        <v>0.55000000000000004</v>
      </c>
      <c r="F450" s="177">
        <v>7.1599999999999997E-3</v>
      </c>
      <c r="G450" s="178">
        <f t="shared" si="23"/>
        <v>3.9380000000000005E-3</v>
      </c>
      <c r="H450" s="173"/>
    </row>
    <row r="451" spans="1:8">
      <c r="A451" s="179"/>
      <c r="B451" s="179" t="s">
        <v>576</v>
      </c>
      <c r="C451" s="179"/>
      <c r="D451" s="176" t="s">
        <v>414</v>
      </c>
      <c r="E451" s="225">
        <v>5.0000000000000001E-3</v>
      </c>
      <c r="F451" s="177">
        <v>0.95454499999999998</v>
      </c>
      <c r="G451" s="178">
        <f t="shared" si="23"/>
        <v>4.7727250000000002E-3</v>
      </c>
      <c r="H451" s="173"/>
    </row>
    <row r="452" spans="1:8">
      <c r="A452" s="179"/>
      <c r="B452" s="179" t="s">
        <v>415</v>
      </c>
      <c r="C452" s="179"/>
      <c r="D452" s="176" t="s">
        <v>380</v>
      </c>
      <c r="E452" s="345">
        <v>3.08</v>
      </c>
      <c r="F452" s="177">
        <v>0.01</v>
      </c>
      <c r="G452" s="178">
        <f t="shared" si="23"/>
        <v>3.0800000000000001E-2</v>
      </c>
      <c r="H452" s="173"/>
    </row>
    <row r="453" spans="1:8" ht="9.75" customHeight="1">
      <c r="A453" s="179"/>
      <c r="B453" s="179" t="s">
        <v>416</v>
      </c>
      <c r="C453" s="179"/>
      <c r="D453" s="176" t="s">
        <v>395</v>
      </c>
      <c r="E453" s="345">
        <v>2.85</v>
      </c>
      <c r="F453" s="177">
        <v>0.01</v>
      </c>
      <c r="G453" s="178">
        <f t="shared" si="23"/>
        <v>2.8500000000000001E-2</v>
      </c>
      <c r="H453" s="173"/>
    </row>
    <row r="454" spans="1:8" ht="10.5" customHeight="1">
      <c r="A454" s="179"/>
      <c r="B454" s="179" t="s">
        <v>417</v>
      </c>
      <c r="C454" s="179"/>
      <c r="D454" s="176" t="s">
        <v>395</v>
      </c>
      <c r="E454" s="225">
        <v>16.940000000000001</v>
      </c>
      <c r="F454" s="177">
        <v>0.01</v>
      </c>
      <c r="G454" s="178">
        <f t="shared" si="23"/>
        <v>0.16940000000000002</v>
      </c>
      <c r="H454" s="173"/>
    </row>
    <row r="455" spans="1:8" ht="10.5" customHeight="1">
      <c r="A455" s="180" t="s">
        <v>110</v>
      </c>
      <c r="B455" s="181"/>
      <c r="C455" s="181"/>
      <c r="D455" s="182"/>
      <c r="E455" s="346"/>
      <c r="F455" s="183"/>
      <c r="G455" s="198">
        <f>SUM(G423:G454)</f>
        <v>4.4956633014000005</v>
      </c>
      <c r="H455" s="191"/>
    </row>
    <row r="456" spans="1:8" ht="10.5" customHeight="1">
      <c r="A456" s="150"/>
      <c r="B456" s="205"/>
      <c r="C456" s="205"/>
      <c r="D456" s="206"/>
      <c r="E456" s="206"/>
      <c r="F456" s="207"/>
      <c r="G456" s="206"/>
      <c r="H456" s="203"/>
    </row>
    <row r="457" spans="1:8" ht="45">
      <c r="A457" s="399" t="s">
        <v>111</v>
      </c>
      <c r="B457" s="399"/>
      <c r="C457" s="399"/>
      <c r="D457" s="400" t="s">
        <v>376</v>
      </c>
      <c r="E457" s="400" t="s">
        <v>91</v>
      </c>
      <c r="F457" s="401" t="s">
        <v>92</v>
      </c>
      <c r="G457" s="402" t="s">
        <v>93</v>
      </c>
      <c r="H457" s="403" t="s">
        <v>377</v>
      </c>
    </row>
    <row r="458" spans="1:8" ht="10.5" customHeight="1">
      <c r="A458" s="165" t="s">
        <v>596</v>
      </c>
      <c r="B458" s="166"/>
      <c r="C458" s="166"/>
      <c r="D458" s="167"/>
      <c r="E458" s="343"/>
      <c r="F458" s="174"/>
      <c r="G458" s="167"/>
      <c r="H458" s="190"/>
    </row>
    <row r="459" spans="1:8">
      <c r="A459" s="166"/>
      <c r="B459" s="195" t="s">
        <v>518</v>
      </c>
      <c r="C459" s="195"/>
      <c r="D459" s="170" t="s">
        <v>380</v>
      </c>
      <c r="E459" s="216">
        <v>6.25</v>
      </c>
      <c r="F459" s="168">
        <v>0.24</v>
      </c>
      <c r="G459" s="197">
        <f>F459*E459</f>
        <v>1.5</v>
      </c>
      <c r="H459" s="190">
        <v>150</v>
      </c>
    </row>
    <row r="460" spans="1:8">
      <c r="A460" s="166"/>
      <c r="B460" s="195" t="s">
        <v>382</v>
      </c>
      <c r="C460" s="195"/>
      <c r="D460" s="170" t="s">
        <v>380</v>
      </c>
      <c r="E460" s="347">
        <v>0.96</v>
      </c>
      <c r="F460" s="168">
        <v>4.9199999999999999E-3</v>
      </c>
      <c r="G460" s="197">
        <f t="shared" ref="G460:G481" si="24">F460*E460</f>
        <v>4.7231999999999994E-3</v>
      </c>
      <c r="H460" s="190"/>
    </row>
    <row r="461" spans="1:8">
      <c r="A461" s="166"/>
      <c r="B461" s="195" t="s">
        <v>485</v>
      </c>
      <c r="C461" s="195"/>
      <c r="D461" s="170" t="s">
        <v>395</v>
      </c>
      <c r="E461" s="216">
        <v>3.08</v>
      </c>
      <c r="F461" s="168">
        <v>0.01</v>
      </c>
      <c r="G461" s="197">
        <f t="shared" si="24"/>
        <v>3.0800000000000001E-2</v>
      </c>
      <c r="H461" s="190"/>
    </row>
    <row r="462" spans="1:8">
      <c r="A462" s="165" t="s">
        <v>597</v>
      </c>
      <c r="B462" s="195" t="s">
        <v>487</v>
      </c>
      <c r="C462" s="195"/>
      <c r="D462" s="167"/>
      <c r="E462" s="348"/>
      <c r="F462" s="174"/>
      <c r="G462" s="197"/>
      <c r="H462" s="190"/>
    </row>
    <row r="463" spans="1:8">
      <c r="A463" s="166"/>
      <c r="B463" s="165" t="s">
        <v>492</v>
      </c>
      <c r="C463" s="165"/>
      <c r="D463" s="170" t="s">
        <v>395</v>
      </c>
      <c r="E463" s="347">
        <v>2.06</v>
      </c>
      <c r="F463" s="168">
        <v>0.02</v>
      </c>
      <c r="G463" s="197">
        <f>F463*E463</f>
        <v>4.1200000000000001E-2</v>
      </c>
      <c r="H463" s="173"/>
    </row>
    <row r="464" spans="1:8">
      <c r="A464" s="166"/>
      <c r="B464" s="195" t="s">
        <v>587</v>
      </c>
      <c r="C464" s="195"/>
      <c r="D464" s="170" t="s">
        <v>380</v>
      </c>
      <c r="E464" s="216">
        <v>17.62</v>
      </c>
      <c r="F464" s="168" t="s">
        <v>385</v>
      </c>
      <c r="G464" s="197">
        <f t="shared" si="24"/>
        <v>8.8100000000000012E-2</v>
      </c>
      <c r="H464" s="190"/>
    </row>
    <row r="465" spans="1:8">
      <c r="A465" s="166"/>
      <c r="B465" s="195" t="s">
        <v>488</v>
      </c>
      <c r="C465" s="195"/>
      <c r="D465" s="170" t="s">
        <v>380</v>
      </c>
      <c r="E465" s="347">
        <v>4.45</v>
      </c>
      <c r="F465" s="168" t="s">
        <v>385</v>
      </c>
      <c r="G465" s="197">
        <f t="shared" si="24"/>
        <v>2.2250000000000002E-2</v>
      </c>
      <c r="H465" s="190"/>
    </row>
    <row r="466" spans="1:8">
      <c r="A466" s="166"/>
      <c r="B466" s="195" t="s">
        <v>468</v>
      </c>
      <c r="C466" s="195"/>
      <c r="D466" s="170" t="s">
        <v>380</v>
      </c>
      <c r="E466" s="347">
        <v>0.72</v>
      </c>
      <c r="F466" s="168">
        <v>0.17</v>
      </c>
      <c r="G466" s="197">
        <f t="shared" si="24"/>
        <v>0.12240000000000001</v>
      </c>
      <c r="H466" s="190">
        <v>170</v>
      </c>
    </row>
    <row r="467" spans="1:8">
      <c r="A467" s="166"/>
      <c r="B467" s="195" t="s">
        <v>556</v>
      </c>
      <c r="C467" s="195"/>
      <c r="D467" s="170" t="s">
        <v>380</v>
      </c>
      <c r="E467" s="347">
        <v>1.8</v>
      </c>
      <c r="F467" s="168" t="s">
        <v>385</v>
      </c>
      <c r="G467" s="197">
        <f t="shared" si="24"/>
        <v>9.0000000000000011E-3</v>
      </c>
    </row>
    <row r="468" spans="1:8" ht="17.25" customHeight="1">
      <c r="A468" s="165" t="s">
        <v>396</v>
      </c>
      <c r="B468" s="195" t="s">
        <v>487</v>
      </c>
      <c r="C468" s="195"/>
      <c r="D468" s="167"/>
      <c r="E468" s="348"/>
      <c r="F468" s="174"/>
      <c r="G468" s="197"/>
      <c r="H468" s="190"/>
    </row>
    <row r="469" spans="1:8">
      <c r="A469" s="166"/>
      <c r="B469" s="195" t="s">
        <v>397</v>
      </c>
      <c r="C469" s="195"/>
      <c r="D469" s="170" t="s">
        <v>380</v>
      </c>
      <c r="E469" s="189">
        <v>2.1800000000000002</v>
      </c>
      <c r="F469" s="168">
        <v>7.0000000000000007E-2</v>
      </c>
      <c r="G469" s="197">
        <f t="shared" si="24"/>
        <v>0.15260000000000001</v>
      </c>
      <c r="H469" s="190"/>
    </row>
    <row r="470" spans="1:8">
      <c r="A470" s="166"/>
      <c r="B470" s="195" t="s">
        <v>398</v>
      </c>
      <c r="C470" s="195"/>
      <c r="D470" s="170"/>
      <c r="E470" s="189"/>
      <c r="F470" s="168"/>
      <c r="G470" s="197"/>
      <c r="H470" s="190"/>
    </row>
    <row r="471" spans="1:8">
      <c r="A471" s="165" t="s">
        <v>454</v>
      </c>
      <c r="B471" s="195" t="s">
        <v>487</v>
      </c>
      <c r="C471" s="195"/>
      <c r="D471" s="167"/>
      <c r="E471" s="348"/>
      <c r="F471" s="174"/>
      <c r="G471" s="197"/>
      <c r="H471" s="190"/>
    </row>
    <row r="472" spans="1:8">
      <c r="A472" s="166"/>
      <c r="B472" s="195" t="s">
        <v>455</v>
      </c>
      <c r="C472" s="195"/>
      <c r="D472" s="170" t="s">
        <v>380</v>
      </c>
      <c r="E472" s="216">
        <v>4.99</v>
      </c>
      <c r="F472" s="168">
        <v>0.05</v>
      </c>
      <c r="G472" s="197">
        <f t="shared" si="24"/>
        <v>0.24950000000000003</v>
      </c>
      <c r="H472" s="190"/>
    </row>
    <row r="473" spans="1:8">
      <c r="A473" s="165" t="s">
        <v>598</v>
      </c>
      <c r="B473" s="195" t="s">
        <v>487</v>
      </c>
      <c r="C473" s="195"/>
      <c r="D473" s="167"/>
      <c r="E473" s="348"/>
      <c r="F473" s="174"/>
      <c r="G473" s="197"/>
      <c r="H473" s="190"/>
    </row>
    <row r="474" spans="1:8" s="13" customFormat="1">
      <c r="A474" s="166"/>
      <c r="B474" s="195" t="s">
        <v>599</v>
      </c>
      <c r="C474" s="195"/>
      <c r="D474" s="170" t="s">
        <v>380</v>
      </c>
      <c r="E474" s="216">
        <v>0.88</v>
      </c>
      <c r="F474" s="168">
        <v>3.5000000000000003E-2</v>
      </c>
      <c r="G474" s="197">
        <f>F474*E474</f>
        <v>3.0800000000000004E-2</v>
      </c>
      <c r="H474" s="190"/>
    </row>
    <row r="475" spans="1:8" s="13" customFormat="1">
      <c r="A475" s="166"/>
      <c r="B475" s="195" t="s">
        <v>403</v>
      </c>
      <c r="C475" s="195"/>
      <c r="D475" s="170" t="s">
        <v>380</v>
      </c>
      <c r="E475" s="189">
        <v>1.25</v>
      </c>
      <c r="F475" s="168" t="s">
        <v>404</v>
      </c>
      <c r="G475" s="149">
        <f>F475*E475</f>
        <v>8.7500000000000008E-2</v>
      </c>
      <c r="H475" s="173"/>
    </row>
    <row r="476" spans="1:8" s="13" customFormat="1">
      <c r="A476" s="166"/>
      <c r="B476" s="195" t="s">
        <v>582</v>
      </c>
      <c r="C476" s="195"/>
      <c r="D476" s="170" t="s">
        <v>380</v>
      </c>
      <c r="E476" s="347">
        <v>0.96</v>
      </c>
      <c r="F476" s="168">
        <v>0.03</v>
      </c>
      <c r="G476" s="197">
        <f t="shared" si="24"/>
        <v>2.8799999999999999E-2</v>
      </c>
      <c r="H476" s="190"/>
    </row>
    <row r="477" spans="1:8" s="13" customFormat="1">
      <c r="A477" s="165" t="s">
        <v>511</v>
      </c>
      <c r="B477" s="195" t="s">
        <v>487</v>
      </c>
      <c r="C477" s="195"/>
      <c r="D477" s="167"/>
      <c r="E477" s="348"/>
      <c r="F477" s="174"/>
      <c r="G477" s="197"/>
      <c r="H477" s="190"/>
    </row>
    <row r="478" spans="1:8" s="13" customFormat="1">
      <c r="A478" s="166"/>
      <c r="B478" s="195" t="s">
        <v>511</v>
      </c>
      <c r="C478" s="195"/>
      <c r="D478" s="170" t="s">
        <v>380</v>
      </c>
      <c r="E478" s="216">
        <v>0.66</v>
      </c>
      <c r="F478" s="168">
        <v>0.15</v>
      </c>
      <c r="G478" s="197">
        <f t="shared" si="24"/>
        <v>9.9000000000000005E-2</v>
      </c>
      <c r="H478" s="173"/>
    </row>
    <row r="479" spans="1:8" s="13" customFormat="1">
      <c r="A479" s="165" t="s">
        <v>562</v>
      </c>
      <c r="B479" s="195" t="s">
        <v>487</v>
      </c>
      <c r="C479" s="195"/>
      <c r="D479" s="167"/>
      <c r="E479" s="348"/>
      <c r="F479" s="174"/>
      <c r="G479" s="197"/>
      <c r="H479" s="190"/>
    </row>
    <row r="480" spans="1:8" s="13" customFormat="1">
      <c r="A480" s="166"/>
      <c r="B480" s="195" t="s">
        <v>600</v>
      </c>
      <c r="C480" s="195"/>
      <c r="D480" s="170" t="s">
        <v>380</v>
      </c>
      <c r="E480" s="216">
        <v>9.6999999999999993</v>
      </c>
      <c r="F480" s="168">
        <v>8.9999999999999993E-3</v>
      </c>
      <c r="G480" s="197">
        <f t="shared" si="24"/>
        <v>8.7299999999999989E-2</v>
      </c>
      <c r="H480" s="190"/>
    </row>
    <row r="481" spans="1:8" s="13" customFormat="1">
      <c r="A481" s="166"/>
      <c r="B481" s="195" t="s">
        <v>409</v>
      </c>
      <c r="C481" s="195"/>
      <c r="D481" s="170" t="s">
        <v>380</v>
      </c>
      <c r="E481" s="223">
        <v>1.52</v>
      </c>
      <c r="F481" s="168">
        <v>0.02</v>
      </c>
      <c r="G481" s="197">
        <f t="shared" si="24"/>
        <v>3.04E-2</v>
      </c>
      <c r="H481" s="190"/>
    </row>
    <row r="482" spans="1:8" s="13" customFormat="1">
      <c r="A482" s="166" t="s">
        <v>367</v>
      </c>
      <c r="B482" s="165"/>
      <c r="C482" s="165"/>
      <c r="D482" s="170"/>
      <c r="E482" s="189"/>
      <c r="F482" s="168"/>
      <c r="G482" s="149"/>
      <c r="H482" s="173"/>
    </row>
    <row r="483" spans="1:8" s="13" customFormat="1">
      <c r="A483" s="165"/>
      <c r="B483" s="165" t="s">
        <v>410</v>
      </c>
      <c r="C483" s="165"/>
      <c r="D483" s="176" t="s">
        <v>380</v>
      </c>
      <c r="E483" s="345">
        <v>7.37</v>
      </c>
      <c r="F483" s="177">
        <v>2.385E-3</v>
      </c>
      <c r="G483" s="178">
        <f t="shared" ref="G483:G490" si="25">F483*E483</f>
        <v>1.7577450000000001E-2</v>
      </c>
      <c r="H483" s="173"/>
    </row>
    <row r="484" spans="1:8" s="13" customFormat="1">
      <c r="A484" s="179"/>
      <c r="B484" s="179" t="s">
        <v>382</v>
      </c>
      <c r="C484" s="179"/>
      <c r="D484" s="176" t="s">
        <v>380</v>
      </c>
      <c r="E484" s="345">
        <v>0.96</v>
      </c>
      <c r="F484" s="177">
        <v>4.9290899999999997E-3</v>
      </c>
      <c r="G484" s="178">
        <f t="shared" si="25"/>
        <v>4.7319263999999993E-3</v>
      </c>
      <c r="H484" s="173"/>
    </row>
    <row r="485" spans="1:8" s="13" customFormat="1">
      <c r="A485" s="179"/>
      <c r="B485" s="179" t="s">
        <v>411</v>
      </c>
      <c r="C485" s="179"/>
      <c r="D485" s="176" t="s">
        <v>395</v>
      </c>
      <c r="E485" s="225">
        <v>1.65</v>
      </c>
      <c r="F485" s="177">
        <v>0.01</v>
      </c>
      <c r="G485" s="178">
        <f t="shared" si="25"/>
        <v>1.6500000000000001E-2</v>
      </c>
      <c r="H485" s="173"/>
    </row>
    <row r="486" spans="1:8">
      <c r="A486" s="179"/>
      <c r="B486" s="179" t="s">
        <v>412</v>
      </c>
      <c r="C486" s="179"/>
      <c r="D486" s="176" t="s">
        <v>380</v>
      </c>
      <c r="E486" s="345">
        <v>0.55000000000000004</v>
      </c>
      <c r="F486" s="177">
        <v>7.1599999999999997E-3</v>
      </c>
      <c r="G486" s="178">
        <f t="shared" si="25"/>
        <v>3.9380000000000005E-3</v>
      </c>
      <c r="H486" s="173"/>
    </row>
    <row r="487" spans="1:8" s="150" customFormat="1">
      <c r="A487" s="179"/>
      <c r="B487" s="179" t="s">
        <v>413</v>
      </c>
      <c r="C487" s="179"/>
      <c r="D487" s="176" t="s">
        <v>414</v>
      </c>
      <c r="E487" s="225">
        <v>5.0000000000000001E-3</v>
      </c>
      <c r="F487" s="177">
        <v>0.95454499999999998</v>
      </c>
      <c r="G487" s="178">
        <f t="shared" si="25"/>
        <v>4.7727250000000002E-3</v>
      </c>
      <c r="H487" s="173"/>
    </row>
    <row r="488" spans="1:8" s="10" customFormat="1">
      <c r="A488" s="179"/>
      <c r="B488" s="179" t="s">
        <v>415</v>
      </c>
      <c r="C488" s="179"/>
      <c r="D488" s="176" t="s">
        <v>380</v>
      </c>
      <c r="E488" s="345">
        <v>3.08</v>
      </c>
      <c r="F488" s="177">
        <v>0.01</v>
      </c>
      <c r="G488" s="178">
        <f t="shared" si="25"/>
        <v>3.0800000000000001E-2</v>
      </c>
      <c r="H488" s="173"/>
    </row>
    <row r="489" spans="1:8">
      <c r="A489" s="179"/>
      <c r="B489" s="179" t="s">
        <v>416</v>
      </c>
      <c r="C489" s="179"/>
      <c r="D489" s="176" t="s">
        <v>395</v>
      </c>
      <c r="E489" s="345">
        <v>2.85</v>
      </c>
      <c r="F489" s="177">
        <v>0.01</v>
      </c>
      <c r="G489" s="178">
        <f t="shared" si="25"/>
        <v>2.8500000000000001E-2</v>
      </c>
      <c r="H489" s="173"/>
    </row>
    <row r="490" spans="1:8">
      <c r="A490" s="179"/>
      <c r="B490" s="179" t="s">
        <v>417</v>
      </c>
      <c r="C490" s="179"/>
      <c r="D490" s="176" t="s">
        <v>395</v>
      </c>
      <c r="E490" s="225">
        <v>16.940000000000001</v>
      </c>
      <c r="F490" s="177">
        <v>0.01</v>
      </c>
      <c r="G490" s="178">
        <f t="shared" si="25"/>
        <v>0.16940000000000002</v>
      </c>
      <c r="H490" s="173"/>
    </row>
    <row r="491" spans="1:8">
      <c r="A491" s="180" t="s">
        <v>112</v>
      </c>
      <c r="B491" s="181"/>
      <c r="C491" s="181"/>
      <c r="D491" s="182"/>
      <c r="E491" s="346"/>
      <c r="F491" s="183"/>
      <c r="G491" s="198">
        <f>SUM(G459:G490)</f>
        <v>2.8605933014000011</v>
      </c>
      <c r="H491" s="191"/>
    </row>
    <row r="492" spans="1:8">
      <c r="A492" s="150"/>
      <c r="B492" s="150"/>
      <c r="C492" s="150"/>
      <c r="D492" s="186"/>
      <c r="E492" s="186"/>
      <c r="F492" s="187"/>
      <c r="G492" s="186"/>
      <c r="H492" s="188"/>
    </row>
    <row r="493" spans="1:8" ht="45">
      <c r="A493" s="399" t="s">
        <v>113</v>
      </c>
      <c r="B493" s="399"/>
      <c r="C493" s="399"/>
      <c r="D493" s="400" t="s">
        <v>376</v>
      </c>
      <c r="E493" s="400" t="s">
        <v>91</v>
      </c>
      <c r="F493" s="401" t="s">
        <v>92</v>
      </c>
      <c r="G493" s="402" t="s">
        <v>93</v>
      </c>
      <c r="H493" s="403" t="s">
        <v>377</v>
      </c>
    </row>
    <row r="494" spans="1:8">
      <c r="A494" s="165" t="s">
        <v>601</v>
      </c>
      <c r="B494" s="166"/>
      <c r="C494" s="166"/>
      <c r="D494" s="167"/>
      <c r="E494" s="343"/>
      <c r="F494" s="174"/>
      <c r="G494" s="167"/>
      <c r="H494" s="190"/>
    </row>
    <row r="495" spans="1:8">
      <c r="A495" s="166"/>
      <c r="B495" s="195" t="s">
        <v>602</v>
      </c>
      <c r="C495" s="195"/>
      <c r="D495" s="170" t="s">
        <v>380</v>
      </c>
      <c r="E495" s="347">
        <v>8.7100000000000009</v>
      </c>
      <c r="F495" s="168">
        <v>0.21</v>
      </c>
      <c r="G495" s="197">
        <f>F495*E495</f>
        <v>1.8291000000000002</v>
      </c>
      <c r="H495" s="190">
        <v>150</v>
      </c>
    </row>
    <row r="496" spans="1:8">
      <c r="A496" s="166"/>
      <c r="B496" s="195" t="s">
        <v>382</v>
      </c>
      <c r="C496" s="195"/>
      <c r="D496" s="170" t="s">
        <v>380</v>
      </c>
      <c r="E496" s="347">
        <v>0.96</v>
      </c>
      <c r="F496" s="168" t="s">
        <v>385</v>
      </c>
      <c r="G496" s="197">
        <f t="shared" ref="G496:G519" si="26">F496*E496</f>
        <v>4.7999999999999996E-3</v>
      </c>
      <c r="H496" s="190"/>
    </row>
    <row r="497" spans="1:8">
      <c r="A497" s="166"/>
      <c r="B497" s="195" t="s">
        <v>503</v>
      </c>
      <c r="C497" s="195"/>
      <c r="D497" s="170" t="s">
        <v>380</v>
      </c>
      <c r="E497" s="347">
        <v>1.87</v>
      </c>
      <c r="F497" s="168" t="s">
        <v>504</v>
      </c>
      <c r="G497" s="197">
        <f t="shared" si="26"/>
        <v>5.6100000000000004E-3</v>
      </c>
      <c r="H497" s="190"/>
    </row>
    <row r="498" spans="1:8">
      <c r="A498" s="166"/>
      <c r="B498" s="195" t="s">
        <v>603</v>
      </c>
      <c r="C498" s="195"/>
      <c r="D498" s="170" t="s">
        <v>380</v>
      </c>
      <c r="E498" s="347">
        <v>1.2</v>
      </c>
      <c r="F498" s="168">
        <v>0.02</v>
      </c>
      <c r="G498" s="197">
        <f t="shared" si="26"/>
        <v>2.4E-2</v>
      </c>
      <c r="H498" s="190"/>
    </row>
    <row r="499" spans="1:8">
      <c r="A499" s="166"/>
      <c r="B499" s="195" t="s">
        <v>384</v>
      </c>
      <c r="C499" s="195"/>
      <c r="D499" s="170" t="s">
        <v>380</v>
      </c>
      <c r="E499" s="216">
        <v>3.21</v>
      </c>
      <c r="F499" s="168">
        <v>5.0000000000000001E-3</v>
      </c>
      <c r="G499" s="197">
        <f t="shared" si="26"/>
        <v>1.6050000000000002E-2</v>
      </c>
      <c r="H499" s="190"/>
    </row>
    <row r="500" spans="1:8">
      <c r="A500" s="166"/>
      <c r="B500" s="195" t="s">
        <v>485</v>
      </c>
      <c r="C500" s="195"/>
      <c r="D500" s="170" t="s">
        <v>395</v>
      </c>
      <c r="E500" s="216">
        <v>3.08</v>
      </c>
      <c r="F500" s="168" t="s">
        <v>385</v>
      </c>
      <c r="G500" s="197">
        <f t="shared" si="26"/>
        <v>1.54E-2</v>
      </c>
      <c r="H500" s="190"/>
    </row>
    <row r="501" spans="1:8">
      <c r="A501" s="166"/>
      <c r="B501" s="195" t="s">
        <v>392</v>
      </c>
      <c r="C501" s="195"/>
      <c r="D501" s="170" t="s">
        <v>380</v>
      </c>
      <c r="E501" s="216">
        <v>20.63</v>
      </c>
      <c r="F501" s="168">
        <v>5.0000000000000001E-3</v>
      </c>
      <c r="G501" s="197">
        <f t="shared" si="26"/>
        <v>0.10314999999999999</v>
      </c>
      <c r="H501" s="190"/>
    </row>
    <row r="502" spans="1:8">
      <c r="A502" s="165" t="s">
        <v>604</v>
      </c>
      <c r="B502" s="195" t="s">
        <v>448</v>
      </c>
      <c r="C502" s="195"/>
      <c r="D502" s="167"/>
      <c r="E502" s="348"/>
      <c r="F502" s="174"/>
      <c r="G502" s="197"/>
      <c r="H502" s="190"/>
    </row>
    <row r="503" spans="1:8">
      <c r="A503" s="166"/>
      <c r="B503" s="195" t="s">
        <v>410</v>
      </c>
      <c r="C503" s="195"/>
      <c r="D503" s="170" t="s">
        <v>380</v>
      </c>
      <c r="E503" s="347">
        <v>7.37</v>
      </c>
      <c r="F503" s="168">
        <v>5.0000000000000001E-3</v>
      </c>
      <c r="G503" s="197">
        <f t="shared" si="26"/>
        <v>3.6850000000000001E-2</v>
      </c>
      <c r="H503" s="173"/>
    </row>
    <row r="504" spans="1:8">
      <c r="A504" s="166"/>
      <c r="B504" s="195" t="s">
        <v>452</v>
      </c>
      <c r="C504" s="195"/>
      <c r="D504" s="170" t="s">
        <v>380</v>
      </c>
      <c r="E504" s="216">
        <v>1.31</v>
      </c>
      <c r="F504" s="168">
        <v>0.1</v>
      </c>
      <c r="G504" s="197">
        <f t="shared" si="26"/>
        <v>0.13100000000000001</v>
      </c>
      <c r="H504" s="190"/>
    </row>
    <row r="505" spans="1:8">
      <c r="A505" s="165" t="s">
        <v>605</v>
      </c>
      <c r="B505" s="195" t="s">
        <v>448</v>
      </c>
      <c r="C505" s="195"/>
      <c r="D505" s="167"/>
      <c r="E505" s="348"/>
      <c r="F505" s="174"/>
      <c r="G505" s="197"/>
      <c r="H505" s="190"/>
    </row>
    <row r="506" spans="1:8">
      <c r="A506" s="166"/>
      <c r="B506" s="195" t="s">
        <v>410</v>
      </c>
      <c r="C506" s="195"/>
      <c r="D506" s="170" t="s">
        <v>380</v>
      </c>
      <c r="E506" s="347">
        <v>7.37</v>
      </c>
      <c r="F506" s="168" t="s">
        <v>606</v>
      </c>
      <c r="G506" s="197">
        <f t="shared" si="26"/>
        <v>4.4219999999999997E-3</v>
      </c>
      <c r="H506" s="190"/>
    </row>
    <row r="507" spans="1:8">
      <c r="A507" s="166"/>
      <c r="B507" s="195" t="s">
        <v>369</v>
      </c>
      <c r="C507" s="195"/>
      <c r="D507" s="170" t="s">
        <v>380</v>
      </c>
      <c r="E507" s="216">
        <v>2.63</v>
      </c>
      <c r="F507" s="168" t="s">
        <v>389</v>
      </c>
      <c r="G507" s="197">
        <f t="shared" si="26"/>
        <v>2.63E-3</v>
      </c>
      <c r="H507" s="190"/>
    </row>
    <row r="508" spans="1:8">
      <c r="A508" s="166"/>
      <c r="B508" s="195" t="s">
        <v>607</v>
      </c>
      <c r="C508" s="195"/>
      <c r="D508" s="170" t="s">
        <v>380</v>
      </c>
      <c r="E508" s="347">
        <v>0.67</v>
      </c>
      <c r="F508" s="168">
        <v>0.17</v>
      </c>
      <c r="G508" s="197">
        <f t="shared" si="26"/>
        <v>0.11390000000000002</v>
      </c>
      <c r="H508" s="173"/>
    </row>
    <row r="509" spans="1:8">
      <c r="A509" s="166"/>
      <c r="B509" s="195" t="s">
        <v>382</v>
      </c>
      <c r="C509" s="195"/>
      <c r="D509" s="170" t="s">
        <v>380</v>
      </c>
      <c r="E509" s="347">
        <v>0.96</v>
      </c>
      <c r="F509" s="168" t="s">
        <v>385</v>
      </c>
      <c r="G509" s="197">
        <f t="shared" si="26"/>
        <v>4.7999999999999996E-3</v>
      </c>
      <c r="H509" s="190"/>
    </row>
    <row r="510" spans="1:8">
      <c r="A510" s="165" t="s">
        <v>396</v>
      </c>
      <c r="B510" s="195" t="s">
        <v>448</v>
      </c>
      <c r="C510" s="195"/>
      <c r="D510" s="167"/>
      <c r="E510" s="348"/>
      <c r="F510" s="174"/>
      <c r="G510" s="197"/>
      <c r="H510" s="190"/>
    </row>
    <row r="511" spans="1:8">
      <c r="A511" s="166"/>
      <c r="B511" s="195" t="s">
        <v>397</v>
      </c>
      <c r="C511" s="195"/>
      <c r="D511" s="170" t="s">
        <v>380</v>
      </c>
      <c r="E511" s="189">
        <v>2.1800000000000002</v>
      </c>
      <c r="F511" s="168">
        <v>7.0000000000000007E-2</v>
      </c>
      <c r="G511" s="197">
        <f t="shared" si="26"/>
        <v>0.15260000000000001</v>
      </c>
      <c r="H511" s="190"/>
    </row>
    <row r="512" spans="1:8">
      <c r="A512" s="166"/>
      <c r="B512" s="195" t="s">
        <v>398</v>
      </c>
      <c r="C512" s="195"/>
      <c r="D512" s="170"/>
      <c r="E512" s="189"/>
      <c r="F512" s="168"/>
      <c r="G512" s="197"/>
      <c r="H512" s="190"/>
    </row>
    <row r="513" spans="1:8">
      <c r="A513" s="165" t="s">
        <v>432</v>
      </c>
      <c r="B513" s="195" t="s">
        <v>448</v>
      </c>
      <c r="C513" s="195"/>
      <c r="D513" s="167"/>
      <c r="E513" s="348"/>
      <c r="F513" s="174"/>
      <c r="G513" s="197"/>
      <c r="H513" s="190"/>
    </row>
    <row r="514" spans="1:8" s="13" customFormat="1">
      <c r="A514" s="166"/>
      <c r="B514" s="195" t="s">
        <v>433</v>
      </c>
      <c r="C514" s="195"/>
      <c r="D514" s="170" t="s">
        <v>380</v>
      </c>
      <c r="E514" s="189">
        <v>3.39</v>
      </c>
      <c r="F514" s="168">
        <v>0.04</v>
      </c>
      <c r="G514" s="197">
        <f t="shared" si="26"/>
        <v>0.1356</v>
      </c>
      <c r="H514" s="190"/>
    </row>
    <row r="515" spans="1:8" s="13" customFormat="1">
      <c r="A515" s="165" t="s">
        <v>608</v>
      </c>
      <c r="B515" s="195" t="s">
        <v>448</v>
      </c>
      <c r="C515" s="195"/>
      <c r="D515" s="167"/>
      <c r="E515" s="348"/>
      <c r="F515" s="174"/>
      <c r="G515" s="197"/>
      <c r="H515" s="190"/>
    </row>
    <row r="516" spans="1:8" s="13" customFormat="1">
      <c r="A516" s="166"/>
      <c r="B516" s="195" t="s">
        <v>609</v>
      </c>
      <c r="C516" s="195"/>
      <c r="D516" s="170" t="s">
        <v>380</v>
      </c>
      <c r="E516" s="347">
        <v>0.78</v>
      </c>
      <c r="F516" s="168" t="s">
        <v>610</v>
      </c>
      <c r="G516" s="197">
        <f t="shared" si="26"/>
        <v>0.18720000000000001</v>
      </c>
      <c r="H516" s="173"/>
    </row>
    <row r="517" spans="1:8" s="13" customFormat="1">
      <c r="A517" s="165" t="s">
        <v>458</v>
      </c>
      <c r="B517" s="195" t="s">
        <v>448</v>
      </c>
      <c r="C517" s="195"/>
      <c r="D517" s="167"/>
      <c r="E517" s="348"/>
      <c r="F517" s="174"/>
      <c r="G517" s="197"/>
      <c r="H517" s="190"/>
    </row>
    <row r="518" spans="1:8" s="13" customFormat="1">
      <c r="A518" s="166"/>
      <c r="B518" s="195" t="s">
        <v>611</v>
      </c>
      <c r="C518" s="195"/>
      <c r="D518" s="170" t="s">
        <v>380</v>
      </c>
      <c r="E518" s="216">
        <v>9.8800000000000008</v>
      </c>
      <c r="F518" s="168">
        <v>8.9999999999999993E-3</v>
      </c>
      <c r="G518" s="197">
        <f t="shared" si="26"/>
        <v>8.8919999999999999E-2</v>
      </c>
      <c r="H518" s="190"/>
    </row>
    <row r="519" spans="1:8" s="13" customFormat="1">
      <c r="A519" s="166"/>
      <c r="B519" s="195" t="s">
        <v>409</v>
      </c>
      <c r="C519" s="195"/>
      <c r="D519" s="170" t="s">
        <v>380</v>
      </c>
      <c r="E519" s="223">
        <v>1.52</v>
      </c>
      <c r="F519" s="168">
        <v>0.02</v>
      </c>
      <c r="G519" s="197">
        <f t="shared" si="26"/>
        <v>3.04E-2</v>
      </c>
      <c r="H519" s="190"/>
    </row>
    <row r="520" spans="1:8" s="13" customFormat="1">
      <c r="A520" s="166" t="s">
        <v>367</v>
      </c>
      <c r="B520" s="165"/>
      <c r="C520" s="165"/>
      <c r="D520" s="170"/>
      <c r="E520" s="189"/>
      <c r="F520" s="168"/>
      <c r="G520" s="149"/>
      <c r="H520" s="173"/>
    </row>
    <row r="521" spans="1:8" s="13" customFormat="1">
      <c r="A521" s="165"/>
      <c r="B521" s="165" t="s">
        <v>442</v>
      </c>
      <c r="C521" s="165"/>
      <c r="D521" s="176" t="s">
        <v>380</v>
      </c>
      <c r="E521" s="345">
        <v>7.37</v>
      </c>
      <c r="F521" s="177">
        <v>2.385E-3</v>
      </c>
      <c r="G521" s="178">
        <f t="shared" ref="G521:G528" si="27">F521*E521</f>
        <v>1.7577450000000001E-2</v>
      </c>
      <c r="H521" s="173"/>
    </row>
    <row r="522" spans="1:8" s="13" customFormat="1">
      <c r="A522" s="179"/>
      <c r="B522" s="179" t="s">
        <v>382</v>
      </c>
      <c r="C522" s="179"/>
      <c r="D522" s="176" t="s">
        <v>380</v>
      </c>
      <c r="E522" s="345">
        <v>0.96</v>
      </c>
      <c r="F522" s="177">
        <v>4.9290899999999997E-3</v>
      </c>
      <c r="G522" s="178">
        <f t="shared" si="27"/>
        <v>4.7319263999999993E-3</v>
      </c>
      <c r="H522" s="173"/>
    </row>
    <row r="523" spans="1:8" s="13" customFormat="1">
      <c r="A523" s="179"/>
      <c r="B523" s="179" t="s">
        <v>411</v>
      </c>
      <c r="C523" s="179"/>
      <c r="D523" s="176" t="s">
        <v>395</v>
      </c>
      <c r="E523" s="225">
        <v>1.65</v>
      </c>
      <c r="F523" s="177">
        <v>0.01</v>
      </c>
      <c r="G523" s="178">
        <f t="shared" si="27"/>
        <v>1.6500000000000001E-2</v>
      </c>
      <c r="H523" s="173"/>
    </row>
    <row r="524" spans="1:8" s="13" customFormat="1">
      <c r="A524" s="179"/>
      <c r="B524" s="179" t="s">
        <v>412</v>
      </c>
      <c r="C524" s="179"/>
      <c r="D524" s="176" t="s">
        <v>380</v>
      </c>
      <c r="E524" s="345">
        <v>0.55000000000000004</v>
      </c>
      <c r="F524" s="177">
        <v>7.1599999999999997E-3</v>
      </c>
      <c r="G524" s="178">
        <f t="shared" si="27"/>
        <v>3.9380000000000005E-3</v>
      </c>
      <c r="H524" s="173"/>
    </row>
    <row r="525" spans="1:8" s="13" customFormat="1">
      <c r="A525" s="179"/>
      <c r="B525" s="179" t="s">
        <v>413</v>
      </c>
      <c r="C525" s="179"/>
      <c r="D525" s="176" t="s">
        <v>414</v>
      </c>
      <c r="E525" s="225">
        <v>5.0000000000000001E-3</v>
      </c>
      <c r="F525" s="177">
        <v>0.95454499999999998</v>
      </c>
      <c r="G525" s="178">
        <f t="shared" si="27"/>
        <v>4.7727250000000002E-3</v>
      </c>
      <c r="H525" s="173"/>
    </row>
    <row r="526" spans="1:8">
      <c r="A526" s="179"/>
      <c r="B526" s="179" t="s">
        <v>415</v>
      </c>
      <c r="C526" s="179"/>
      <c r="D526" s="176" t="s">
        <v>380</v>
      </c>
      <c r="E526" s="345">
        <v>3.08</v>
      </c>
      <c r="F526" s="177">
        <v>0.01</v>
      </c>
      <c r="G526" s="178">
        <f t="shared" si="27"/>
        <v>3.0800000000000001E-2</v>
      </c>
      <c r="H526" s="173"/>
    </row>
    <row r="527" spans="1:8" s="150" customFormat="1">
      <c r="A527" s="179"/>
      <c r="B527" s="179" t="s">
        <v>416</v>
      </c>
      <c r="C527" s="179"/>
      <c r="D527" s="176" t="s">
        <v>395</v>
      </c>
      <c r="E527" s="345">
        <v>2.85</v>
      </c>
      <c r="F527" s="177">
        <v>0.01</v>
      </c>
      <c r="G527" s="178">
        <f t="shared" si="27"/>
        <v>2.8500000000000001E-2</v>
      </c>
      <c r="H527" s="173"/>
    </row>
    <row r="528" spans="1:8" s="10" customFormat="1">
      <c r="A528" s="179"/>
      <c r="B528" s="179" t="s">
        <v>417</v>
      </c>
      <c r="C528" s="179"/>
      <c r="D528" s="176" t="s">
        <v>395</v>
      </c>
      <c r="E528" s="225">
        <v>16.940000000000001</v>
      </c>
      <c r="F528" s="177">
        <v>0.01</v>
      </c>
      <c r="G528" s="178">
        <f t="shared" si="27"/>
        <v>0.16940000000000002</v>
      </c>
      <c r="H528" s="173"/>
    </row>
    <row r="529" spans="1:8">
      <c r="A529" s="180" t="s">
        <v>114</v>
      </c>
      <c r="B529" s="181"/>
      <c r="C529" s="181"/>
      <c r="D529" s="182"/>
      <c r="E529" s="346"/>
      <c r="F529" s="183"/>
      <c r="G529" s="198">
        <f>SUM(G495:G528)</f>
        <v>3.1626521014000009</v>
      </c>
      <c r="H529" s="191"/>
    </row>
    <row r="530" spans="1:8">
      <c r="A530" s="150"/>
      <c r="B530" s="205"/>
      <c r="C530" s="205"/>
      <c r="D530" s="206"/>
      <c r="E530" s="206"/>
      <c r="F530" s="207"/>
      <c r="G530" s="186"/>
      <c r="H530" s="188"/>
    </row>
    <row r="531" spans="1:8" ht="45">
      <c r="A531" s="399" t="s">
        <v>115</v>
      </c>
      <c r="B531" s="399"/>
      <c r="C531" s="399"/>
      <c r="D531" s="400" t="s">
        <v>376</v>
      </c>
      <c r="E531" s="400" t="s">
        <v>91</v>
      </c>
      <c r="F531" s="401" t="s">
        <v>92</v>
      </c>
      <c r="G531" s="402" t="s">
        <v>93</v>
      </c>
      <c r="H531" s="403" t="s">
        <v>377</v>
      </c>
    </row>
    <row r="532" spans="1:8">
      <c r="A532" s="165" t="s">
        <v>612</v>
      </c>
      <c r="B532" s="166"/>
      <c r="C532" s="166"/>
      <c r="D532" s="167"/>
      <c r="E532" s="343"/>
      <c r="F532" s="174"/>
      <c r="G532" s="167"/>
      <c r="H532" s="173"/>
    </row>
    <row r="533" spans="1:8" ht="18.75" customHeight="1">
      <c r="A533" s="166"/>
      <c r="B533" s="195" t="s">
        <v>851</v>
      </c>
      <c r="C533" s="195"/>
      <c r="D533" s="170" t="s">
        <v>380</v>
      </c>
      <c r="E533" s="216">
        <v>8.44</v>
      </c>
      <c r="F533" s="168">
        <v>0.15</v>
      </c>
      <c r="G533" s="196">
        <f>F533*E533</f>
        <v>1.2659999999999998</v>
      </c>
      <c r="H533" s="173">
        <v>150</v>
      </c>
    </row>
    <row r="534" spans="1:8">
      <c r="A534" s="166"/>
      <c r="B534" s="195" t="s">
        <v>382</v>
      </c>
      <c r="C534" s="195"/>
      <c r="D534" s="170" t="s">
        <v>380</v>
      </c>
      <c r="E534" s="347">
        <v>0.96</v>
      </c>
      <c r="F534" s="168">
        <v>5.0000000000000001E-3</v>
      </c>
      <c r="G534" s="196">
        <f t="shared" ref="G534:G560" si="28">F534*E534</f>
        <v>4.7999999999999996E-3</v>
      </c>
      <c r="H534" s="173"/>
    </row>
    <row r="535" spans="1:8">
      <c r="A535" s="166"/>
      <c r="B535" s="195" t="s">
        <v>568</v>
      </c>
      <c r="C535" s="195"/>
      <c r="D535" s="170" t="s">
        <v>380</v>
      </c>
      <c r="E535" s="347">
        <v>0.77</v>
      </c>
      <c r="F535" s="168">
        <v>0.05</v>
      </c>
      <c r="G535" s="196">
        <f t="shared" si="28"/>
        <v>3.8500000000000006E-2</v>
      </c>
      <c r="H535" s="173"/>
    </row>
    <row r="536" spans="1:8">
      <c r="A536" s="166"/>
      <c r="B536" s="195" t="s">
        <v>503</v>
      </c>
      <c r="C536" s="195"/>
      <c r="D536" s="170" t="s">
        <v>380</v>
      </c>
      <c r="E536" s="347">
        <v>1.87</v>
      </c>
      <c r="F536" s="168">
        <v>0.05</v>
      </c>
      <c r="G536" s="196">
        <f t="shared" si="28"/>
        <v>9.3500000000000014E-2</v>
      </c>
      <c r="H536" s="173"/>
    </row>
    <row r="537" spans="1:8">
      <c r="A537" s="166"/>
      <c r="B537" s="195" t="s">
        <v>613</v>
      </c>
      <c r="C537" s="195"/>
      <c r="D537" s="170" t="s">
        <v>380</v>
      </c>
      <c r="E537" s="216">
        <v>11.68</v>
      </c>
      <c r="F537" s="168" t="s">
        <v>385</v>
      </c>
      <c r="G537" s="217">
        <f>F537*E537</f>
        <v>5.8400000000000001E-2</v>
      </c>
      <c r="H537" s="173"/>
    </row>
    <row r="538" spans="1:8">
      <c r="A538" s="166"/>
      <c r="B538" s="195" t="s">
        <v>384</v>
      </c>
      <c r="C538" s="195"/>
      <c r="D538" s="170" t="s">
        <v>380</v>
      </c>
      <c r="E538" s="216">
        <v>3.21</v>
      </c>
      <c r="F538" s="168">
        <v>5.0000000000000001E-3</v>
      </c>
      <c r="G538" s="196">
        <f t="shared" si="28"/>
        <v>1.6050000000000002E-2</v>
      </c>
      <c r="H538" s="173"/>
    </row>
    <row r="539" spans="1:8">
      <c r="A539" s="166"/>
      <c r="B539" s="195" t="s">
        <v>614</v>
      </c>
      <c r="C539" s="195"/>
      <c r="D539" s="170" t="s">
        <v>380</v>
      </c>
      <c r="E539" s="216">
        <v>3.74</v>
      </c>
      <c r="F539" s="168" t="s">
        <v>385</v>
      </c>
      <c r="G539" s="196">
        <f t="shared" si="28"/>
        <v>1.8700000000000001E-2</v>
      </c>
      <c r="H539" s="173"/>
    </row>
    <row r="540" spans="1:8">
      <c r="A540" s="166"/>
      <c r="B540" s="195" t="s">
        <v>615</v>
      </c>
      <c r="C540" s="195"/>
      <c r="D540" s="170" t="s">
        <v>380</v>
      </c>
      <c r="E540" s="216">
        <v>3.99</v>
      </c>
      <c r="F540" s="168">
        <v>5.0000000000000001E-3</v>
      </c>
      <c r="G540" s="196">
        <f t="shared" si="28"/>
        <v>1.9950000000000002E-2</v>
      </c>
      <c r="H540" s="190"/>
    </row>
    <row r="541" spans="1:8">
      <c r="A541" s="165" t="s">
        <v>616</v>
      </c>
      <c r="B541" s="195" t="s">
        <v>448</v>
      </c>
      <c r="C541" s="195"/>
      <c r="D541" s="167"/>
      <c r="E541" s="348"/>
      <c r="F541" s="174"/>
      <c r="G541" s="196"/>
      <c r="H541" s="190"/>
    </row>
    <row r="542" spans="1:8">
      <c r="A542" s="166"/>
      <c r="B542" s="195" t="s">
        <v>587</v>
      </c>
      <c r="C542" s="195"/>
      <c r="D542" s="170" t="s">
        <v>380</v>
      </c>
      <c r="E542" s="216">
        <v>17.62</v>
      </c>
      <c r="F542" s="168" t="s">
        <v>430</v>
      </c>
      <c r="G542" s="196">
        <f t="shared" si="28"/>
        <v>3.524E-2</v>
      </c>
      <c r="H542" s="173"/>
    </row>
    <row r="543" spans="1:8">
      <c r="A543" s="166"/>
      <c r="B543" s="195" t="s">
        <v>588</v>
      </c>
      <c r="C543" s="195"/>
      <c r="D543" s="170" t="s">
        <v>380</v>
      </c>
      <c r="E543" s="216">
        <v>1.67</v>
      </c>
      <c r="F543" s="168" t="s">
        <v>504</v>
      </c>
      <c r="G543" s="196">
        <f t="shared" si="28"/>
        <v>5.0099999999999997E-3</v>
      </c>
      <c r="H543" s="190"/>
    </row>
    <row r="544" spans="1:8">
      <c r="A544" s="166"/>
      <c r="B544" s="195" t="s">
        <v>382</v>
      </c>
      <c r="C544" s="195"/>
      <c r="D544" s="170" t="s">
        <v>380</v>
      </c>
      <c r="E544" s="347">
        <v>0.96</v>
      </c>
      <c r="F544" s="168">
        <v>4.9199999999999999E-3</v>
      </c>
      <c r="G544" s="196">
        <f t="shared" si="28"/>
        <v>4.7231999999999994E-3</v>
      </c>
      <c r="H544" s="190"/>
    </row>
    <row r="545" spans="1:8">
      <c r="A545" s="166"/>
      <c r="B545" s="195" t="s">
        <v>464</v>
      </c>
      <c r="C545" s="195"/>
      <c r="D545" s="170" t="s">
        <v>380</v>
      </c>
      <c r="E545" s="347">
        <v>1.87</v>
      </c>
      <c r="F545" s="168" t="s">
        <v>391</v>
      </c>
      <c r="G545" s="196">
        <f t="shared" si="28"/>
        <v>9.3500000000000014E-2</v>
      </c>
      <c r="H545" s="190"/>
    </row>
    <row r="546" spans="1:8">
      <c r="A546" s="166"/>
      <c r="B546" s="195" t="s">
        <v>617</v>
      </c>
      <c r="C546" s="195"/>
      <c r="D546" s="170" t="s">
        <v>380</v>
      </c>
      <c r="E546" s="347">
        <v>7.61</v>
      </c>
      <c r="F546" s="168">
        <v>0.24</v>
      </c>
      <c r="G546" s="196">
        <f t="shared" si="28"/>
        <v>1.8264</v>
      </c>
      <c r="H546" s="190"/>
    </row>
    <row r="547" spans="1:8">
      <c r="A547" s="166"/>
      <c r="B547" s="195" t="s">
        <v>384</v>
      </c>
      <c r="C547" s="195"/>
      <c r="D547" s="170" t="s">
        <v>380</v>
      </c>
      <c r="E547" s="216">
        <v>3.21</v>
      </c>
      <c r="F547" s="168">
        <v>5.0000000000000001E-3</v>
      </c>
      <c r="G547" s="196">
        <f t="shared" si="28"/>
        <v>1.6050000000000002E-2</v>
      </c>
      <c r="H547" s="190"/>
    </row>
    <row r="548" spans="1:8">
      <c r="A548" s="165" t="s">
        <v>396</v>
      </c>
      <c r="B548" s="195" t="s">
        <v>448</v>
      </c>
      <c r="C548" s="195"/>
      <c r="D548" s="167"/>
      <c r="E548" s="348"/>
      <c r="F548" s="174"/>
      <c r="G548" s="196"/>
      <c r="H548" s="190"/>
    </row>
    <row r="549" spans="1:8">
      <c r="A549" s="166"/>
      <c r="B549" s="195" t="s">
        <v>397</v>
      </c>
      <c r="C549" s="195"/>
      <c r="D549" s="170" t="s">
        <v>380</v>
      </c>
      <c r="E549" s="189">
        <v>2.1800000000000002</v>
      </c>
      <c r="F549" s="168">
        <v>7.0000000000000007E-2</v>
      </c>
      <c r="G549" s="196">
        <f t="shared" si="28"/>
        <v>0.15260000000000001</v>
      </c>
      <c r="H549" s="190"/>
    </row>
    <row r="550" spans="1:8">
      <c r="A550" s="166"/>
      <c r="B550" s="195" t="s">
        <v>398</v>
      </c>
      <c r="C550" s="195"/>
      <c r="D550" s="170"/>
      <c r="E550" s="189"/>
      <c r="F550" s="168"/>
      <c r="G550" s="196"/>
      <c r="H550" s="190"/>
    </row>
    <row r="551" spans="1:8">
      <c r="A551" s="165" t="s">
        <v>432</v>
      </c>
      <c r="B551" s="195" t="s">
        <v>448</v>
      </c>
      <c r="C551" s="195"/>
      <c r="D551" s="167"/>
      <c r="E551" s="348"/>
      <c r="F551" s="174"/>
      <c r="G551" s="196"/>
      <c r="H551" s="190"/>
    </row>
    <row r="552" spans="1:8">
      <c r="A552" s="166"/>
      <c r="B552" s="195" t="s">
        <v>432</v>
      </c>
      <c r="C552" s="195"/>
      <c r="D552" s="170" t="s">
        <v>380</v>
      </c>
      <c r="E552" s="189">
        <v>3.39</v>
      </c>
      <c r="F552" s="168">
        <v>0.04</v>
      </c>
      <c r="G552" s="196">
        <f t="shared" si="28"/>
        <v>0.1356</v>
      </c>
      <c r="H552" s="173"/>
    </row>
    <row r="553" spans="1:8">
      <c r="A553" s="165" t="s">
        <v>618</v>
      </c>
      <c r="B553" s="195" t="s">
        <v>448</v>
      </c>
      <c r="C553" s="195"/>
      <c r="D553" s="167"/>
      <c r="E553" s="348"/>
      <c r="F553" s="174"/>
      <c r="G553" s="196"/>
      <c r="H553" s="190"/>
    </row>
    <row r="554" spans="1:8">
      <c r="A554" s="166"/>
      <c r="B554" s="195" t="s">
        <v>619</v>
      </c>
      <c r="C554" s="195"/>
      <c r="D554" s="170" t="s">
        <v>380</v>
      </c>
      <c r="E554" s="347">
        <v>1.79</v>
      </c>
      <c r="F554" s="168">
        <v>4.4999999999999998E-2</v>
      </c>
      <c r="G554" s="196">
        <f t="shared" si="28"/>
        <v>8.0549999999999997E-2</v>
      </c>
      <c r="H554" s="190"/>
    </row>
    <row r="555" spans="1:8" s="13" customFormat="1">
      <c r="A555" s="166"/>
      <c r="B555" s="195" t="s">
        <v>620</v>
      </c>
      <c r="C555" s="195"/>
      <c r="D555" s="170" t="s">
        <v>380</v>
      </c>
      <c r="E555" s="347">
        <v>0.96</v>
      </c>
      <c r="F555" s="168">
        <v>3.5000000000000003E-2</v>
      </c>
      <c r="G555" s="196">
        <f t="shared" si="28"/>
        <v>3.3600000000000005E-2</v>
      </c>
      <c r="H555" s="173"/>
    </row>
    <row r="556" spans="1:8" s="13" customFormat="1">
      <c r="A556" s="165" t="s">
        <v>621</v>
      </c>
      <c r="B556" s="195" t="s">
        <v>448</v>
      </c>
      <c r="C556" s="195"/>
      <c r="D556" s="167"/>
      <c r="E556" s="348"/>
      <c r="F556" s="174"/>
      <c r="G556" s="196"/>
      <c r="H556" s="190"/>
    </row>
    <row r="557" spans="1:8" s="13" customFormat="1">
      <c r="A557" s="166"/>
      <c r="B557" s="195" t="s">
        <v>622</v>
      </c>
      <c r="C557" s="195"/>
      <c r="D557" s="170" t="s">
        <v>380</v>
      </c>
      <c r="E557" s="347">
        <v>1.6</v>
      </c>
      <c r="F557" s="168">
        <v>0.24</v>
      </c>
      <c r="G557" s="196">
        <f t="shared" si="28"/>
        <v>0.38400000000000001</v>
      </c>
      <c r="H557" s="190">
        <v>150</v>
      </c>
    </row>
    <row r="558" spans="1:8" s="13" customFormat="1">
      <c r="A558" s="165" t="s">
        <v>574</v>
      </c>
      <c r="B558" s="195" t="s">
        <v>448</v>
      </c>
      <c r="C558" s="195"/>
      <c r="D558" s="167"/>
      <c r="E558" s="348"/>
      <c r="F558" s="174"/>
      <c r="G558" s="196"/>
      <c r="H558" s="190"/>
    </row>
    <row r="559" spans="1:8" s="13" customFormat="1">
      <c r="A559" s="166"/>
      <c r="B559" s="195" t="s">
        <v>575</v>
      </c>
      <c r="C559" s="195"/>
      <c r="D559" s="170" t="s">
        <v>380</v>
      </c>
      <c r="E559" s="216">
        <v>11.9</v>
      </c>
      <c r="F559" s="168">
        <v>8.9999999999999993E-3</v>
      </c>
      <c r="G559" s="196">
        <f t="shared" si="28"/>
        <v>0.1071</v>
      </c>
      <c r="H559" s="190"/>
    </row>
    <row r="560" spans="1:8" s="13" customFormat="1">
      <c r="A560" s="166"/>
      <c r="B560" s="195" t="s">
        <v>515</v>
      </c>
      <c r="C560" s="195"/>
      <c r="D560" s="170" t="s">
        <v>380</v>
      </c>
      <c r="E560" s="223">
        <v>1.52</v>
      </c>
      <c r="F560" s="168">
        <v>0.02</v>
      </c>
      <c r="G560" s="196">
        <f t="shared" si="28"/>
        <v>3.04E-2</v>
      </c>
      <c r="H560" s="173"/>
    </row>
    <row r="561" spans="1:8" s="13" customFormat="1">
      <c r="A561" s="166" t="s">
        <v>367</v>
      </c>
      <c r="B561" s="165"/>
      <c r="C561" s="165"/>
      <c r="D561" s="170"/>
      <c r="E561" s="189"/>
      <c r="F561" s="168"/>
      <c r="G561" s="149"/>
      <c r="H561" s="173"/>
    </row>
    <row r="562" spans="1:8" s="13" customFormat="1">
      <c r="A562" s="165"/>
      <c r="B562" s="165" t="s">
        <v>410</v>
      </c>
      <c r="C562" s="165"/>
      <c r="D562" s="176" t="s">
        <v>380</v>
      </c>
      <c r="E562" s="345">
        <v>7.37</v>
      </c>
      <c r="F562" s="177">
        <v>2.385E-3</v>
      </c>
      <c r="G562" s="178">
        <f t="shared" ref="G562:G569" si="29">F562*E562</f>
        <v>1.7577450000000001E-2</v>
      </c>
      <c r="H562" s="173"/>
    </row>
    <row r="563" spans="1:8" s="13" customFormat="1">
      <c r="A563" s="179"/>
      <c r="B563" s="179" t="s">
        <v>382</v>
      </c>
      <c r="C563" s="179"/>
      <c r="D563" s="176" t="s">
        <v>380</v>
      </c>
      <c r="E563" s="345">
        <v>0.96</v>
      </c>
      <c r="F563" s="177">
        <v>4.9290899999999997E-3</v>
      </c>
      <c r="G563" s="178">
        <f t="shared" si="29"/>
        <v>4.7319263999999993E-3</v>
      </c>
      <c r="H563" s="173"/>
    </row>
    <row r="564" spans="1:8" s="13" customFormat="1">
      <c r="A564" s="179"/>
      <c r="B564" s="179" t="s">
        <v>411</v>
      </c>
      <c r="C564" s="179"/>
      <c r="D564" s="176" t="s">
        <v>395</v>
      </c>
      <c r="E564" s="225">
        <v>1.65</v>
      </c>
      <c r="F564" s="177">
        <v>0.01</v>
      </c>
      <c r="G564" s="178">
        <f t="shared" si="29"/>
        <v>1.6500000000000001E-2</v>
      </c>
      <c r="H564" s="173"/>
    </row>
    <row r="565" spans="1:8" s="13" customFormat="1">
      <c r="A565" s="179"/>
      <c r="B565" s="179" t="s">
        <v>412</v>
      </c>
      <c r="C565" s="179"/>
      <c r="D565" s="176" t="s">
        <v>380</v>
      </c>
      <c r="E565" s="345">
        <v>0.55000000000000004</v>
      </c>
      <c r="F565" s="177">
        <v>7.1599999999999997E-3</v>
      </c>
      <c r="G565" s="178">
        <f t="shared" si="29"/>
        <v>3.9380000000000005E-3</v>
      </c>
      <c r="H565" s="173"/>
    </row>
    <row r="566" spans="1:8" s="13" customFormat="1">
      <c r="A566" s="179"/>
      <c r="B566" s="179" t="s">
        <v>413</v>
      </c>
      <c r="C566" s="179"/>
      <c r="D566" s="176" t="s">
        <v>414</v>
      </c>
      <c r="E566" s="225">
        <v>5.0000000000000001E-3</v>
      </c>
      <c r="F566" s="177">
        <v>0.95454499999999998</v>
      </c>
      <c r="G566" s="178">
        <f t="shared" si="29"/>
        <v>4.7727250000000002E-3</v>
      </c>
      <c r="H566" s="173"/>
    </row>
    <row r="567" spans="1:8">
      <c r="A567" s="179"/>
      <c r="B567" s="179" t="s">
        <v>415</v>
      </c>
      <c r="C567" s="179"/>
      <c r="D567" s="176" t="s">
        <v>380</v>
      </c>
      <c r="E567" s="345">
        <v>3.08</v>
      </c>
      <c r="F567" s="177">
        <v>0.01</v>
      </c>
      <c r="G567" s="178">
        <f t="shared" si="29"/>
        <v>3.0800000000000001E-2</v>
      </c>
      <c r="H567" s="173"/>
    </row>
    <row r="568" spans="1:8" s="150" customFormat="1">
      <c r="A568" s="179"/>
      <c r="B568" s="179" t="s">
        <v>416</v>
      </c>
      <c r="C568" s="179"/>
      <c r="D568" s="176" t="s">
        <v>395</v>
      </c>
      <c r="E568" s="345">
        <v>2.85</v>
      </c>
      <c r="F568" s="177">
        <v>0.01</v>
      </c>
      <c r="G568" s="178">
        <f t="shared" si="29"/>
        <v>2.8500000000000001E-2</v>
      </c>
      <c r="H568" s="173"/>
    </row>
    <row r="569" spans="1:8" s="10" customFormat="1">
      <c r="A569" s="179"/>
      <c r="B569" s="179" t="s">
        <v>417</v>
      </c>
      <c r="C569" s="179"/>
      <c r="D569" s="176" t="s">
        <v>395</v>
      </c>
      <c r="E569" s="225">
        <v>16.940000000000001</v>
      </c>
      <c r="F569" s="177">
        <v>0.01</v>
      </c>
      <c r="G569" s="178">
        <f t="shared" si="29"/>
        <v>0.16940000000000002</v>
      </c>
      <c r="H569" s="173"/>
    </row>
    <row r="570" spans="1:8">
      <c r="A570" s="180" t="s">
        <v>623</v>
      </c>
      <c r="B570" s="181"/>
      <c r="C570" s="181"/>
      <c r="D570" s="182"/>
      <c r="E570" s="346"/>
      <c r="F570" s="183"/>
      <c r="G570" s="198">
        <f>SUM(G533:G569)</f>
        <v>4.6968933013999994</v>
      </c>
      <c r="H570" s="191"/>
    </row>
    <row r="571" spans="1:8">
      <c r="A571" s="150"/>
      <c r="B571" s="205"/>
      <c r="C571" s="205"/>
      <c r="D571" s="206"/>
      <c r="E571" s="206"/>
      <c r="F571" s="207"/>
      <c r="G571" s="186"/>
      <c r="H571" s="203"/>
    </row>
    <row r="572" spans="1:8" ht="45">
      <c r="A572" s="399" t="s">
        <v>116</v>
      </c>
      <c r="B572" s="399"/>
      <c r="C572" s="399"/>
      <c r="D572" s="400" t="s">
        <v>376</v>
      </c>
      <c r="E572" s="400" t="s">
        <v>91</v>
      </c>
      <c r="F572" s="401" t="s">
        <v>92</v>
      </c>
      <c r="G572" s="402" t="s">
        <v>93</v>
      </c>
      <c r="H572" s="403" t="s">
        <v>377</v>
      </c>
    </row>
    <row r="573" spans="1:8">
      <c r="A573" s="165" t="s">
        <v>624</v>
      </c>
      <c r="B573" s="166"/>
      <c r="C573" s="166"/>
      <c r="D573" s="167"/>
      <c r="E573" s="343"/>
      <c r="F573" s="168"/>
      <c r="G573" s="167"/>
      <c r="H573" s="190"/>
    </row>
    <row r="574" spans="1:8">
      <c r="A574" s="166"/>
      <c r="B574" s="195" t="s">
        <v>419</v>
      </c>
      <c r="C574" s="195"/>
      <c r="D574" s="170" t="s">
        <v>380</v>
      </c>
      <c r="E574" s="216">
        <v>6.25</v>
      </c>
      <c r="F574" s="168">
        <v>0.21</v>
      </c>
      <c r="G574" s="197">
        <f>F574*E574</f>
        <v>1.3125</v>
      </c>
      <c r="H574" s="190">
        <v>120</v>
      </c>
    </row>
    <row r="575" spans="1:8">
      <c r="A575" s="166"/>
      <c r="B575" s="165" t="s">
        <v>492</v>
      </c>
      <c r="C575" s="165"/>
      <c r="D575" s="170" t="s">
        <v>395</v>
      </c>
      <c r="E575" s="347">
        <v>2.06</v>
      </c>
      <c r="F575" s="168">
        <v>0.02</v>
      </c>
      <c r="G575" s="197">
        <f>F575*E575</f>
        <v>4.1200000000000001E-2</v>
      </c>
      <c r="H575" s="190"/>
    </row>
    <row r="576" spans="1:8">
      <c r="A576" s="166"/>
      <c r="B576" s="195" t="s">
        <v>508</v>
      </c>
      <c r="C576" s="195"/>
      <c r="D576" s="170" t="s">
        <v>414</v>
      </c>
      <c r="E576" s="347">
        <v>0.21</v>
      </c>
      <c r="F576" s="168">
        <v>0.2</v>
      </c>
      <c r="G576" s="197">
        <f>F576*E576</f>
        <v>4.2000000000000003E-2</v>
      </c>
      <c r="H576" s="190"/>
    </row>
    <row r="577" spans="1:8">
      <c r="A577" s="166"/>
      <c r="B577" s="195" t="s">
        <v>555</v>
      </c>
      <c r="C577" s="195"/>
      <c r="D577" s="170" t="s">
        <v>380</v>
      </c>
      <c r="E577" s="216">
        <v>1.76</v>
      </c>
      <c r="F577" s="168">
        <v>0.04</v>
      </c>
      <c r="G577" s="197">
        <f>F577*E577</f>
        <v>7.0400000000000004E-2</v>
      </c>
      <c r="H577" s="190"/>
    </row>
    <row r="578" spans="1:8">
      <c r="A578" s="166"/>
      <c r="B578" s="195" t="s">
        <v>556</v>
      </c>
      <c r="C578" s="195"/>
      <c r="D578" s="170" t="s">
        <v>380</v>
      </c>
      <c r="E578" s="347">
        <v>1.8</v>
      </c>
      <c r="F578" s="168">
        <v>0.01</v>
      </c>
      <c r="G578" s="197">
        <f>F578*E578</f>
        <v>1.8000000000000002E-2</v>
      </c>
      <c r="H578" s="190"/>
    </row>
    <row r="579" spans="1:8">
      <c r="A579" s="165" t="s">
        <v>625</v>
      </c>
      <c r="B579" s="195" t="s">
        <v>487</v>
      </c>
      <c r="C579" s="195"/>
      <c r="D579" s="167"/>
      <c r="E579" s="348"/>
      <c r="F579" s="174"/>
      <c r="G579" s="197"/>
      <c r="H579" s="190"/>
    </row>
    <row r="580" spans="1:8">
      <c r="A580" s="166"/>
      <c r="B580" s="165" t="s">
        <v>492</v>
      </c>
      <c r="C580" s="165"/>
      <c r="D580" s="170" t="s">
        <v>395</v>
      </c>
      <c r="E580" s="347">
        <v>2.06</v>
      </c>
      <c r="F580" s="168">
        <v>0.04</v>
      </c>
      <c r="G580" s="197">
        <f>F580*E580</f>
        <v>8.2400000000000001E-2</v>
      </c>
      <c r="H580" s="173"/>
    </row>
    <row r="581" spans="1:8">
      <c r="A581" s="166"/>
      <c r="B581" s="195" t="s">
        <v>488</v>
      </c>
      <c r="C581" s="195"/>
      <c r="D581" s="170" t="s">
        <v>380</v>
      </c>
      <c r="E581" s="347">
        <v>4.45</v>
      </c>
      <c r="F581" s="168" t="s">
        <v>385</v>
      </c>
      <c r="G581" s="197">
        <f>F581*E581</f>
        <v>2.2250000000000002E-2</v>
      </c>
      <c r="H581" s="190"/>
    </row>
    <row r="582" spans="1:8">
      <c r="A582" s="166"/>
      <c r="B582" s="195" t="s">
        <v>463</v>
      </c>
      <c r="C582" s="195"/>
      <c r="D582" s="170" t="s">
        <v>380</v>
      </c>
      <c r="E582" s="347">
        <v>0.96</v>
      </c>
      <c r="F582" s="168" t="s">
        <v>385</v>
      </c>
      <c r="G582" s="197">
        <f>F582*E582</f>
        <v>4.7999999999999996E-3</v>
      </c>
      <c r="H582" s="190"/>
    </row>
    <row r="583" spans="1:8">
      <c r="A583" s="166"/>
      <c r="B583" s="195" t="s">
        <v>423</v>
      </c>
      <c r="C583" s="195"/>
      <c r="D583" s="170" t="s">
        <v>380</v>
      </c>
      <c r="E583" s="347">
        <v>1.8</v>
      </c>
      <c r="F583" s="168">
        <v>5.0000000000000001E-3</v>
      </c>
      <c r="G583" s="197">
        <f>F583*E583</f>
        <v>9.0000000000000011E-3</v>
      </c>
      <c r="H583" s="190"/>
    </row>
    <row r="584" spans="1:8">
      <c r="A584" s="166"/>
      <c r="B584" s="195" t="s">
        <v>626</v>
      </c>
      <c r="C584" s="195"/>
      <c r="D584" s="170" t="s">
        <v>380</v>
      </c>
      <c r="E584" s="216">
        <v>3.99</v>
      </c>
      <c r="F584" s="168">
        <v>0.05</v>
      </c>
      <c r="G584" s="197">
        <f t="shared" ref="G584:G598" si="30">F584*E584</f>
        <v>0.19950000000000001</v>
      </c>
      <c r="H584" s="190"/>
    </row>
    <row r="585" spans="1:8">
      <c r="A585" s="165" t="s">
        <v>396</v>
      </c>
      <c r="B585" s="195" t="s">
        <v>487</v>
      </c>
      <c r="C585" s="195"/>
      <c r="D585" s="167"/>
      <c r="E585" s="348"/>
      <c r="F585" s="174"/>
      <c r="G585" s="197"/>
      <c r="H585" s="190"/>
    </row>
    <row r="586" spans="1:8">
      <c r="A586" s="166"/>
      <c r="B586" s="195" t="s">
        <v>397</v>
      </c>
      <c r="C586" s="195"/>
      <c r="D586" s="170" t="s">
        <v>380</v>
      </c>
      <c r="E586" s="189">
        <v>2.1800000000000002</v>
      </c>
      <c r="F586" s="168">
        <v>7.0000000000000007E-2</v>
      </c>
      <c r="G586" s="197">
        <f t="shared" si="30"/>
        <v>0.15260000000000001</v>
      </c>
      <c r="H586" s="190"/>
    </row>
    <row r="587" spans="1:8">
      <c r="A587" s="166"/>
      <c r="B587" s="195" t="s">
        <v>398</v>
      </c>
      <c r="C587" s="195"/>
      <c r="D587" s="170"/>
      <c r="E587" s="189"/>
      <c r="F587" s="168"/>
      <c r="G587" s="197"/>
      <c r="H587" s="190"/>
    </row>
    <row r="588" spans="1:8">
      <c r="A588" s="165" t="s">
        <v>432</v>
      </c>
      <c r="B588" s="195" t="s">
        <v>487</v>
      </c>
      <c r="C588" s="195"/>
      <c r="D588" s="167"/>
      <c r="E588" s="348"/>
      <c r="F588" s="174"/>
      <c r="G588" s="197"/>
      <c r="H588" s="190"/>
    </row>
    <row r="589" spans="1:8">
      <c r="A589" s="166"/>
      <c r="B589" s="195" t="s">
        <v>433</v>
      </c>
      <c r="C589" s="195"/>
      <c r="D589" s="170" t="s">
        <v>380</v>
      </c>
      <c r="E589" s="189">
        <v>3.39</v>
      </c>
      <c r="F589" s="168">
        <v>0.04</v>
      </c>
      <c r="G589" s="197">
        <f t="shared" si="30"/>
        <v>0.1356</v>
      </c>
      <c r="H589" s="190"/>
    </row>
    <row r="590" spans="1:8">
      <c r="A590" s="165" t="s">
        <v>627</v>
      </c>
      <c r="B590" s="195" t="s">
        <v>487</v>
      </c>
      <c r="C590" s="195"/>
      <c r="D590" s="167"/>
      <c r="E590" s="348"/>
      <c r="F590" s="174"/>
      <c r="G590" s="197"/>
      <c r="H590" s="190"/>
    </row>
    <row r="591" spans="1:8">
      <c r="A591" s="166"/>
      <c r="B591" s="195" t="s">
        <v>613</v>
      </c>
      <c r="C591" s="195"/>
      <c r="D591" s="170" t="s">
        <v>380</v>
      </c>
      <c r="E591" s="216">
        <v>11.68</v>
      </c>
      <c r="F591" s="168">
        <v>0.01</v>
      </c>
      <c r="G591" s="217">
        <f>F591*E591</f>
        <v>0.1168</v>
      </c>
      <c r="H591" s="173"/>
    </row>
    <row r="592" spans="1:8">
      <c r="A592" s="166"/>
      <c r="B592" s="195" t="s">
        <v>628</v>
      </c>
      <c r="C592" s="195"/>
      <c r="D592" s="170" t="s">
        <v>380</v>
      </c>
      <c r="E592" s="347">
        <v>0.37</v>
      </c>
      <c r="F592" s="168">
        <v>0.06</v>
      </c>
      <c r="G592" s="197">
        <f t="shared" si="30"/>
        <v>2.2199999999999998E-2</v>
      </c>
      <c r="H592" s="173"/>
    </row>
    <row r="593" spans="1:8">
      <c r="A593" s="166"/>
      <c r="B593" s="195" t="s">
        <v>629</v>
      </c>
      <c r="C593" s="195"/>
      <c r="D593" s="170" t="s">
        <v>380</v>
      </c>
      <c r="E593" s="347">
        <v>1.1599999999999999</v>
      </c>
      <c r="F593" s="168">
        <v>0.06</v>
      </c>
      <c r="G593" s="197">
        <f t="shared" si="30"/>
        <v>6.9599999999999995E-2</v>
      </c>
      <c r="H593" s="190"/>
    </row>
    <row r="594" spans="1:8">
      <c r="A594" s="165" t="s">
        <v>476</v>
      </c>
      <c r="B594" s="195" t="s">
        <v>487</v>
      </c>
      <c r="C594" s="195"/>
      <c r="D594" s="167"/>
      <c r="E594" s="348"/>
      <c r="F594" s="174"/>
      <c r="G594" s="197"/>
      <c r="H594" s="190"/>
    </row>
    <row r="595" spans="1:8">
      <c r="A595" s="166"/>
      <c r="B595" s="195" t="s">
        <v>476</v>
      </c>
      <c r="C595" s="195"/>
      <c r="D595" s="170" t="s">
        <v>380</v>
      </c>
      <c r="E595" s="216">
        <v>3.97</v>
      </c>
      <c r="F595" s="168">
        <v>0.15</v>
      </c>
      <c r="G595" s="197">
        <f t="shared" si="30"/>
        <v>0.59550000000000003</v>
      </c>
      <c r="H595" s="190"/>
    </row>
    <row r="596" spans="1:8">
      <c r="A596" s="165" t="s">
        <v>513</v>
      </c>
      <c r="B596" s="195" t="s">
        <v>487</v>
      </c>
      <c r="C596" s="195"/>
      <c r="D596" s="167"/>
      <c r="E596" s="348"/>
      <c r="F596" s="174"/>
      <c r="G596" s="197"/>
      <c r="H596" s="190"/>
    </row>
    <row r="597" spans="1:8">
      <c r="A597" s="166"/>
      <c r="B597" s="195" t="s">
        <v>549</v>
      </c>
      <c r="C597" s="195"/>
      <c r="D597" s="170" t="s">
        <v>380</v>
      </c>
      <c r="E597" s="216">
        <v>13.77</v>
      </c>
      <c r="F597" s="168">
        <v>8.9999999999999993E-3</v>
      </c>
      <c r="G597" s="197">
        <f t="shared" si="30"/>
        <v>0.12392999999999998</v>
      </c>
      <c r="H597" s="190"/>
    </row>
    <row r="598" spans="1:8">
      <c r="A598" s="166"/>
      <c r="B598" s="195" t="s">
        <v>630</v>
      </c>
      <c r="C598" s="195"/>
      <c r="D598" s="170" t="s">
        <v>380</v>
      </c>
      <c r="E598" s="223">
        <v>1.52</v>
      </c>
      <c r="F598" s="168">
        <v>0.02</v>
      </c>
      <c r="G598" s="197">
        <f t="shared" si="30"/>
        <v>3.04E-2</v>
      </c>
      <c r="H598" s="190"/>
    </row>
    <row r="599" spans="1:8">
      <c r="A599" s="166" t="s">
        <v>367</v>
      </c>
      <c r="B599" s="165"/>
      <c r="C599" s="165"/>
      <c r="D599" s="170"/>
      <c r="E599" s="189"/>
      <c r="F599" s="168"/>
      <c r="G599" s="149"/>
      <c r="H599" s="173"/>
    </row>
    <row r="600" spans="1:8" s="13" customFormat="1">
      <c r="A600" s="165"/>
      <c r="B600" s="165" t="s">
        <v>442</v>
      </c>
      <c r="C600" s="165"/>
      <c r="D600" s="176" t="s">
        <v>380</v>
      </c>
      <c r="E600" s="345">
        <v>7.37</v>
      </c>
      <c r="F600" s="177">
        <v>2.385E-3</v>
      </c>
      <c r="G600" s="178">
        <f t="shared" ref="G600:G607" si="31">F600*E600</f>
        <v>1.7577450000000001E-2</v>
      </c>
      <c r="H600" s="173"/>
    </row>
    <row r="601" spans="1:8" s="13" customFormat="1">
      <c r="A601" s="179"/>
      <c r="B601" s="179" t="s">
        <v>382</v>
      </c>
      <c r="C601" s="179"/>
      <c r="D601" s="176" t="s">
        <v>380</v>
      </c>
      <c r="E601" s="345">
        <v>0.96</v>
      </c>
      <c r="F601" s="177">
        <v>4.9290899999999997E-3</v>
      </c>
      <c r="G601" s="178">
        <f t="shared" si="31"/>
        <v>4.7319263999999993E-3</v>
      </c>
      <c r="H601" s="173"/>
    </row>
    <row r="602" spans="1:8" s="13" customFormat="1">
      <c r="A602" s="179"/>
      <c r="B602" s="179" t="s">
        <v>411</v>
      </c>
      <c r="C602" s="179"/>
      <c r="D602" s="176" t="s">
        <v>395</v>
      </c>
      <c r="E602" s="225">
        <v>1.65</v>
      </c>
      <c r="F602" s="177">
        <v>0.01</v>
      </c>
      <c r="G602" s="178">
        <f t="shared" si="31"/>
        <v>1.6500000000000001E-2</v>
      </c>
      <c r="H602" s="173"/>
    </row>
    <row r="603" spans="1:8" s="13" customFormat="1">
      <c r="A603" s="179"/>
      <c r="B603" s="179" t="s">
        <v>412</v>
      </c>
      <c r="C603" s="179"/>
      <c r="D603" s="176" t="s">
        <v>380</v>
      </c>
      <c r="E603" s="345">
        <v>0.55000000000000004</v>
      </c>
      <c r="F603" s="177">
        <v>7.1599999999999997E-3</v>
      </c>
      <c r="G603" s="178">
        <f t="shared" si="31"/>
        <v>3.9380000000000005E-3</v>
      </c>
      <c r="H603" s="173"/>
    </row>
    <row r="604" spans="1:8" s="13" customFormat="1">
      <c r="A604" s="179"/>
      <c r="B604" s="179" t="s">
        <v>413</v>
      </c>
      <c r="C604" s="179"/>
      <c r="D604" s="176" t="s">
        <v>414</v>
      </c>
      <c r="E604" s="225">
        <v>5.0000000000000001E-3</v>
      </c>
      <c r="F604" s="177">
        <v>0.95454499999999998</v>
      </c>
      <c r="G604" s="178">
        <f t="shared" si="31"/>
        <v>4.7727250000000002E-3</v>
      </c>
      <c r="H604" s="173"/>
    </row>
    <row r="605" spans="1:8" s="13" customFormat="1">
      <c r="A605" s="179"/>
      <c r="B605" s="179" t="s">
        <v>415</v>
      </c>
      <c r="C605" s="179"/>
      <c r="D605" s="176" t="s">
        <v>380</v>
      </c>
      <c r="E605" s="345">
        <v>3.08</v>
      </c>
      <c r="F605" s="177">
        <v>0.01</v>
      </c>
      <c r="G605" s="178">
        <f t="shared" si="31"/>
        <v>3.0800000000000001E-2</v>
      </c>
      <c r="H605" s="173"/>
    </row>
    <row r="606" spans="1:8" s="13" customFormat="1">
      <c r="A606" s="179"/>
      <c r="B606" s="179" t="s">
        <v>416</v>
      </c>
      <c r="C606" s="179"/>
      <c r="D606" s="176" t="s">
        <v>395</v>
      </c>
      <c r="E606" s="345">
        <v>2.85</v>
      </c>
      <c r="F606" s="177">
        <v>0.01</v>
      </c>
      <c r="G606" s="178">
        <f t="shared" si="31"/>
        <v>2.8500000000000001E-2</v>
      </c>
      <c r="H606" s="173"/>
    </row>
    <row r="607" spans="1:8" s="13" customFormat="1">
      <c r="A607" s="179"/>
      <c r="B607" s="179" t="s">
        <v>417</v>
      </c>
      <c r="C607" s="179"/>
      <c r="D607" s="176" t="s">
        <v>395</v>
      </c>
      <c r="E607" s="225">
        <v>16.940000000000001</v>
      </c>
      <c r="F607" s="177">
        <v>0.01</v>
      </c>
      <c r="G607" s="178">
        <f t="shared" si="31"/>
        <v>0.16940000000000002</v>
      </c>
      <c r="H607" s="173"/>
    </row>
    <row r="608" spans="1:8" s="13" customFormat="1">
      <c r="A608" s="180" t="s">
        <v>631</v>
      </c>
      <c r="B608" s="181"/>
      <c r="C608" s="181"/>
      <c r="D608" s="182"/>
      <c r="E608" s="346"/>
      <c r="F608" s="183"/>
      <c r="G608" s="198">
        <f>SUM(G574:G607)</f>
        <v>3.3249001014000013</v>
      </c>
      <c r="H608" s="191"/>
    </row>
    <row r="609" spans="1:8" s="13" customFormat="1">
      <c r="A609" s="150"/>
      <c r="B609" s="150"/>
      <c r="C609" s="150"/>
      <c r="D609" s="186"/>
      <c r="E609" s="186"/>
      <c r="F609" s="187"/>
      <c r="G609" s="186"/>
      <c r="H609" s="188"/>
    </row>
    <row r="610" spans="1:8" s="13" customFormat="1" ht="45">
      <c r="A610" s="399" t="s">
        <v>117</v>
      </c>
      <c r="B610" s="399"/>
      <c r="C610" s="399"/>
      <c r="D610" s="400" t="s">
        <v>376</v>
      </c>
      <c r="E610" s="400" t="s">
        <v>91</v>
      </c>
      <c r="F610" s="401" t="s">
        <v>92</v>
      </c>
      <c r="G610" s="402" t="s">
        <v>93</v>
      </c>
      <c r="H610" s="403" t="s">
        <v>377</v>
      </c>
    </row>
    <row r="611" spans="1:8" s="13" customFormat="1">
      <c r="A611" s="165" t="s">
        <v>632</v>
      </c>
      <c r="B611" s="166"/>
      <c r="C611" s="166"/>
      <c r="D611" s="167"/>
      <c r="E611" s="343"/>
      <c r="F611" s="174"/>
      <c r="G611" s="170"/>
      <c r="H611" s="190"/>
    </row>
    <row r="612" spans="1:8">
      <c r="A612" s="166"/>
      <c r="B612" s="165" t="s">
        <v>633</v>
      </c>
      <c r="C612" s="165"/>
      <c r="D612" s="170" t="s">
        <v>380</v>
      </c>
      <c r="E612" s="347">
        <v>14.17</v>
      </c>
      <c r="F612" s="168">
        <v>0.23</v>
      </c>
      <c r="G612" s="197">
        <f>F612*E612</f>
        <v>3.2591000000000001</v>
      </c>
      <c r="H612" s="190">
        <v>150</v>
      </c>
    </row>
    <row r="613" spans="1:8" s="150" customFormat="1">
      <c r="A613" s="166"/>
      <c r="B613" s="165" t="s">
        <v>634</v>
      </c>
      <c r="C613" s="165"/>
      <c r="D613" s="170" t="s">
        <v>380</v>
      </c>
      <c r="E613" s="347">
        <v>0.96</v>
      </c>
      <c r="F613" s="168" t="s">
        <v>385</v>
      </c>
      <c r="G613" s="197">
        <f t="shared" ref="G613:G634" si="32">F613*E613</f>
        <v>4.7999999999999996E-3</v>
      </c>
      <c r="H613" s="190"/>
    </row>
    <row r="614" spans="1:8" s="10" customFormat="1">
      <c r="A614" s="166"/>
      <c r="B614" s="165" t="s">
        <v>520</v>
      </c>
      <c r="C614" s="165"/>
      <c r="D614" s="170" t="s">
        <v>380</v>
      </c>
      <c r="E614" s="216">
        <v>3</v>
      </c>
      <c r="F614" s="168" t="s">
        <v>385</v>
      </c>
      <c r="G614" s="197">
        <f t="shared" si="32"/>
        <v>1.4999999999999999E-2</v>
      </c>
      <c r="H614" s="190"/>
    </row>
    <row r="615" spans="1:8">
      <c r="A615" s="166"/>
      <c r="B615" s="165" t="s">
        <v>635</v>
      </c>
      <c r="C615" s="165"/>
      <c r="D615" s="170" t="s">
        <v>395</v>
      </c>
      <c r="E615" s="216">
        <v>2.74</v>
      </c>
      <c r="F615" s="168">
        <v>3.0000000000000001E-3</v>
      </c>
      <c r="G615" s="197">
        <f t="shared" si="32"/>
        <v>8.2200000000000016E-3</v>
      </c>
      <c r="H615" s="190"/>
    </row>
    <row r="616" spans="1:8">
      <c r="A616" s="166"/>
      <c r="B616" s="165" t="s">
        <v>636</v>
      </c>
      <c r="C616" s="165"/>
      <c r="D616" s="170" t="s">
        <v>395</v>
      </c>
      <c r="E616" s="347">
        <v>9.99</v>
      </c>
      <c r="F616" s="168" t="s">
        <v>385</v>
      </c>
      <c r="G616" s="197">
        <f t="shared" si="32"/>
        <v>4.9950000000000001E-2</v>
      </c>
      <c r="H616" s="190"/>
    </row>
    <row r="617" spans="1:8">
      <c r="A617" s="165" t="s">
        <v>637</v>
      </c>
      <c r="B617" s="166"/>
      <c r="C617" s="166"/>
      <c r="D617" s="167"/>
      <c r="E617" s="348"/>
      <c r="F617" s="174"/>
      <c r="G617" s="197"/>
      <c r="H617" s="190"/>
    </row>
    <row r="618" spans="1:8" ht="18.75" customHeight="1">
      <c r="A618" s="166"/>
      <c r="B618" s="165" t="s">
        <v>492</v>
      </c>
      <c r="C618" s="165"/>
      <c r="D618" s="170" t="s">
        <v>395</v>
      </c>
      <c r="E618" s="347">
        <v>2.06</v>
      </c>
      <c r="F618" s="168">
        <v>0.03</v>
      </c>
      <c r="G618" s="197">
        <f t="shared" si="32"/>
        <v>6.1800000000000001E-2</v>
      </c>
      <c r="H618" s="190"/>
    </row>
    <row r="619" spans="1:8">
      <c r="A619" s="166"/>
      <c r="B619" s="165" t="s">
        <v>488</v>
      </c>
      <c r="C619" s="165"/>
      <c r="D619" s="170" t="s">
        <v>380</v>
      </c>
      <c r="E619" s="347">
        <v>4.45</v>
      </c>
      <c r="F619" s="168">
        <v>5.0000000000000001E-3</v>
      </c>
      <c r="G619" s="197">
        <f t="shared" si="32"/>
        <v>2.2250000000000002E-2</v>
      </c>
      <c r="H619" s="190"/>
    </row>
    <row r="620" spans="1:8">
      <c r="A620" s="166"/>
      <c r="B620" s="165" t="s">
        <v>638</v>
      </c>
      <c r="C620" s="165"/>
      <c r="D620" s="170" t="s">
        <v>380</v>
      </c>
      <c r="E620" s="347">
        <v>2.35</v>
      </c>
      <c r="F620" s="168">
        <v>8.5000000000000006E-2</v>
      </c>
      <c r="G620" s="197">
        <f t="shared" si="32"/>
        <v>0.19975000000000001</v>
      </c>
      <c r="H620" s="190"/>
    </row>
    <row r="621" spans="1:8">
      <c r="A621" s="166"/>
      <c r="B621" s="165" t="s">
        <v>468</v>
      </c>
      <c r="C621" s="165"/>
      <c r="D621" s="170" t="s">
        <v>380</v>
      </c>
      <c r="E621" s="347">
        <v>0.72</v>
      </c>
      <c r="F621" s="168">
        <v>8.5000000000000006E-2</v>
      </c>
      <c r="G621" s="197">
        <f t="shared" si="32"/>
        <v>6.1200000000000004E-2</v>
      </c>
      <c r="H621" s="190"/>
    </row>
    <row r="622" spans="1:8">
      <c r="A622" s="165" t="s">
        <v>396</v>
      </c>
      <c r="B622" s="166"/>
      <c r="C622" s="166"/>
      <c r="D622" s="167"/>
      <c r="E622" s="348"/>
      <c r="F622" s="174"/>
      <c r="G622" s="197"/>
      <c r="H622" s="190"/>
    </row>
    <row r="623" spans="1:8">
      <c r="A623" s="166"/>
      <c r="B623" s="165" t="s">
        <v>639</v>
      </c>
      <c r="C623" s="165"/>
      <c r="D623" s="170" t="s">
        <v>380</v>
      </c>
      <c r="E623" s="189">
        <v>2.1800000000000002</v>
      </c>
      <c r="F623" s="168">
        <v>7.0000000000000007E-2</v>
      </c>
      <c r="G623" s="197">
        <f t="shared" si="32"/>
        <v>0.15260000000000001</v>
      </c>
      <c r="H623" s="190"/>
    </row>
    <row r="624" spans="1:8">
      <c r="A624" s="166"/>
      <c r="B624" s="165" t="s">
        <v>398</v>
      </c>
      <c r="C624" s="165"/>
      <c r="D624" s="170"/>
      <c r="E624" s="189"/>
      <c r="F624" s="168"/>
      <c r="G624" s="197"/>
      <c r="H624" s="190"/>
    </row>
    <row r="625" spans="1:8">
      <c r="A625" s="165" t="s">
        <v>432</v>
      </c>
      <c r="B625" s="166"/>
      <c r="C625" s="166"/>
      <c r="D625" s="167"/>
      <c r="E625" s="348"/>
      <c r="F625" s="174"/>
      <c r="G625" s="197"/>
      <c r="H625" s="190"/>
    </row>
    <row r="626" spans="1:8">
      <c r="A626" s="166"/>
      <c r="B626" s="165" t="s">
        <v>640</v>
      </c>
      <c r="C626" s="165"/>
      <c r="D626" s="170" t="s">
        <v>380</v>
      </c>
      <c r="E626" s="189">
        <v>3.39</v>
      </c>
      <c r="F626" s="168">
        <v>0.04</v>
      </c>
      <c r="G626" s="197">
        <f t="shared" si="32"/>
        <v>0.1356</v>
      </c>
      <c r="H626" s="190"/>
    </row>
    <row r="627" spans="1:8">
      <c r="A627" s="165" t="s">
        <v>641</v>
      </c>
      <c r="B627" s="166"/>
      <c r="C627" s="166"/>
      <c r="D627" s="167"/>
      <c r="E627" s="348"/>
      <c r="F627" s="174"/>
      <c r="G627" s="197"/>
      <c r="H627" s="190"/>
    </row>
    <row r="628" spans="1:8">
      <c r="A628" s="166"/>
      <c r="B628" s="165" t="s">
        <v>642</v>
      </c>
      <c r="C628" s="165"/>
      <c r="D628" s="170" t="s">
        <v>380</v>
      </c>
      <c r="E628" s="216">
        <v>0.88</v>
      </c>
      <c r="F628" s="168">
        <v>2.8000000000000001E-2</v>
      </c>
      <c r="G628" s="197">
        <f t="shared" si="32"/>
        <v>2.4640000000000002E-2</v>
      </c>
      <c r="H628" s="190"/>
    </row>
    <row r="629" spans="1:8">
      <c r="A629" s="166"/>
      <c r="B629" s="165" t="s">
        <v>570</v>
      </c>
      <c r="C629" s="165"/>
      <c r="D629" s="170" t="s">
        <v>380</v>
      </c>
      <c r="E629" s="347">
        <v>1.34</v>
      </c>
      <c r="F629" s="168">
        <v>7.0000000000000007E-2</v>
      </c>
      <c r="G629" s="197">
        <f t="shared" si="32"/>
        <v>9.3800000000000008E-2</v>
      </c>
      <c r="H629" s="190"/>
    </row>
    <row r="630" spans="1:8">
      <c r="A630" s="165" t="s">
        <v>406</v>
      </c>
      <c r="B630" s="166"/>
      <c r="C630" s="166"/>
      <c r="D630" s="167"/>
      <c r="E630" s="348"/>
      <c r="F630" s="174"/>
      <c r="G630" s="197"/>
      <c r="H630" s="190"/>
    </row>
    <row r="631" spans="1:8">
      <c r="A631" s="166"/>
      <c r="B631" s="165" t="s">
        <v>405</v>
      </c>
      <c r="C631" s="165"/>
      <c r="D631" s="170" t="s">
        <v>380</v>
      </c>
      <c r="E631" s="347">
        <v>1.17</v>
      </c>
      <c r="F631" s="168">
        <v>0.15</v>
      </c>
      <c r="G631" s="197">
        <f t="shared" si="32"/>
        <v>0.17549999999999999</v>
      </c>
      <c r="H631" s="190"/>
    </row>
    <row r="632" spans="1:8">
      <c r="A632" s="165" t="s">
        <v>562</v>
      </c>
      <c r="B632" s="166"/>
      <c r="C632" s="166"/>
      <c r="D632" s="167"/>
      <c r="E632" s="348"/>
      <c r="F632" s="174"/>
      <c r="G632" s="197"/>
      <c r="H632" s="190"/>
    </row>
    <row r="633" spans="1:8">
      <c r="A633" s="166"/>
      <c r="B633" s="165" t="s">
        <v>600</v>
      </c>
      <c r="C633" s="165"/>
      <c r="D633" s="170" t="s">
        <v>380</v>
      </c>
      <c r="E633" s="216">
        <v>9.6999999999999993</v>
      </c>
      <c r="F633" s="168">
        <v>8.9999999999999993E-3</v>
      </c>
      <c r="G633" s="197">
        <f t="shared" si="32"/>
        <v>8.7299999999999989E-2</v>
      </c>
      <c r="H633" s="190"/>
    </row>
    <row r="634" spans="1:8">
      <c r="A634" s="166"/>
      <c r="B634" s="165" t="s">
        <v>409</v>
      </c>
      <c r="C634" s="165"/>
      <c r="D634" s="170" t="s">
        <v>380</v>
      </c>
      <c r="E634" s="223">
        <v>1.52</v>
      </c>
      <c r="F634" s="168">
        <v>0.02</v>
      </c>
      <c r="G634" s="197">
        <f t="shared" si="32"/>
        <v>3.04E-2</v>
      </c>
      <c r="H634" s="190"/>
    </row>
    <row r="635" spans="1:8">
      <c r="A635" s="166" t="s">
        <v>367</v>
      </c>
      <c r="B635" s="165"/>
      <c r="C635" s="165"/>
      <c r="D635" s="170"/>
      <c r="E635" s="189"/>
      <c r="F635" s="168"/>
      <c r="G635" s="149"/>
      <c r="H635" s="173"/>
    </row>
    <row r="636" spans="1:8">
      <c r="A636" s="165"/>
      <c r="B636" s="165" t="s">
        <v>410</v>
      </c>
      <c r="C636" s="165"/>
      <c r="D636" s="176" t="s">
        <v>380</v>
      </c>
      <c r="E636" s="345">
        <v>7.37</v>
      </c>
      <c r="F636" s="177">
        <v>2.385E-3</v>
      </c>
      <c r="G636" s="178">
        <f t="shared" ref="G636:G643" si="33">F636*E636</f>
        <v>1.7577450000000001E-2</v>
      </c>
      <c r="H636" s="173"/>
    </row>
    <row r="637" spans="1:8">
      <c r="A637" s="179"/>
      <c r="B637" s="179" t="s">
        <v>382</v>
      </c>
      <c r="C637" s="179"/>
      <c r="D637" s="176" t="s">
        <v>380</v>
      </c>
      <c r="E637" s="345">
        <v>0.96</v>
      </c>
      <c r="F637" s="177">
        <v>4.9290899999999997E-3</v>
      </c>
      <c r="G637" s="178">
        <f t="shared" si="33"/>
        <v>4.7319263999999993E-3</v>
      </c>
      <c r="H637" s="173"/>
    </row>
    <row r="638" spans="1:8">
      <c r="A638" s="179"/>
      <c r="B638" s="179" t="s">
        <v>411</v>
      </c>
      <c r="C638" s="179"/>
      <c r="D638" s="176" t="s">
        <v>395</v>
      </c>
      <c r="E638" s="225">
        <v>1.65</v>
      </c>
      <c r="F638" s="177">
        <v>0.01</v>
      </c>
      <c r="G638" s="178">
        <f t="shared" si="33"/>
        <v>1.6500000000000001E-2</v>
      </c>
      <c r="H638" s="173"/>
    </row>
    <row r="639" spans="1:8">
      <c r="A639" s="179"/>
      <c r="B639" s="179" t="s">
        <v>412</v>
      </c>
      <c r="C639" s="179"/>
      <c r="D639" s="176" t="s">
        <v>380</v>
      </c>
      <c r="E639" s="345">
        <v>0.55000000000000004</v>
      </c>
      <c r="F639" s="177">
        <v>7.1599999999999997E-3</v>
      </c>
      <c r="G639" s="178">
        <f t="shared" si="33"/>
        <v>3.9380000000000005E-3</v>
      </c>
      <c r="H639" s="173"/>
    </row>
    <row r="640" spans="1:8">
      <c r="A640" s="179"/>
      <c r="B640" s="179" t="s">
        <v>413</v>
      </c>
      <c r="C640" s="179"/>
      <c r="D640" s="176" t="s">
        <v>414</v>
      </c>
      <c r="E640" s="225">
        <v>5.0000000000000001E-3</v>
      </c>
      <c r="F640" s="177">
        <v>0.95454499999999998</v>
      </c>
      <c r="G640" s="178">
        <f t="shared" si="33"/>
        <v>4.7727250000000002E-3</v>
      </c>
      <c r="H640" s="173"/>
    </row>
    <row r="641" spans="1:8">
      <c r="A641" s="179"/>
      <c r="B641" s="179" t="s">
        <v>415</v>
      </c>
      <c r="C641" s="179"/>
      <c r="D641" s="176" t="s">
        <v>380</v>
      </c>
      <c r="E641" s="345">
        <v>3.08</v>
      </c>
      <c r="F641" s="177">
        <v>0.01</v>
      </c>
      <c r="G641" s="178">
        <f t="shared" si="33"/>
        <v>3.0800000000000001E-2</v>
      </c>
      <c r="H641" s="173"/>
    </row>
    <row r="642" spans="1:8">
      <c r="A642" s="179"/>
      <c r="B642" s="179" t="s">
        <v>416</v>
      </c>
      <c r="C642" s="179"/>
      <c r="D642" s="176" t="s">
        <v>395</v>
      </c>
      <c r="E642" s="345">
        <v>2.85</v>
      </c>
      <c r="F642" s="177">
        <v>0.01</v>
      </c>
      <c r="G642" s="178">
        <f t="shared" si="33"/>
        <v>2.8500000000000001E-2</v>
      </c>
      <c r="H642" s="173"/>
    </row>
    <row r="643" spans="1:8">
      <c r="A643" s="179"/>
      <c r="B643" s="179" t="s">
        <v>417</v>
      </c>
      <c r="C643" s="179"/>
      <c r="D643" s="176" t="s">
        <v>395</v>
      </c>
      <c r="E643" s="225">
        <v>16.940000000000001</v>
      </c>
      <c r="F643" s="177">
        <v>0.01</v>
      </c>
      <c r="G643" s="178">
        <f t="shared" si="33"/>
        <v>0.16940000000000002</v>
      </c>
      <c r="H643" s="173"/>
    </row>
    <row r="644" spans="1:8">
      <c r="A644" s="180" t="s">
        <v>643</v>
      </c>
      <c r="B644" s="181"/>
      <c r="C644" s="181"/>
      <c r="D644" s="182"/>
      <c r="E644" s="346"/>
      <c r="F644" s="183"/>
      <c r="G644" s="198">
        <f>SUM(G612:G643)</f>
        <v>4.6581301014000003</v>
      </c>
      <c r="H644" s="191"/>
    </row>
    <row r="645" spans="1:8">
      <c r="F645" s="218"/>
    </row>
    <row r="646" spans="1:8" ht="45">
      <c r="A646" s="399" t="s">
        <v>118</v>
      </c>
      <c r="B646" s="399"/>
      <c r="C646" s="399"/>
      <c r="D646" s="400" t="s">
        <v>376</v>
      </c>
      <c r="E646" s="400" t="s">
        <v>91</v>
      </c>
      <c r="F646" s="401" t="s">
        <v>92</v>
      </c>
      <c r="G646" s="402" t="s">
        <v>93</v>
      </c>
      <c r="H646" s="403" t="s">
        <v>377</v>
      </c>
    </row>
    <row r="647" spans="1:8" s="13" customFormat="1">
      <c r="A647" s="165" t="s">
        <v>644</v>
      </c>
      <c r="B647" s="165" t="s">
        <v>645</v>
      </c>
      <c r="C647" s="165"/>
      <c r="D647" s="170" t="s">
        <v>380</v>
      </c>
      <c r="E647" s="216">
        <v>6.25</v>
      </c>
      <c r="F647" s="168">
        <v>0.21</v>
      </c>
      <c r="G647" s="196">
        <f>F647*E647</f>
        <v>1.3125</v>
      </c>
      <c r="H647" s="173">
        <v>120</v>
      </c>
    </row>
    <row r="648" spans="1:8" s="13" customFormat="1">
      <c r="A648" s="166"/>
      <c r="B648" s="165" t="s">
        <v>463</v>
      </c>
      <c r="C648" s="165"/>
      <c r="D648" s="170" t="s">
        <v>380</v>
      </c>
      <c r="E648" s="347">
        <v>0.96</v>
      </c>
      <c r="F648" s="168">
        <v>5.0000000000000001E-3</v>
      </c>
      <c r="G648" s="196">
        <f t="shared" ref="G648:G667" si="34">F648*E648</f>
        <v>4.7999999999999996E-3</v>
      </c>
      <c r="H648" s="173"/>
    </row>
    <row r="649" spans="1:8" s="13" customFormat="1">
      <c r="A649" s="166"/>
      <c r="B649" s="165" t="s">
        <v>425</v>
      </c>
      <c r="C649" s="165"/>
      <c r="D649" s="170" t="s">
        <v>395</v>
      </c>
      <c r="E649" s="216">
        <v>2.74</v>
      </c>
      <c r="F649" s="168">
        <v>0.01</v>
      </c>
      <c r="G649" s="196">
        <f t="shared" si="34"/>
        <v>2.7400000000000004E-2</v>
      </c>
      <c r="H649" s="173"/>
    </row>
    <row r="650" spans="1:8" s="13" customFormat="1">
      <c r="A650" s="165" t="s">
        <v>646</v>
      </c>
      <c r="B650" s="166"/>
      <c r="C650" s="166"/>
      <c r="D650" s="167"/>
      <c r="E650" s="348"/>
      <c r="F650" s="174"/>
      <c r="G650" s="196"/>
      <c r="H650" s="190"/>
    </row>
    <row r="651" spans="1:8" s="13" customFormat="1">
      <c r="A651" s="166"/>
      <c r="B651" s="165" t="s">
        <v>647</v>
      </c>
      <c r="C651" s="165"/>
      <c r="D651" s="170" t="s">
        <v>380</v>
      </c>
      <c r="E651" s="347">
        <v>7.37</v>
      </c>
      <c r="F651" s="168" t="s">
        <v>430</v>
      </c>
      <c r="G651" s="196">
        <f t="shared" si="34"/>
        <v>1.4740000000000001E-2</v>
      </c>
      <c r="H651" s="190"/>
    </row>
    <row r="652" spans="1:8" s="13" customFormat="1">
      <c r="A652" s="166"/>
      <c r="B652" s="165" t="s">
        <v>648</v>
      </c>
      <c r="C652" s="165"/>
      <c r="D652" s="170" t="s">
        <v>380</v>
      </c>
      <c r="E652" s="347">
        <v>0.37</v>
      </c>
      <c r="F652" s="168" t="s">
        <v>391</v>
      </c>
      <c r="G652" s="196">
        <f t="shared" si="34"/>
        <v>1.8499999999999999E-2</v>
      </c>
      <c r="H652" s="190"/>
    </row>
    <row r="653" spans="1:8" s="13" customFormat="1">
      <c r="A653" s="166"/>
      <c r="B653" s="165" t="s">
        <v>649</v>
      </c>
      <c r="C653" s="165"/>
      <c r="D653" s="170" t="s">
        <v>380</v>
      </c>
      <c r="E653" s="216">
        <v>2.63</v>
      </c>
      <c r="F653" s="168" t="s">
        <v>389</v>
      </c>
      <c r="G653" s="196">
        <f t="shared" si="34"/>
        <v>2.63E-3</v>
      </c>
      <c r="H653" s="173"/>
    </row>
    <row r="654" spans="1:8" s="13" customFormat="1">
      <c r="A654" s="166"/>
      <c r="B654" s="165" t="s">
        <v>650</v>
      </c>
      <c r="C654" s="165"/>
      <c r="D654" s="170" t="s">
        <v>380</v>
      </c>
      <c r="E654" s="347">
        <v>0.96</v>
      </c>
      <c r="F654" s="168" t="s">
        <v>385</v>
      </c>
      <c r="G654" s="196">
        <f t="shared" si="34"/>
        <v>4.7999999999999996E-3</v>
      </c>
      <c r="H654" s="173"/>
    </row>
    <row r="655" spans="1:8" s="13" customFormat="1">
      <c r="A655" s="165" t="s">
        <v>396</v>
      </c>
      <c r="B655" s="166"/>
      <c r="C655" s="166"/>
      <c r="D655" s="167"/>
      <c r="E655" s="348"/>
      <c r="F655" s="174"/>
      <c r="G655" s="196"/>
      <c r="H655" s="173"/>
    </row>
    <row r="656" spans="1:8" s="13" customFormat="1">
      <c r="A656" s="166"/>
      <c r="B656" s="165" t="s">
        <v>470</v>
      </c>
      <c r="C656" s="165"/>
      <c r="D656" s="170" t="s">
        <v>380</v>
      </c>
      <c r="E656" s="189">
        <v>2.1800000000000002</v>
      </c>
      <c r="F656" s="168">
        <v>7.0000000000000007E-2</v>
      </c>
      <c r="G656" s="196">
        <f t="shared" si="34"/>
        <v>0.15260000000000001</v>
      </c>
      <c r="H656" s="190"/>
    </row>
    <row r="657" spans="1:8" s="13" customFormat="1">
      <c r="A657" s="166"/>
      <c r="B657" s="165" t="s">
        <v>398</v>
      </c>
      <c r="C657" s="165"/>
      <c r="D657" s="170"/>
      <c r="E657" s="189"/>
      <c r="F657" s="168"/>
      <c r="G657" s="196"/>
      <c r="H657" s="190"/>
    </row>
    <row r="658" spans="1:8" s="13" customFormat="1">
      <c r="A658" s="165" t="s">
        <v>432</v>
      </c>
      <c r="B658" s="166"/>
      <c r="C658" s="166"/>
      <c r="D658" s="167"/>
      <c r="E658" s="348"/>
      <c r="F658" s="174"/>
      <c r="G658" s="196"/>
      <c r="H658" s="190"/>
    </row>
    <row r="659" spans="1:8" s="13" customFormat="1">
      <c r="A659" s="166"/>
      <c r="B659" s="165" t="s">
        <v>640</v>
      </c>
      <c r="C659" s="165"/>
      <c r="D659" s="170" t="s">
        <v>380</v>
      </c>
      <c r="E659" s="189">
        <v>3.39</v>
      </c>
      <c r="F659" s="168">
        <v>0.04</v>
      </c>
      <c r="G659" s="196">
        <f t="shared" si="34"/>
        <v>0.1356</v>
      </c>
      <c r="H659" s="190"/>
    </row>
    <row r="660" spans="1:8">
      <c r="A660" s="165" t="s">
        <v>651</v>
      </c>
      <c r="B660" s="166"/>
      <c r="C660" s="166"/>
      <c r="D660" s="167"/>
      <c r="E660" s="348"/>
      <c r="F660" s="174"/>
      <c r="G660" s="196"/>
      <c r="H660" s="173"/>
    </row>
    <row r="661" spans="1:8" s="150" customFormat="1">
      <c r="A661" s="166"/>
      <c r="B661" s="165" t="s">
        <v>652</v>
      </c>
      <c r="C661" s="165"/>
      <c r="D661" s="170" t="s">
        <v>380</v>
      </c>
      <c r="E661" s="347">
        <v>0.83</v>
      </c>
      <c r="F661" s="168">
        <v>2.8000000000000001E-2</v>
      </c>
      <c r="G661" s="217">
        <f>F661*E661</f>
        <v>2.324E-2</v>
      </c>
      <c r="H661" s="173"/>
    </row>
    <row r="662" spans="1:8" s="10" customFormat="1">
      <c r="A662" s="166"/>
      <c r="B662" s="165" t="s">
        <v>469</v>
      </c>
      <c r="C662" s="165"/>
      <c r="D662" s="170" t="s">
        <v>380</v>
      </c>
      <c r="E662" s="347">
        <v>0.81</v>
      </c>
      <c r="F662" s="168">
        <v>0.04</v>
      </c>
      <c r="G662" s="196">
        <f t="shared" si="34"/>
        <v>3.2400000000000005E-2</v>
      </c>
      <c r="H662" s="190"/>
    </row>
    <row r="663" spans="1:8">
      <c r="A663" s="165" t="s">
        <v>512</v>
      </c>
      <c r="B663" s="166"/>
      <c r="C663" s="166"/>
      <c r="D663" s="167"/>
      <c r="E663" s="348"/>
      <c r="F663" s="174"/>
      <c r="G663" s="196"/>
      <c r="H663" s="190"/>
    </row>
    <row r="664" spans="1:8">
      <c r="A664" s="166"/>
      <c r="B664" s="165" t="s">
        <v>653</v>
      </c>
      <c r="C664" s="165"/>
      <c r="D664" s="170" t="s">
        <v>380</v>
      </c>
      <c r="E664" s="216">
        <v>0.66</v>
      </c>
      <c r="F664" s="168">
        <v>0.15</v>
      </c>
      <c r="G664" s="196">
        <f t="shared" si="34"/>
        <v>9.9000000000000005E-2</v>
      </c>
      <c r="H664" s="173"/>
    </row>
    <row r="665" spans="1:8">
      <c r="A665" s="165" t="s">
        <v>458</v>
      </c>
      <c r="B665" s="166"/>
      <c r="C665" s="166"/>
      <c r="D665" s="167"/>
      <c r="E665" s="348"/>
      <c r="F665" s="174"/>
      <c r="G665" s="196"/>
      <c r="H665" s="190"/>
    </row>
    <row r="666" spans="1:8">
      <c r="A666" s="166"/>
      <c r="B666" s="165" t="s">
        <v>654</v>
      </c>
      <c r="C666" s="165"/>
      <c r="D666" s="170" t="s">
        <v>380</v>
      </c>
      <c r="E666" s="216">
        <v>9.8800000000000008</v>
      </c>
      <c r="F666" s="168">
        <v>8.9999999999999993E-3</v>
      </c>
      <c r="G666" s="196">
        <f t="shared" si="34"/>
        <v>8.8919999999999999E-2</v>
      </c>
      <c r="H666" s="173"/>
    </row>
    <row r="667" spans="1:8">
      <c r="A667" s="166"/>
      <c r="B667" s="165" t="s">
        <v>655</v>
      </c>
      <c r="C667" s="165"/>
      <c r="D667" s="170" t="s">
        <v>380</v>
      </c>
      <c r="E667" s="223">
        <v>1.52</v>
      </c>
      <c r="F667" s="168">
        <v>0.02</v>
      </c>
      <c r="G667" s="196">
        <f t="shared" si="34"/>
        <v>3.04E-2</v>
      </c>
      <c r="H667" s="173"/>
    </row>
    <row r="668" spans="1:8">
      <c r="A668" s="166" t="s">
        <v>367</v>
      </c>
      <c r="B668" s="165"/>
      <c r="C668" s="165"/>
      <c r="D668" s="170"/>
      <c r="E668" s="189"/>
      <c r="F668" s="168"/>
      <c r="G668" s="149"/>
      <c r="H668" s="173"/>
    </row>
    <row r="669" spans="1:8">
      <c r="A669" s="165"/>
      <c r="B669" s="165" t="s">
        <v>442</v>
      </c>
      <c r="C669" s="165"/>
      <c r="D669" s="176" t="s">
        <v>380</v>
      </c>
      <c r="E669" s="345">
        <v>7.37</v>
      </c>
      <c r="F669" s="177">
        <v>2.385E-3</v>
      </c>
      <c r="G669" s="178">
        <f t="shared" ref="G669:G676" si="35">F669*E669</f>
        <v>1.7577450000000001E-2</v>
      </c>
      <c r="H669" s="173"/>
    </row>
    <row r="670" spans="1:8">
      <c r="A670" s="179"/>
      <c r="B670" s="179" t="s">
        <v>382</v>
      </c>
      <c r="C670" s="179"/>
      <c r="D670" s="176" t="s">
        <v>380</v>
      </c>
      <c r="E670" s="345">
        <v>0.96</v>
      </c>
      <c r="F670" s="177">
        <v>4.9290899999999997E-3</v>
      </c>
      <c r="G670" s="178">
        <f t="shared" si="35"/>
        <v>4.7319263999999993E-3</v>
      </c>
      <c r="H670" s="173"/>
    </row>
    <row r="671" spans="1:8">
      <c r="A671" s="179"/>
      <c r="B671" s="179" t="s">
        <v>411</v>
      </c>
      <c r="C671" s="179"/>
      <c r="D671" s="176" t="s">
        <v>395</v>
      </c>
      <c r="E671" s="225">
        <v>1.65</v>
      </c>
      <c r="F671" s="177">
        <v>0.01</v>
      </c>
      <c r="G671" s="178">
        <f t="shared" si="35"/>
        <v>1.6500000000000001E-2</v>
      </c>
      <c r="H671" s="173"/>
    </row>
    <row r="672" spans="1:8">
      <c r="A672" s="179"/>
      <c r="B672" s="179" t="s">
        <v>412</v>
      </c>
      <c r="C672" s="179"/>
      <c r="D672" s="176" t="s">
        <v>380</v>
      </c>
      <c r="E672" s="345">
        <v>0.55000000000000004</v>
      </c>
      <c r="F672" s="177">
        <v>7.1599999999999997E-3</v>
      </c>
      <c r="G672" s="178">
        <f t="shared" si="35"/>
        <v>3.9380000000000005E-3</v>
      </c>
      <c r="H672" s="173"/>
    </row>
    <row r="673" spans="1:8">
      <c r="A673" s="179"/>
      <c r="B673" s="179" t="s">
        <v>413</v>
      </c>
      <c r="C673" s="179"/>
      <c r="D673" s="176" t="s">
        <v>414</v>
      </c>
      <c r="E673" s="225">
        <v>5.0000000000000001E-3</v>
      </c>
      <c r="F673" s="177">
        <v>0.95454499999999998</v>
      </c>
      <c r="G673" s="178">
        <f t="shared" si="35"/>
        <v>4.7727250000000002E-3</v>
      </c>
      <c r="H673" s="173"/>
    </row>
    <row r="674" spans="1:8">
      <c r="A674" s="179"/>
      <c r="B674" s="179" t="s">
        <v>415</v>
      </c>
      <c r="C674" s="179"/>
      <c r="D674" s="176" t="s">
        <v>380</v>
      </c>
      <c r="E674" s="345">
        <v>3.08</v>
      </c>
      <c r="F674" s="177">
        <v>0.01</v>
      </c>
      <c r="G674" s="178">
        <f t="shared" si="35"/>
        <v>3.0800000000000001E-2</v>
      </c>
      <c r="H674" s="173"/>
    </row>
    <row r="675" spans="1:8">
      <c r="A675" s="179"/>
      <c r="B675" s="179" t="s">
        <v>416</v>
      </c>
      <c r="C675" s="179"/>
      <c r="D675" s="176" t="s">
        <v>395</v>
      </c>
      <c r="E675" s="345">
        <v>2.85</v>
      </c>
      <c r="F675" s="177">
        <v>0.01</v>
      </c>
      <c r="G675" s="178">
        <f t="shared" si="35"/>
        <v>2.8500000000000001E-2</v>
      </c>
      <c r="H675" s="173"/>
    </row>
    <row r="676" spans="1:8">
      <c r="A676" s="179"/>
      <c r="B676" s="179" t="s">
        <v>417</v>
      </c>
      <c r="C676" s="179"/>
      <c r="D676" s="176" t="s">
        <v>395</v>
      </c>
      <c r="E676" s="225">
        <v>16.940000000000001</v>
      </c>
      <c r="F676" s="177">
        <v>0.01</v>
      </c>
      <c r="G676" s="178">
        <f t="shared" si="35"/>
        <v>0.16940000000000002</v>
      </c>
      <c r="H676" s="173"/>
    </row>
    <row r="677" spans="1:8">
      <c r="A677" s="180" t="s">
        <v>656</v>
      </c>
      <c r="B677" s="181"/>
      <c r="C677" s="181"/>
      <c r="D677" s="182"/>
      <c r="E677" s="346"/>
      <c r="F677" s="183"/>
      <c r="G677" s="198">
        <f>SUM(G647:G676)</f>
        <v>2.2237501014000003</v>
      </c>
      <c r="H677" s="191"/>
    </row>
    <row r="678" spans="1:8">
      <c r="A678" s="219"/>
      <c r="B678" s="220"/>
      <c r="C678" s="220"/>
      <c r="D678" s="12"/>
      <c r="E678" s="12"/>
      <c r="F678" s="221"/>
      <c r="G678" s="12"/>
      <c r="H678" s="215"/>
    </row>
    <row r="679" spans="1:8" ht="45">
      <c r="A679" s="399" t="s">
        <v>119</v>
      </c>
      <c r="B679" s="399"/>
      <c r="C679" s="399"/>
      <c r="D679" s="400" t="s">
        <v>376</v>
      </c>
      <c r="E679" s="400" t="s">
        <v>91</v>
      </c>
      <c r="F679" s="401" t="s">
        <v>92</v>
      </c>
      <c r="G679" s="402" t="s">
        <v>93</v>
      </c>
      <c r="H679" s="403" t="s">
        <v>377</v>
      </c>
    </row>
    <row r="680" spans="1:8">
      <c r="A680" s="165" t="s">
        <v>657</v>
      </c>
      <c r="B680" s="166"/>
      <c r="C680" s="166"/>
      <c r="D680" s="167"/>
      <c r="E680" s="343"/>
      <c r="F680" s="174"/>
      <c r="G680" s="167"/>
      <c r="H680" s="190"/>
    </row>
    <row r="681" spans="1:8">
      <c r="A681" s="166"/>
      <c r="B681" s="165" t="s">
        <v>658</v>
      </c>
      <c r="C681" s="165"/>
      <c r="D681" s="170" t="s">
        <v>380</v>
      </c>
      <c r="E681" s="347">
        <v>10.050000000000001</v>
      </c>
      <c r="F681" s="168">
        <v>0.23</v>
      </c>
      <c r="G681" s="197">
        <f>F681*E681</f>
        <v>2.3115000000000001</v>
      </c>
      <c r="H681" s="190">
        <v>140</v>
      </c>
    </row>
    <row r="682" spans="1:8">
      <c r="A682" s="166"/>
      <c r="B682" s="165" t="s">
        <v>382</v>
      </c>
      <c r="C682" s="165"/>
      <c r="D682" s="170" t="s">
        <v>380</v>
      </c>
      <c r="E682" s="347">
        <v>0.96</v>
      </c>
      <c r="F682" s="168" t="s">
        <v>393</v>
      </c>
      <c r="G682" s="197">
        <f t="shared" ref="G682:G702" si="36">F682*E682</f>
        <v>1.9199999999999998E-2</v>
      </c>
      <c r="H682" s="190"/>
    </row>
    <row r="683" spans="1:8">
      <c r="A683" s="166"/>
      <c r="B683" s="165" t="s">
        <v>659</v>
      </c>
      <c r="C683" s="165"/>
      <c r="D683" s="170" t="s">
        <v>380</v>
      </c>
      <c r="E683" s="347">
        <v>1.39</v>
      </c>
      <c r="F683" s="168">
        <v>5.0000000000000001E-3</v>
      </c>
      <c r="G683" s="197">
        <f t="shared" si="36"/>
        <v>6.9499999999999996E-3</v>
      </c>
      <c r="H683" s="190"/>
    </row>
    <row r="684" spans="1:8">
      <c r="A684" s="166"/>
      <c r="B684" s="165" t="s">
        <v>503</v>
      </c>
      <c r="C684" s="165"/>
      <c r="D684" s="170" t="s">
        <v>380</v>
      </c>
      <c r="E684" s="347">
        <v>1.87</v>
      </c>
      <c r="F684" s="168">
        <v>0.03</v>
      </c>
      <c r="G684" s="197">
        <f t="shared" si="36"/>
        <v>5.6100000000000004E-2</v>
      </c>
      <c r="H684" s="190"/>
    </row>
    <row r="685" spans="1:8">
      <c r="A685" s="166"/>
      <c r="B685" s="165" t="s">
        <v>660</v>
      </c>
      <c r="C685" s="165"/>
      <c r="D685" s="170" t="s">
        <v>380</v>
      </c>
      <c r="E685" s="216">
        <v>3.21</v>
      </c>
      <c r="F685" s="168" t="s">
        <v>385</v>
      </c>
      <c r="G685" s="197">
        <f t="shared" si="36"/>
        <v>1.6050000000000002E-2</v>
      </c>
      <c r="H685" s="190"/>
    </row>
    <row r="686" spans="1:8">
      <c r="A686" s="165" t="s">
        <v>661</v>
      </c>
      <c r="B686" s="166"/>
      <c r="C686" s="166"/>
      <c r="D686" s="167"/>
      <c r="E686" s="348"/>
      <c r="F686" s="174"/>
      <c r="G686" s="197"/>
      <c r="H686" s="190"/>
    </row>
    <row r="687" spans="1:8">
      <c r="A687" s="166"/>
      <c r="B687" s="165" t="s">
        <v>662</v>
      </c>
      <c r="C687" s="165"/>
      <c r="D687" s="170" t="s">
        <v>380</v>
      </c>
      <c r="E687" s="347">
        <v>0.67</v>
      </c>
      <c r="F687" s="168">
        <v>0.13</v>
      </c>
      <c r="G687" s="197">
        <f t="shared" si="36"/>
        <v>8.7100000000000011E-2</v>
      </c>
      <c r="H687" s="190"/>
    </row>
    <row r="688" spans="1:8">
      <c r="A688" s="166"/>
      <c r="B688" s="165" t="s">
        <v>663</v>
      </c>
      <c r="C688" s="165"/>
      <c r="D688" s="170" t="s">
        <v>380</v>
      </c>
      <c r="E688" s="347">
        <v>0.96</v>
      </c>
      <c r="F688" s="168" t="s">
        <v>385</v>
      </c>
      <c r="G688" s="197">
        <f t="shared" si="36"/>
        <v>4.7999999999999996E-3</v>
      </c>
      <c r="H688" s="190"/>
    </row>
    <row r="689" spans="1:8" s="13" customFormat="1">
      <c r="A689" s="165" t="s">
        <v>396</v>
      </c>
      <c r="B689" s="166"/>
      <c r="C689" s="166"/>
      <c r="D689" s="167"/>
      <c r="E689" s="348"/>
      <c r="F689" s="174"/>
      <c r="G689" s="197"/>
      <c r="H689" s="190"/>
    </row>
    <row r="690" spans="1:8" s="13" customFormat="1">
      <c r="A690" s="166"/>
      <c r="B690" s="165" t="s">
        <v>639</v>
      </c>
      <c r="C690" s="165"/>
      <c r="D690" s="170" t="s">
        <v>380</v>
      </c>
      <c r="E690" s="189">
        <v>2.1800000000000002</v>
      </c>
      <c r="F690" s="168">
        <v>7.0000000000000007E-2</v>
      </c>
      <c r="G690" s="197">
        <f t="shared" si="36"/>
        <v>0.15260000000000001</v>
      </c>
      <c r="H690" s="190"/>
    </row>
    <row r="691" spans="1:8" s="13" customFormat="1">
      <c r="A691" s="166"/>
      <c r="B691" s="165" t="s">
        <v>398</v>
      </c>
      <c r="C691" s="165"/>
      <c r="D691" s="170"/>
      <c r="E691" s="189"/>
      <c r="F691" s="168"/>
      <c r="G691" s="197"/>
      <c r="H691" s="190"/>
    </row>
    <row r="692" spans="1:8" s="13" customFormat="1">
      <c r="A692" s="165" t="s">
        <v>432</v>
      </c>
      <c r="B692" s="166"/>
      <c r="C692" s="166"/>
      <c r="D692" s="167"/>
      <c r="E692" s="348"/>
      <c r="F692" s="174"/>
      <c r="G692" s="197"/>
      <c r="H692" s="190"/>
    </row>
    <row r="693" spans="1:8" s="13" customFormat="1">
      <c r="A693" s="166"/>
      <c r="B693" s="165" t="s">
        <v>664</v>
      </c>
      <c r="C693" s="165"/>
      <c r="D693" s="170" t="s">
        <v>380</v>
      </c>
      <c r="E693" s="189">
        <v>3.39</v>
      </c>
      <c r="F693" s="168">
        <v>0.04</v>
      </c>
      <c r="G693" s="197">
        <f t="shared" si="36"/>
        <v>0.1356</v>
      </c>
      <c r="H693" s="190"/>
    </row>
    <row r="694" spans="1:8" s="13" customFormat="1">
      <c r="A694" s="165" t="s">
        <v>665</v>
      </c>
      <c r="B694" s="166"/>
      <c r="C694" s="166"/>
      <c r="D694" s="167"/>
      <c r="E694" s="348"/>
      <c r="F694" s="174"/>
      <c r="G694" s="197"/>
      <c r="H694" s="190"/>
    </row>
    <row r="695" spans="1:8" s="13" customFormat="1">
      <c r="A695" s="166"/>
      <c r="B695" s="165" t="s">
        <v>403</v>
      </c>
      <c r="C695" s="165"/>
      <c r="D695" s="170" t="s">
        <v>380</v>
      </c>
      <c r="E695" s="347">
        <v>1.25</v>
      </c>
      <c r="F695" s="168" t="s">
        <v>666</v>
      </c>
      <c r="G695" s="197">
        <f>F695*E695</f>
        <v>3.7499999999999999E-2</v>
      </c>
      <c r="H695" s="190"/>
    </row>
    <row r="696" spans="1:8" s="13" customFormat="1">
      <c r="A696" s="166"/>
      <c r="B696" s="165" t="s">
        <v>667</v>
      </c>
      <c r="C696" s="165"/>
      <c r="D696" s="170" t="s">
        <v>380</v>
      </c>
      <c r="E696" s="347">
        <v>0.99</v>
      </c>
      <c r="F696" s="168">
        <v>0.05</v>
      </c>
      <c r="G696" s="197">
        <f t="shared" si="36"/>
        <v>4.9500000000000002E-2</v>
      </c>
      <c r="H696" s="173"/>
    </row>
    <row r="697" spans="1:8" s="13" customFormat="1">
      <c r="A697" s="166"/>
      <c r="B697" s="165" t="s">
        <v>852</v>
      </c>
      <c r="C697" s="165"/>
      <c r="D697" s="170" t="s">
        <v>380</v>
      </c>
      <c r="E697" s="347">
        <v>2.37</v>
      </c>
      <c r="F697" s="168" t="s">
        <v>668</v>
      </c>
      <c r="G697" s="197">
        <f t="shared" si="36"/>
        <v>0.21329999999999999</v>
      </c>
      <c r="H697" s="190"/>
    </row>
    <row r="698" spans="1:8" s="13" customFormat="1">
      <c r="A698" s="165" t="s">
        <v>669</v>
      </c>
      <c r="B698" s="166"/>
      <c r="C698" s="166"/>
      <c r="D698" s="167"/>
      <c r="E698" s="348"/>
      <c r="F698" s="174"/>
      <c r="G698" s="197"/>
      <c r="H698" s="190"/>
    </row>
    <row r="699" spans="1:8" s="13" customFormat="1">
      <c r="A699" s="166"/>
      <c r="B699" s="165" t="s">
        <v>670</v>
      </c>
      <c r="C699" s="165"/>
      <c r="D699" s="170" t="s">
        <v>380</v>
      </c>
      <c r="E699" s="347">
        <v>1.21</v>
      </c>
      <c r="F699" s="168">
        <v>0.15</v>
      </c>
      <c r="G699" s="197">
        <f t="shared" si="36"/>
        <v>0.18149999999999999</v>
      </c>
      <c r="H699" s="190"/>
    </row>
    <row r="700" spans="1:8" s="13" customFormat="1">
      <c r="A700" s="165" t="s">
        <v>671</v>
      </c>
      <c r="B700" s="166"/>
      <c r="C700" s="166"/>
      <c r="D700" s="167"/>
      <c r="E700" s="348"/>
      <c r="F700" s="174"/>
      <c r="G700" s="197"/>
      <c r="H700" s="190"/>
    </row>
    <row r="701" spans="1:8" s="13" customFormat="1">
      <c r="A701" s="166"/>
      <c r="B701" s="165" t="s">
        <v>672</v>
      </c>
      <c r="C701" s="165"/>
      <c r="D701" s="170" t="s">
        <v>380</v>
      </c>
      <c r="E701" s="216">
        <v>9.73</v>
      </c>
      <c r="F701" s="168">
        <v>8.9999999999999993E-3</v>
      </c>
      <c r="G701" s="197">
        <f t="shared" si="36"/>
        <v>8.7569999999999995E-2</v>
      </c>
      <c r="H701" s="173"/>
    </row>
    <row r="702" spans="1:8">
      <c r="A702" s="166"/>
      <c r="B702" s="165" t="s">
        <v>673</v>
      </c>
      <c r="C702" s="165"/>
      <c r="D702" s="170" t="s">
        <v>380</v>
      </c>
      <c r="E702" s="223">
        <v>1.52</v>
      </c>
      <c r="F702" s="168">
        <v>0.02</v>
      </c>
      <c r="G702" s="197">
        <f t="shared" si="36"/>
        <v>3.04E-2</v>
      </c>
      <c r="H702" s="173"/>
    </row>
    <row r="703" spans="1:8" s="150" customFormat="1">
      <c r="A703" s="166" t="s">
        <v>367</v>
      </c>
      <c r="B703" s="165"/>
      <c r="C703" s="165"/>
      <c r="D703" s="170"/>
      <c r="E703" s="189"/>
      <c r="F703" s="168"/>
      <c r="G703" s="149"/>
      <c r="H703" s="173"/>
    </row>
    <row r="704" spans="1:8" s="10" customFormat="1">
      <c r="A704" s="165"/>
      <c r="B704" s="165" t="s">
        <v>410</v>
      </c>
      <c r="C704" s="165"/>
      <c r="D704" s="176" t="s">
        <v>380</v>
      </c>
      <c r="E704" s="345">
        <v>7.37</v>
      </c>
      <c r="F704" s="177">
        <v>2.385E-3</v>
      </c>
      <c r="G704" s="178">
        <f t="shared" ref="G704:G711" si="37">F704*E704</f>
        <v>1.7577450000000001E-2</v>
      </c>
      <c r="H704" s="173"/>
    </row>
    <row r="705" spans="1:8">
      <c r="A705" s="179"/>
      <c r="B705" s="179" t="s">
        <v>382</v>
      </c>
      <c r="C705" s="179"/>
      <c r="D705" s="176" t="s">
        <v>380</v>
      </c>
      <c r="E705" s="345">
        <v>0.96</v>
      </c>
      <c r="F705" s="177">
        <v>4.9290899999999997E-3</v>
      </c>
      <c r="G705" s="178">
        <f t="shared" si="37"/>
        <v>4.7319263999999993E-3</v>
      </c>
      <c r="H705" s="173"/>
    </row>
    <row r="706" spans="1:8">
      <c r="A706" s="179"/>
      <c r="B706" s="179" t="s">
        <v>411</v>
      </c>
      <c r="C706" s="179"/>
      <c r="D706" s="176" t="s">
        <v>395</v>
      </c>
      <c r="E706" s="225">
        <v>1.65</v>
      </c>
      <c r="F706" s="177">
        <v>0.01</v>
      </c>
      <c r="G706" s="178">
        <f t="shared" si="37"/>
        <v>1.6500000000000001E-2</v>
      </c>
      <c r="H706" s="173"/>
    </row>
    <row r="707" spans="1:8">
      <c r="A707" s="179"/>
      <c r="B707" s="179" t="s">
        <v>412</v>
      </c>
      <c r="C707" s="179"/>
      <c r="D707" s="176" t="s">
        <v>380</v>
      </c>
      <c r="E707" s="345">
        <v>0.55000000000000004</v>
      </c>
      <c r="F707" s="177">
        <v>7.1599999999999997E-3</v>
      </c>
      <c r="G707" s="178">
        <f t="shared" si="37"/>
        <v>3.9380000000000005E-3</v>
      </c>
      <c r="H707" s="173"/>
    </row>
    <row r="708" spans="1:8">
      <c r="A708" s="179"/>
      <c r="B708" s="179" t="s">
        <v>413</v>
      </c>
      <c r="C708" s="179"/>
      <c r="D708" s="176" t="s">
        <v>414</v>
      </c>
      <c r="E708" s="225">
        <v>5.0000000000000001E-3</v>
      </c>
      <c r="F708" s="177">
        <v>0.95454499999999998</v>
      </c>
      <c r="G708" s="178">
        <f t="shared" si="37"/>
        <v>4.7727250000000002E-3</v>
      </c>
      <c r="H708" s="173"/>
    </row>
    <row r="709" spans="1:8">
      <c r="A709" s="179"/>
      <c r="B709" s="179" t="s">
        <v>415</v>
      </c>
      <c r="C709" s="179"/>
      <c r="D709" s="176" t="s">
        <v>380</v>
      </c>
      <c r="E709" s="345">
        <v>3.08</v>
      </c>
      <c r="F709" s="177">
        <v>0.01</v>
      </c>
      <c r="G709" s="178">
        <f t="shared" si="37"/>
        <v>3.0800000000000001E-2</v>
      </c>
      <c r="H709" s="173"/>
    </row>
    <row r="710" spans="1:8">
      <c r="A710" s="179"/>
      <c r="B710" s="179" t="s">
        <v>416</v>
      </c>
      <c r="C710" s="179"/>
      <c r="D710" s="176" t="s">
        <v>395</v>
      </c>
      <c r="E710" s="345">
        <v>2.85</v>
      </c>
      <c r="F710" s="177">
        <v>0.01</v>
      </c>
      <c r="G710" s="178">
        <f t="shared" si="37"/>
        <v>2.8500000000000001E-2</v>
      </c>
      <c r="H710" s="173"/>
    </row>
    <row r="711" spans="1:8">
      <c r="A711" s="179"/>
      <c r="B711" s="179" t="s">
        <v>417</v>
      </c>
      <c r="C711" s="179"/>
      <c r="D711" s="176" t="s">
        <v>395</v>
      </c>
      <c r="E711" s="225">
        <v>16.940000000000001</v>
      </c>
      <c r="F711" s="177">
        <v>0.01</v>
      </c>
      <c r="G711" s="178">
        <f t="shared" si="37"/>
        <v>0.16940000000000002</v>
      </c>
      <c r="H711" s="173"/>
    </row>
    <row r="712" spans="1:8">
      <c r="A712" s="180" t="s">
        <v>674</v>
      </c>
      <c r="B712" s="181"/>
      <c r="C712" s="181"/>
      <c r="D712" s="182"/>
      <c r="E712" s="346"/>
      <c r="F712" s="183"/>
      <c r="G712" s="198">
        <f>SUM(G681:G711)</f>
        <v>3.6658901014000009</v>
      </c>
      <c r="H712" s="191"/>
    </row>
    <row r="713" spans="1:8" ht="19.5" customHeight="1">
      <c r="B713" s="192"/>
      <c r="C713" s="192"/>
      <c r="D713" s="212"/>
      <c r="E713" s="212"/>
      <c r="F713" s="214"/>
      <c r="G713" s="212"/>
      <c r="H713" s="215"/>
    </row>
    <row r="714" spans="1:8" ht="45">
      <c r="A714" s="399" t="s">
        <v>120</v>
      </c>
      <c r="B714" s="399"/>
      <c r="C714" s="399"/>
      <c r="D714" s="400" t="s">
        <v>376</v>
      </c>
      <c r="E714" s="400" t="s">
        <v>91</v>
      </c>
      <c r="F714" s="401" t="s">
        <v>92</v>
      </c>
      <c r="G714" s="402" t="s">
        <v>93</v>
      </c>
      <c r="H714" s="403" t="s">
        <v>377</v>
      </c>
    </row>
    <row r="715" spans="1:8">
      <c r="A715" s="165" t="s">
        <v>675</v>
      </c>
      <c r="B715" s="166"/>
      <c r="C715" s="166"/>
      <c r="D715" s="167"/>
      <c r="E715" s="350"/>
      <c r="F715" s="174"/>
      <c r="G715" s="167"/>
      <c r="H715" s="173"/>
    </row>
    <row r="716" spans="1:8">
      <c r="A716" s="166"/>
      <c r="B716" s="165" t="s">
        <v>676</v>
      </c>
      <c r="C716" s="165"/>
      <c r="D716" s="170" t="s">
        <v>380</v>
      </c>
      <c r="E716" s="216">
        <v>11.96</v>
      </c>
      <c r="F716" s="168">
        <v>0.39</v>
      </c>
      <c r="G716" s="196">
        <f>F716*E716</f>
        <v>4.6644000000000005</v>
      </c>
      <c r="H716" s="173">
        <v>180</v>
      </c>
    </row>
    <row r="717" spans="1:8">
      <c r="A717" s="166"/>
      <c r="B717" s="165" t="s">
        <v>677</v>
      </c>
      <c r="C717" s="165"/>
      <c r="D717" s="170" t="s">
        <v>380</v>
      </c>
      <c r="E717" s="216">
        <v>1.54</v>
      </c>
      <c r="F717" s="168" t="s">
        <v>430</v>
      </c>
      <c r="G717" s="196">
        <f t="shared" ref="G717:G740" si="38">F717*E717</f>
        <v>3.0800000000000003E-3</v>
      </c>
      <c r="H717" s="173"/>
    </row>
    <row r="718" spans="1:8">
      <c r="A718" s="166"/>
      <c r="B718" s="165" t="s">
        <v>634</v>
      </c>
      <c r="C718" s="165"/>
      <c r="D718" s="170" t="s">
        <v>380</v>
      </c>
      <c r="E718" s="347">
        <v>0.96</v>
      </c>
      <c r="F718" s="168">
        <v>4.9199999999999999E-3</v>
      </c>
      <c r="G718" s="196">
        <f t="shared" si="38"/>
        <v>4.7231999999999994E-3</v>
      </c>
      <c r="H718" s="173"/>
    </row>
    <row r="719" spans="1:8">
      <c r="A719" s="166"/>
      <c r="B719" s="165" t="s">
        <v>678</v>
      </c>
      <c r="C719" s="165"/>
      <c r="D719" s="170" t="s">
        <v>380</v>
      </c>
      <c r="E719" s="347">
        <v>0.77</v>
      </c>
      <c r="F719" s="168" t="s">
        <v>393</v>
      </c>
      <c r="G719" s="196">
        <f t="shared" si="38"/>
        <v>1.54E-2</v>
      </c>
      <c r="H719" s="173"/>
    </row>
    <row r="720" spans="1:8">
      <c r="A720" s="166"/>
      <c r="B720" s="165" t="s">
        <v>679</v>
      </c>
      <c r="C720" s="165"/>
      <c r="D720" s="170" t="s">
        <v>380</v>
      </c>
      <c r="E720" s="347">
        <v>1.39</v>
      </c>
      <c r="F720" s="168">
        <v>4.9199999999999999E-3</v>
      </c>
      <c r="G720" s="196">
        <f t="shared" si="38"/>
        <v>6.838799999999999E-3</v>
      </c>
      <c r="H720" s="173"/>
    </row>
    <row r="721" spans="1:8">
      <c r="A721" s="166"/>
      <c r="B721" s="165" t="s">
        <v>519</v>
      </c>
      <c r="C721" s="165"/>
      <c r="D721" s="170" t="s">
        <v>380</v>
      </c>
      <c r="E721" s="347">
        <v>1.2</v>
      </c>
      <c r="F721" s="168">
        <v>0.02</v>
      </c>
      <c r="G721" s="196">
        <f t="shared" si="38"/>
        <v>2.4E-2</v>
      </c>
      <c r="H721" s="173"/>
    </row>
    <row r="722" spans="1:8">
      <c r="A722" s="166"/>
      <c r="B722" s="165" t="s">
        <v>464</v>
      </c>
      <c r="C722" s="165"/>
      <c r="D722" s="170" t="s">
        <v>380</v>
      </c>
      <c r="E722" s="347">
        <v>1.87</v>
      </c>
      <c r="F722" s="168">
        <v>0.05</v>
      </c>
      <c r="G722" s="196">
        <f t="shared" si="38"/>
        <v>9.3500000000000014E-2</v>
      </c>
      <c r="H722" s="173"/>
    </row>
    <row r="723" spans="1:8">
      <c r="A723" s="165" t="s">
        <v>680</v>
      </c>
      <c r="B723" s="166"/>
      <c r="C723" s="166"/>
      <c r="D723" s="167"/>
      <c r="E723" s="348"/>
      <c r="F723" s="174"/>
      <c r="G723" s="196"/>
      <c r="H723" s="173"/>
    </row>
    <row r="724" spans="1:8">
      <c r="A724" s="166"/>
      <c r="B724" s="165" t="s">
        <v>677</v>
      </c>
      <c r="C724" s="165"/>
      <c r="D724" s="170" t="s">
        <v>380</v>
      </c>
      <c r="E724" s="216">
        <v>1.54</v>
      </c>
      <c r="F724" s="168" t="s">
        <v>681</v>
      </c>
      <c r="G724" s="196">
        <f t="shared" si="38"/>
        <v>1.3860000000000001E-3</v>
      </c>
      <c r="H724" s="173"/>
    </row>
    <row r="725" spans="1:8">
      <c r="A725" s="166"/>
      <c r="B725" s="165" t="s">
        <v>682</v>
      </c>
      <c r="C725" s="165"/>
      <c r="D725" s="170" t="s">
        <v>380</v>
      </c>
      <c r="E725" s="347">
        <v>3.08</v>
      </c>
      <c r="F725" s="168" t="s">
        <v>393</v>
      </c>
      <c r="G725" s="196">
        <f t="shared" si="38"/>
        <v>6.1600000000000002E-2</v>
      </c>
      <c r="H725" s="173"/>
    </row>
    <row r="726" spans="1:8">
      <c r="A726" s="166"/>
      <c r="B726" s="165" t="s">
        <v>464</v>
      </c>
      <c r="C726" s="165"/>
      <c r="D726" s="170" t="s">
        <v>380</v>
      </c>
      <c r="E726" s="347">
        <v>1.87</v>
      </c>
      <c r="F726" s="168">
        <v>0.05</v>
      </c>
      <c r="G726" s="196">
        <f>F726*E726</f>
        <v>9.3500000000000014E-2</v>
      </c>
      <c r="H726" s="173"/>
    </row>
    <row r="727" spans="1:8">
      <c r="A727" s="166"/>
      <c r="B727" s="165" t="s">
        <v>384</v>
      </c>
      <c r="C727" s="165"/>
      <c r="D727" s="170" t="s">
        <v>380</v>
      </c>
      <c r="E727" s="216">
        <v>3.21</v>
      </c>
      <c r="F727" s="168" t="s">
        <v>389</v>
      </c>
      <c r="G727" s="196">
        <f t="shared" si="38"/>
        <v>3.2100000000000002E-3</v>
      </c>
      <c r="H727" s="173"/>
    </row>
    <row r="728" spans="1:8">
      <c r="A728" s="165" t="s">
        <v>396</v>
      </c>
      <c r="B728" s="166"/>
      <c r="C728" s="166"/>
      <c r="D728" s="167"/>
      <c r="E728" s="348"/>
      <c r="F728" s="174"/>
      <c r="G728" s="196"/>
      <c r="H728" s="173"/>
    </row>
    <row r="729" spans="1:8">
      <c r="A729" s="166"/>
      <c r="B729" s="165" t="s">
        <v>639</v>
      </c>
      <c r="C729" s="165"/>
      <c r="D729" s="170" t="s">
        <v>380</v>
      </c>
      <c r="E729" s="189">
        <v>2.1800000000000002</v>
      </c>
      <c r="F729" s="168">
        <v>7.0000000000000007E-2</v>
      </c>
      <c r="G729" s="196">
        <f t="shared" si="38"/>
        <v>0.15260000000000001</v>
      </c>
      <c r="H729" s="173"/>
    </row>
    <row r="730" spans="1:8">
      <c r="A730" s="166"/>
      <c r="B730" s="165" t="s">
        <v>398</v>
      </c>
      <c r="C730" s="165"/>
      <c r="D730" s="170"/>
      <c r="E730" s="189"/>
      <c r="F730" s="168"/>
      <c r="G730" s="196"/>
      <c r="H730" s="173"/>
    </row>
    <row r="731" spans="1:8">
      <c r="A731" s="165" t="s">
        <v>432</v>
      </c>
      <c r="B731" s="166"/>
      <c r="C731" s="166"/>
      <c r="D731" s="167"/>
      <c r="E731" s="348"/>
      <c r="F731" s="174"/>
      <c r="G731" s="196"/>
      <c r="H731" s="173"/>
    </row>
    <row r="732" spans="1:8">
      <c r="A732" s="166"/>
      <c r="B732" s="165" t="s">
        <v>683</v>
      </c>
      <c r="C732" s="165"/>
      <c r="D732" s="170" t="s">
        <v>380</v>
      </c>
      <c r="E732" s="189">
        <v>3.39</v>
      </c>
      <c r="F732" s="168">
        <v>0.04</v>
      </c>
      <c r="G732" s="196">
        <f t="shared" si="38"/>
        <v>0.1356</v>
      </c>
      <c r="H732" s="173"/>
    </row>
    <row r="733" spans="1:8" s="13" customFormat="1">
      <c r="A733" s="165" t="s">
        <v>684</v>
      </c>
      <c r="B733" s="166"/>
      <c r="C733" s="166"/>
      <c r="D733" s="167"/>
      <c r="E733" s="348"/>
      <c r="F733" s="174"/>
      <c r="G733" s="196"/>
      <c r="H733" s="173"/>
    </row>
    <row r="734" spans="1:8" s="13" customFormat="1">
      <c r="A734" s="166"/>
      <c r="B734" s="165" t="s">
        <v>634</v>
      </c>
      <c r="C734" s="165"/>
      <c r="D734" s="170" t="s">
        <v>380</v>
      </c>
      <c r="E734" s="347">
        <v>0.96</v>
      </c>
      <c r="F734" s="168">
        <v>0.02</v>
      </c>
      <c r="G734" s="196">
        <f t="shared" si="38"/>
        <v>1.9199999999999998E-2</v>
      </c>
      <c r="H734" s="173"/>
    </row>
    <row r="735" spans="1:8" s="13" customFormat="1">
      <c r="A735" s="166"/>
      <c r="B735" s="165" t="s">
        <v>685</v>
      </c>
      <c r="C735" s="165"/>
      <c r="D735" s="170" t="s">
        <v>380</v>
      </c>
      <c r="E735" s="347">
        <v>0.63</v>
      </c>
      <c r="F735" s="168">
        <v>0.1</v>
      </c>
      <c r="G735" s="196">
        <f t="shared" si="38"/>
        <v>6.3E-2</v>
      </c>
      <c r="H735" s="173"/>
    </row>
    <row r="736" spans="1:8" s="13" customFormat="1">
      <c r="A736" s="165" t="s">
        <v>686</v>
      </c>
      <c r="B736" s="166"/>
      <c r="C736" s="166"/>
      <c r="D736" s="167"/>
      <c r="E736" s="348"/>
      <c r="F736" s="174"/>
      <c r="G736" s="196"/>
      <c r="H736" s="173"/>
    </row>
    <row r="737" spans="1:8" s="13" customFormat="1">
      <c r="A737" s="166"/>
      <c r="B737" s="165" t="s">
        <v>687</v>
      </c>
      <c r="C737" s="165"/>
      <c r="D737" s="170" t="s">
        <v>380</v>
      </c>
      <c r="E737" s="216">
        <v>1.06</v>
      </c>
      <c r="F737" s="168">
        <v>0.15</v>
      </c>
      <c r="G737" s="196">
        <f t="shared" si="38"/>
        <v>0.159</v>
      </c>
      <c r="H737" s="173"/>
    </row>
    <row r="738" spans="1:8" s="13" customFormat="1">
      <c r="A738" s="165" t="s">
        <v>513</v>
      </c>
      <c r="B738" s="166"/>
      <c r="C738" s="166"/>
      <c r="D738" s="167"/>
      <c r="E738" s="348"/>
      <c r="F738" s="174"/>
      <c r="G738" s="196"/>
      <c r="H738" s="173"/>
    </row>
    <row r="739" spans="1:8" s="13" customFormat="1">
      <c r="A739" s="166"/>
      <c r="B739" s="165" t="s">
        <v>688</v>
      </c>
      <c r="C739" s="165"/>
      <c r="D739" s="170" t="s">
        <v>380</v>
      </c>
      <c r="E739" s="216">
        <v>13.77</v>
      </c>
      <c r="F739" s="168">
        <v>8.9999999999999993E-3</v>
      </c>
      <c r="G739" s="196">
        <f t="shared" si="38"/>
        <v>0.12392999999999998</v>
      </c>
      <c r="H739" s="173"/>
    </row>
    <row r="740" spans="1:8" s="13" customFormat="1">
      <c r="A740" s="166"/>
      <c r="B740" s="165" t="s">
        <v>515</v>
      </c>
      <c r="C740" s="165"/>
      <c r="D740" s="170" t="s">
        <v>380</v>
      </c>
      <c r="E740" s="223">
        <v>1.52</v>
      </c>
      <c r="F740" s="168">
        <v>0.02</v>
      </c>
      <c r="G740" s="196">
        <f t="shared" si="38"/>
        <v>3.04E-2</v>
      </c>
      <c r="H740" s="173"/>
    </row>
    <row r="741" spans="1:8" s="13" customFormat="1">
      <c r="A741" s="166" t="s">
        <v>367</v>
      </c>
      <c r="B741" s="165"/>
      <c r="C741" s="165"/>
      <c r="D741" s="170"/>
      <c r="E741" s="189"/>
      <c r="F741" s="168"/>
      <c r="G741" s="149"/>
      <c r="H741" s="173"/>
    </row>
    <row r="742" spans="1:8" s="13" customFormat="1">
      <c r="A742" s="165"/>
      <c r="B742" s="165" t="s">
        <v>410</v>
      </c>
      <c r="C742" s="165"/>
      <c r="D742" s="176" t="s">
        <v>380</v>
      </c>
      <c r="E742" s="345">
        <v>7.37</v>
      </c>
      <c r="F742" s="177">
        <v>2.385E-3</v>
      </c>
      <c r="G742" s="178">
        <f t="shared" ref="G742:G749" si="39">F742*E742</f>
        <v>1.7577450000000001E-2</v>
      </c>
      <c r="H742" s="173"/>
    </row>
    <row r="743" spans="1:8" s="13" customFormat="1">
      <c r="A743" s="179"/>
      <c r="B743" s="179" t="s">
        <v>382</v>
      </c>
      <c r="C743" s="179"/>
      <c r="D743" s="176" t="s">
        <v>380</v>
      </c>
      <c r="E743" s="345">
        <v>0.96</v>
      </c>
      <c r="F743" s="177">
        <v>4.9290899999999997E-3</v>
      </c>
      <c r="G743" s="178">
        <f t="shared" si="39"/>
        <v>4.7319263999999993E-3</v>
      </c>
      <c r="H743" s="173"/>
    </row>
    <row r="744" spans="1:8" s="13" customFormat="1">
      <c r="A744" s="179"/>
      <c r="B744" s="179" t="s">
        <v>411</v>
      </c>
      <c r="C744" s="179"/>
      <c r="D744" s="176" t="s">
        <v>395</v>
      </c>
      <c r="E744" s="225">
        <v>1.65</v>
      </c>
      <c r="F744" s="177">
        <v>0.01</v>
      </c>
      <c r="G744" s="178">
        <f t="shared" si="39"/>
        <v>1.6500000000000001E-2</v>
      </c>
      <c r="H744" s="173"/>
    </row>
    <row r="745" spans="1:8">
      <c r="A745" s="179"/>
      <c r="B745" s="179" t="s">
        <v>412</v>
      </c>
      <c r="C745" s="179"/>
      <c r="D745" s="176" t="s">
        <v>380</v>
      </c>
      <c r="E745" s="345">
        <v>0.55000000000000004</v>
      </c>
      <c r="F745" s="177">
        <v>7.1599999999999997E-3</v>
      </c>
      <c r="G745" s="178">
        <f t="shared" si="39"/>
        <v>3.9380000000000005E-3</v>
      </c>
      <c r="H745" s="173"/>
    </row>
    <row r="746" spans="1:8">
      <c r="A746" s="179"/>
      <c r="B746" s="179" t="s">
        <v>576</v>
      </c>
      <c r="C746" s="179"/>
      <c r="D746" s="176" t="s">
        <v>414</v>
      </c>
      <c r="E746" s="225">
        <v>5.0000000000000001E-3</v>
      </c>
      <c r="F746" s="177">
        <v>0.95454499999999998</v>
      </c>
      <c r="G746" s="178">
        <f t="shared" si="39"/>
        <v>4.7727250000000002E-3</v>
      </c>
      <c r="H746" s="173"/>
    </row>
    <row r="747" spans="1:8" s="10" customFormat="1">
      <c r="A747" s="179"/>
      <c r="B747" s="179" t="s">
        <v>415</v>
      </c>
      <c r="C747" s="179"/>
      <c r="D747" s="176" t="s">
        <v>380</v>
      </c>
      <c r="E747" s="345">
        <v>3.08</v>
      </c>
      <c r="F747" s="177">
        <v>0.01</v>
      </c>
      <c r="G747" s="178">
        <f t="shared" si="39"/>
        <v>3.0800000000000001E-2</v>
      </c>
      <c r="H747" s="173"/>
    </row>
    <row r="748" spans="1:8">
      <c r="A748" s="179"/>
      <c r="B748" s="179" t="s">
        <v>416</v>
      </c>
      <c r="C748" s="179"/>
      <c r="D748" s="176" t="s">
        <v>395</v>
      </c>
      <c r="E748" s="345">
        <v>2.85</v>
      </c>
      <c r="F748" s="177">
        <v>0.01</v>
      </c>
      <c r="G748" s="178">
        <f t="shared" si="39"/>
        <v>2.8500000000000001E-2</v>
      </c>
      <c r="H748" s="173"/>
    </row>
    <row r="749" spans="1:8">
      <c r="A749" s="179"/>
      <c r="B749" s="179" t="s">
        <v>417</v>
      </c>
      <c r="C749" s="179"/>
      <c r="D749" s="176" t="s">
        <v>395</v>
      </c>
      <c r="E749" s="225">
        <v>16.940000000000001</v>
      </c>
      <c r="F749" s="177">
        <v>0.01</v>
      </c>
      <c r="G749" s="178">
        <f t="shared" si="39"/>
        <v>0.16940000000000002</v>
      </c>
      <c r="H749" s="173"/>
    </row>
    <row r="750" spans="1:8">
      <c r="A750" s="180" t="s">
        <v>689</v>
      </c>
      <c r="B750" s="181"/>
      <c r="C750" s="181"/>
      <c r="D750" s="182"/>
      <c r="E750" s="346"/>
      <c r="F750" s="183"/>
      <c r="G750" s="198">
        <f>SUM(G716:G749)</f>
        <v>5.9315881013999983</v>
      </c>
      <c r="H750" s="191"/>
    </row>
    <row r="751" spans="1:8">
      <c r="A751" s="219"/>
      <c r="B751" s="220"/>
      <c r="C751" s="220"/>
      <c r="D751" s="12"/>
      <c r="E751" s="12"/>
      <c r="F751" s="221"/>
      <c r="G751" s="12"/>
      <c r="H751" s="215"/>
    </row>
    <row r="752" spans="1:8" ht="45">
      <c r="A752" s="399" t="s">
        <v>690</v>
      </c>
      <c r="B752" s="399"/>
      <c r="C752" s="399"/>
      <c r="D752" s="400" t="s">
        <v>376</v>
      </c>
      <c r="E752" s="400" t="s">
        <v>91</v>
      </c>
      <c r="F752" s="401" t="s">
        <v>92</v>
      </c>
      <c r="G752" s="402" t="s">
        <v>93</v>
      </c>
      <c r="H752" s="403" t="s">
        <v>377</v>
      </c>
    </row>
    <row r="753" spans="1:8">
      <c r="A753" s="165" t="s">
        <v>691</v>
      </c>
      <c r="B753" s="166"/>
      <c r="C753" s="166"/>
      <c r="D753" s="167"/>
      <c r="E753" s="343"/>
      <c r="F753" s="174"/>
      <c r="G753" s="167"/>
      <c r="H753" s="190"/>
    </row>
    <row r="754" spans="1:8">
      <c r="A754" s="166"/>
      <c r="B754" s="165" t="s">
        <v>692</v>
      </c>
      <c r="C754" s="165"/>
      <c r="D754" s="170" t="s">
        <v>380</v>
      </c>
      <c r="E754" s="347">
        <v>4.3499999999999996</v>
      </c>
      <c r="F754" s="168">
        <v>0.37</v>
      </c>
      <c r="G754" s="197">
        <f>F754*E754</f>
        <v>1.6094999999999999</v>
      </c>
      <c r="H754" s="190">
        <v>200</v>
      </c>
    </row>
    <row r="755" spans="1:8">
      <c r="A755" s="166"/>
      <c r="B755" s="165" t="s">
        <v>524</v>
      </c>
      <c r="C755" s="165"/>
      <c r="D755" s="170" t="s">
        <v>380</v>
      </c>
      <c r="E755" s="216">
        <v>4.33</v>
      </c>
      <c r="F755" s="168" t="s">
        <v>389</v>
      </c>
      <c r="G755" s="197">
        <f t="shared" ref="G755:G772" si="40">F755*E755</f>
        <v>4.3300000000000005E-3</v>
      </c>
      <c r="H755" s="190"/>
    </row>
    <row r="756" spans="1:8">
      <c r="A756" s="166"/>
      <c r="B756" s="165" t="s">
        <v>693</v>
      </c>
      <c r="C756" s="165"/>
      <c r="D756" s="170" t="s">
        <v>380</v>
      </c>
      <c r="E756" s="216">
        <v>4.8600000000000003</v>
      </c>
      <c r="F756" s="168" t="s">
        <v>389</v>
      </c>
      <c r="G756" s="197">
        <f t="shared" si="40"/>
        <v>4.8600000000000006E-3</v>
      </c>
      <c r="H756" s="190"/>
    </row>
    <row r="757" spans="1:8">
      <c r="A757" s="166"/>
      <c r="B757" s="165" t="s">
        <v>388</v>
      </c>
      <c r="C757" s="165"/>
      <c r="D757" s="170" t="s">
        <v>380</v>
      </c>
      <c r="E757" s="216">
        <v>2.63</v>
      </c>
      <c r="F757" s="168" t="s">
        <v>430</v>
      </c>
      <c r="G757" s="197">
        <f t="shared" si="40"/>
        <v>5.2599999999999999E-3</v>
      </c>
      <c r="H757" s="190"/>
    </row>
    <row r="758" spans="1:8">
      <c r="A758" s="165" t="s">
        <v>447</v>
      </c>
      <c r="B758" s="166"/>
      <c r="C758" s="166"/>
      <c r="D758" s="167"/>
      <c r="E758" s="348"/>
      <c r="F758" s="174"/>
      <c r="G758" s="197"/>
      <c r="H758" s="190"/>
    </row>
    <row r="759" spans="1:8">
      <c r="A759" s="166"/>
      <c r="B759" s="165" t="s">
        <v>694</v>
      </c>
      <c r="C759" s="165"/>
      <c r="D759" s="170" t="s">
        <v>380</v>
      </c>
      <c r="E759" s="347">
        <v>2.11</v>
      </c>
      <c r="F759" s="168">
        <v>0.11</v>
      </c>
      <c r="G759" s="197">
        <f t="shared" si="40"/>
        <v>0.2321</v>
      </c>
      <c r="H759" s="173"/>
    </row>
    <row r="760" spans="1:8">
      <c r="A760" s="165" t="s">
        <v>695</v>
      </c>
      <c r="B760" s="166"/>
      <c r="C760" s="166"/>
      <c r="D760" s="167"/>
      <c r="E760" s="348"/>
      <c r="F760" s="174"/>
      <c r="G760" s="197"/>
      <c r="H760" s="190"/>
    </row>
    <row r="761" spans="1:8">
      <c r="A761" s="166"/>
      <c r="B761" s="165" t="s">
        <v>382</v>
      </c>
      <c r="C761" s="165"/>
      <c r="D761" s="170" t="s">
        <v>380</v>
      </c>
      <c r="E761" s="347">
        <v>0.96</v>
      </c>
      <c r="F761" s="168">
        <v>5.0000000000000001E-3</v>
      </c>
      <c r="G761" s="197">
        <f t="shared" si="40"/>
        <v>4.7999999999999996E-3</v>
      </c>
      <c r="H761" s="190"/>
    </row>
    <row r="762" spans="1:8">
      <c r="A762" s="166"/>
      <c r="B762" s="165" t="s">
        <v>696</v>
      </c>
      <c r="C762" s="165"/>
      <c r="D762" s="170" t="s">
        <v>380</v>
      </c>
      <c r="E762" s="347">
        <v>7.2</v>
      </c>
      <c r="F762" s="168">
        <v>0.05</v>
      </c>
      <c r="G762" s="197">
        <f t="shared" si="40"/>
        <v>0.36000000000000004</v>
      </c>
      <c r="H762" s="190"/>
    </row>
    <row r="763" spans="1:8">
      <c r="A763" s="165" t="s">
        <v>396</v>
      </c>
      <c r="B763" s="166"/>
      <c r="C763" s="166"/>
      <c r="D763" s="167"/>
      <c r="E763" s="348"/>
      <c r="F763" s="174"/>
      <c r="G763" s="197"/>
      <c r="H763" s="190"/>
    </row>
    <row r="764" spans="1:8">
      <c r="A764" s="166"/>
      <c r="B764" s="165" t="s">
        <v>397</v>
      </c>
      <c r="C764" s="165"/>
      <c r="D764" s="170" t="s">
        <v>380</v>
      </c>
      <c r="E764" s="189">
        <v>2.1800000000000002</v>
      </c>
      <c r="F764" s="168">
        <v>7.0000000000000007E-2</v>
      </c>
      <c r="G764" s="197">
        <f t="shared" si="40"/>
        <v>0.15260000000000001</v>
      </c>
      <c r="H764" s="190"/>
    </row>
    <row r="765" spans="1:8">
      <c r="A765" s="166"/>
      <c r="B765" s="165" t="s">
        <v>398</v>
      </c>
      <c r="C765" s="165"/>
      <c r="D765" s="170"/>
      <c r="E765" s="189"/>
      <c r="F765" s="168"/>
      <c r="G765" s="197"/>
      <c r="H765" s="190"/>
    </row>
    <row r="766" spans="1:8">
      <c r="A766" s="165" t="s">
        <v>532</v>
      </c>
      <c r="B766" s="166"/>
      <c r="C766" s="166"/>
      <c r="D766" s="167"/>
      <c r="E766" s="348"/>
      <c r="F766" s="174"/>
      <c r="G766" s="197"/>
      <c r="H766" s="173"/>
    </row>
    <row r="767" spans="1:8">
      <c r="A767" s="166"/>
      <c r="B767" s="165" t="s">
        <v>697</v>
      </c>
      <c r="C767" s="165"/>
      <c r="D767" s="170" t="s">
        <v>380</v>
      </c>
      <c r="E767" s="347">
        <v>3.12</v>
      </c>
      <c r="F767" s="168">
        <v>0.05</v>
      </c>
      <c r="G767" s="197">
        <f t="shared" si="40"/>
        <v>0.15600000000000003</v>
      </c>
      <c r="H767" s="190"/>
    </row>
    <row r="768" spans="1:8">
      <c r="A768" s="165" t="s">
        <v>698</v>
      </c>
      <c r="B768" s="166"/>
      <c r="C768" s="166"/>
      <c r="D768" s="167"/>
      <c r="E768" s="348"/>
      <c r="F768" s="174"/>
      <c r="G768" s="197"/>
      <c r="H768" s="190"/>
    </row>
    <row r="769" spans="1:8">
      <c r="A769" s="166"/>
      <c r="B769" s="165" t="s">
        <v>698</v>
      </c>
      <c r="C769" s="165"/>
      <c r="D769" s="170" t="s">
        <v>380</v>
      </c>
      <c r="E769" s="216">
        <v>4.51</v>
      </c>
      <c r="F769" s="168">
        <v>7.0000000000000007E-2</v>
      </c>
      <c r="G769" s="197">
        <f t="shared" si="40"/>
        <v>0.31570000000000004</v>
      </c>
      <c r="H769" s="190"/>
    </row>
    <row r="770" spans="1:8">
      <c r="A770" s="165" t="s">
        <v>477</v>
      </c>
      <c r="B770" s="166"/>
      <c r="C770" s="166"/>
      <c r="D770" s="167"/>
      <c r="E770" s="348"/>
      <c r="F770" s="174"/>
      <c r="G770" s="197"/>
      <c r="H770" s="190"/>
    </row>
    <row r="771" spans="1:8">
      <c r="A771" s="166"/>
      <c r="B771" s="165" t="s">
        <v>699</v>
      </c>
      <c r="C771" s="165"/>
      <c r="D771" s="170" t="s">
        <v>380</v>
      </c>
      <c r="E771" s="216">
        <v>25.05</v>
      </c>
      <c r="F771" s="168">
        <v>8.9999999999999993E-3</v>
      </c>
      <c r="G771" s="197">
        <f t="shared" si="40"/>
        <v>0.22544999999999998</v>
      </c>
      <c r="H771" s="190"/>
    </row>
    <row r="772" spans="1:8" s="13" customFormat="1">
      <c r="A772" s="166"/>
      <c r="B772" s="165" t="s">
        <v>515</v>
      </c>
      <c r="C772" s="165"/>
      <c r="D772" s="170" t="s">
        <v>380</v>
      </c>
      <c r="E772" s="223">
        <v>1.52</v>
      </c>
      <c r="F772" s="168">
        <v>0.02</v>
      </c>
      <c r="G772" s="197">
        <f t="shared" si="40"/>
        <v>3.04E-2</v>
      </c>
      <c r="H772" s="173"/>
    </row>
    <row r="773" spans="1:8" s="13" customFormat="1">
      <c r="A773" s="166" t="s">
        <v>367</v>
      </c>
      <c r="B773" s="165"/>
      <c r="C773" s="165"/>
      <c r="D773" s="170"/>
      <c r="E773" s="189"/>
      <c r="F773" s="168"/>
      <c r="G773" s="149"/>
      <c r="H773" s="173"/>
    </row>
    <row r="774" spans="1:8" s="13" customFormat="1">
      <c r="A774" s="165"/>
      <c r="B774" s="165" t="s">
        <v>410</v>
      </c>
      <c r="C774" s="165"/>
      <c r="D774" s="176" t="s">
        <v>380</v>
      </c>
      <c r="E774" s="345">
        <v>7.37</v>
      </c>
      <c r="F774" s="177">
        <v>2.385E-3</v>
      </c>
      <c r="G774" s="178">
        <f t="shared" ref="G774:G781" si="41">F774*E774</f>
        <v>1.7577450000000001E-2</v>
      </c>
      <c r="H774" s="173"/>
    </row>
    <row r="775" spans="1:8" s="13" customFormat="1">
      <c r="A775" s="179"/>
      <c r="B775" s="179" t="s">
        <v>382</v>
      </c>
      <c r="C775" s="179"/>
      <c r="D775" s="176" t="s">
        <v>380</v>
      </c>
      <c r="E775" s="345">
        <v>0.96</v>
      </c>
      <c r="F775" s="177">
        <v>4.9290899999999997E-3</v>
      </c>
      <c r="G775" s="178">
        <f t="shared" si="41"/>
        <v>4.7319263999999993E-3</v>
      </c>
      <c r="H775" s="173"/>
    </row>
    <row r="776" spans="1:8" s="13" customFormat="1">
      <c r="A776" s="179"/>
      <c r="B776" s="179" t="s">
        <v>411</v>
      </c>
      <c r="C776" s="179"/>
      <c r="D776" s="176" t="s">
        <v>395</v>
      </c>
      <c r="E776" s="225">
        <v>1.65</v>
      </c>
      <c r="F776" s="177">
        <v>0.01</v>
      </c>
      <c r="G776" s="178">
        <f t="shared" si="41"/>
        <v>1.6500000000000001E-2</v>
      </c>
      <c r="H776" s="173"/>
    </row>
    <row r="777" spans="1:8" s="13" customFormat="1">
      <c r="A777" s="179"/>
      <c r="B777" s="179" t="s">
        <v>443</v>
      </c>
      <c r="C777" s="179"/>
      <c r="D777" s="176" t="s">
        <v>380</v>
      </c>
      <c r="E777" s="345">
        <v>0.55000000000000004</v>
      </c>
      <c r="F777" s="177">
        <v>7.1599999999999997E-3</v>
      </c>
      <c r="G777" s="178">
        <f t="shared" si="41"/>
        <v>3.9380000000000005E-3</v>
      </c>
      <c r="H777" s="173"/>
    </row>
    <row r="778" spans="1:8" s="13" customFormat="1">
      <c r="A778" s="179"/>
      <c r="B778" s="179" t="s">
        <v>413</v>
      </c>
      <c r="C778" s="179"/>
      <c r="D778" s="176" t="s">
        <v>414</v>
      </c>
      <c r="E778" s="225">
        <v>5.0000000000000001E-3</v>
      </c>
      <c r="F778" s="177">
        <v>0.95454499999999998</v>
      </c>
      <c r="G778" s="178">
        <f t="shared" si="41"/>
        <v>4.7727250000000002E-3</v>
      </c>
      <c r="H778" s="173"/>
    </row>
    <row r="779" spans="1:8" s="13" customFormat="1">
      <c r="A779" s="179"/>
      <c r="B779" s="179" t="s">
        <v>415</v>
      </c>
      <c r="C779" s="179"/>
      <c r="D779" s="176" t="s">
        <v>380</v>
      </c>
      <c r="E779" s="345">
        <v>3.08</v>
      </c>
      <c r="F779" s="177">
        <v>0.01</v>
      </c>
      <c r="G779" s="178">
        <f t="shared" si="41"/>
        <v>3.0800000000000001E-2</v>
      </c>
      <c r="H779" s="173"/>
    </row>
    <row r="780" spans="1:8" s="13" customFormat="1">
      <c r="A780" s="179"/>
      <c r="B780" s="179" t="s">
        <v>416</v>
      </c>
      <c r="C780" s="179"/>
      <c r="D780" s="176" t="s">
        <v>395</v>
      </c>
      <c r="E780" s="345">
        <v>2.85</v>
      </c>
      <c r="F780" s="177">
        <v>0.01</v>
      </c>
      <c r="G780" s="178">
        <f t="shared" si="41"/>
        <v>2.8500000000000001E-2</v>
      </c>
      <c r="H780" s="173"/>
    </row>
    <row r="781" spans="1:8" s="13" customFormat="1">
      <c r="A781" s="179"/>
      <c r="B781" s="179" t="s">
        <v>417</v>
      </c>
      <c r="C781" s="179"/>
      <c r="D781" s="176" t="s">
        <v>395</v>
      </c>
      <c r="E781" s="225">
        <v>16.940000000000001</v>
      </c>
      <c r="F781" s="177">
        <v>0.01</v>
      </c>
      <c r="G781" s="178">
        <f t="shared" si="41"/>
        <v>0.16940000000000002</v>
      </c>
      <c r="H781" s="173"/>
    </row>
    <row r="782" spans="1:8" s="13" customFormat="1">
      <c r="A782" s="180" t="s">
        <v>700</v>
      </c>
      <c r="B782" s="181"/>
      <c r="C782" s="181"/>
      <c r="D782" s="182"/>
      <c r="E782" s="346"/>
      <c r="F782" s="183"/>
      <c r="G782" s="198">
        <f>SUM(G754:G781)</f>
        <v>3.3772201014000012</v>
      </c>
      <c r="H782" s="191"/>
    </row>
    <row r="783" spans="1:8" s="13" customFormat="1">
      <c r="A783" s="219"/>
      <c r="B783" s="220"/>
      <c r="C783" s="220"/>
      <c r="D783" s="12"/>
      <c r="E783" s="12"/>
      <c r="F783" s="221"/>
      <c r="G783" s="12"/>
      <c r="H783" s="215"/>
    </row>
    <row r="784" spans="1:8" ht="45">
      <c r="A784" s="399" t="s">
        <v>701</v>
      </c>
      <c r="B784" s="399"/>
      <c r="C784" s="399"/>
      <c r="D784" s="400" t="s">
        <v>376</v>
      </c>
      <c r="E784" s="400" t="s">
        <v>91</v>
      </c>
      <c r="F784" s="401" t="s">
        <v>92</v>
      </c>
      <c r="G784" s="402" t="s">
        <v>93</v>
      </c>
      <c r="H784" s="403" t="s">
        <v>377</v>
      </c>
    </row>
    <row r="785" spans="1:8">
      <c r="A785" s="165" t="s">
        <v>702</v>
      </c>
      <c r="B785" s="166"/>
      <c r="C785" s="166"/>
      <c r="D785" s="167"/>
      <c r="E785" s="343"/>
      <c r="F785" s="174"/>
      <c r="G785" s="167"/>
      <c r="H785" s="190"/>
    </row>
    <row r="786" spans="1:8" s="10" customFormat="1">
      <c r="A786" s="166"/>
      <c r="B786" s="165" t="s">
        <v>379</v>
      </c>
      <c r="C786" s="165"/>
      <c r="D786" s="170" t="s">
        <v>380</v>
      </c>
      <c r="E786" s="347">
        <v>14.17</v>
      </c>
      <c r="F786" s="168">
        <v>0.23</v>
      </c>
      <c r="G786" s="197">
        <f>F786*E786</f>
        <v>3.2591000000000001</v>
      </c>
      <c r="H786" s="190">
        <v>150</v>
      </c>
    </row>
    <row r="787" spans="1:8">
      <c r="A787" s="166"/>
      <c r="B787" s="165" t="s">
        <v>388</v>
      </c>
      <c r="C787" s="165"/>
      <c r="D787" s="170" t="s">
        <v>380</v>
      </c>
      <c r="E787" s="216">
        <v>2.63</v>
      </c>
      <c r="F787" s="168" t="s">
        <v>430</v>
      </c>
      <c r="G787" s="197">
        <f t="shared" ref="G787:G808" si="42">F787*E787</f>
        <v>5.2599999999999999E-3</v>
      </c>
      <c r="H787" s="190"/>
    </row>
    <row r="788" spans="1:8">
      <c r="A788" s="166"/>
      <c r="B788" s="165" t="s">
        <v>382</v>
      </c>
      <c r="C788" s="165"/>
      <c r="D788" s="170" t="s">
        <v>380</v>
      </c>
      <c r="E788" s="347">
        <v>0.96</v>
      </c>
      <c r="F788" s="168">
        <v>5.0000000000000001E-3</v>
      </c>
      <c r="G788" s="197">
        <f t="shared" si="42"/>
        <v>4.7999999999999996E-3</v>
      </c>
      <c r="H788" s="190"/>
    </row>
    <row r="789" spans="1:8">
      <c r="A789" s="166"/>
      <c r="B789" s="165" t="s">
        <v>503</v>
      </c>
      <c r="C789" s="165"/>
      <c r="D789" s="170" t="s">
        <v>380</v>
      </c>
      <c r="E789" s="347">
        <v>1.87</v>
      </c>
      <c r="F789" s="168">
        <v>5.0000000000000001E-3</v>
      </c>
      <c r="G789" s="197">
        <f t="shared" si="42"/>
        <v>9.3500000000000007E-3</v>
      </c>
      <c r="H789" s="190"/>
    </row>
    <row r="790" spans="1:8">
      <c r="A790" s="166"/>
      <c r="B790" s="165" t="s">
        <v>485</v>
      </c>
      <c r="C790" s="165"/>
      <c r="D790" s="170" t="s">
        <v>395</v>
      </c>
      <c r="E790" s="216">
        <v>3.08</v>
      </c>
      <c r="F790" s="168" t="s">
        <v>391</v>
      </c>
      <c r="G790" s="197">
        <f t="shared" si="42"/>
        <v>0.15400000000000003</v>
      </c>
      <c r="H790" s="190"/>
    </row>
    <row r="791" spans="1:8">
      <c r="A791" s="165" t="s">
        <v>703</v>
      </c>
      <c r="B791" s="166"/>
      <c r="C791" s="166"/>
      <c r="D791" s="167"/>
      <c r="E791" s="348"/>
      <c r="F791" s="174"/>
      <c r="G791" s="197"/>
      <c r="H791" s="190"/>
    </row>
    <row r="792" spans="1:8">
      <c r="A792" s="166"/>
      <c r="B792" s="165" t="s">
        <v>410</v>
      </c>
      <c r="C792" s="165"/>
      <c r="D792" s="170" t="s">
        <v>380</v>
      </c>
      <c r="E792" s="347">
        <v>7.37</v>
      </c>
      <c r="F792" s="168" t="s">
        <v>389</v>
      </c>
      <c r="G792" s="197">
        <f t="shared" si="42"/>
        <v>7.3700000000000007E-3</v>
      </c>
      <c r="H792" s="190"/>
    </row>
    <row r="793" spans="1:8">
      <c r="A793" s="166"/>
      <c r="B793" s="195" t="s">
        <v>541</v>
      </c>
      <c r="C793" s="195"/>
      <c r="D793" s="170" t="s">
        <v>395</v>
      </c>
      <c r="E793" s="347">
        <v>1.88</v>
      </c>
      <c r="F793" s="168">
        <v>5.0000000000000001E-3</v>
      </c>
      <c r="G793" s="196">
        <f>F793*E793</f>
        <v>9.4000000000000004E-3</v>
      </c>
      <c r="H793" s="8"/>
    </row>
    <row r="794" spans="1:8">
      <c r="A794" s="166"/>
      <c r="B794" s="165" t="s">
        <v>704</v>
      </c>
      <c r="C794" s="165"/>
      <c r="D794" s="170" t="s">
        <v>380</v>
      </c>
      <c r="E794" s="216">
        <v>1.31</v>
      </c>
      <c r="F794" s="168">
        <v>7.0000000000000007E-2</v>
      </c>
      <c r="G794" s="197">
        <f t="shared" si="42"/>
        <v>9.1700000000000018E-2</v>
      </c>
      <c r="H794" s="190"/>
    </row>
    <row r="795" spans="1:8">
      <c r="A795" s="165" t="s">
        <v>396</v>
      </c>
      <c r="B795" s="166"/>
      <c r="C795" s="166"/>
      <c r="D795" s="167"/>
      <c r="E795" s="348"/>
      <c r="F795" s="174"/>
      <c r="G795" s="197"/>
      <c r="H795" s="190"/>
    </row>
    <row r="796" spans="1:8">
      <c r="A796" s="166"/>
      <c r="B796" s="165" t="s">
        <v>397</v>
      </c>
      <c r="C796" s="165"/>
      <c r="D796" s="170" t="s">
        <v>380</v>
      </c>
      <c r="E796" s="189">
        <v>2.1800000000000002</v>
      </c>
      <c r="F796" s="168">
        <v>7.0000000000000007E-2</v>
      </c>
      <c r="G796" s="197">
        <f t="shared" si="42"/>
        <v>0.15260000000000001</v>
      </c>
      <c r="H796" s="190"/>
    </row>
    <row r="797" spans="1:8">
      <c r="A797" s="166"/>
      <c r="B797" s="165" t="s">
        <v>398</v>
      </c>
      <c r="C797" s="165"/>
      <c r="D797" s="170"/>
      <c r="E797" s="189"/>
      <c r="F797" s="168"/>
      <c r="G797" s="197"/>
      <c r="H797" s="190"/>
    </row>
    <row r="798" spans="1:8">
      <c r="A798" s="165" t="s">
        <v>432</v>
      </c>
      <c r="B798" s="166"/>
      <c r="C798" s="166"/>
      <c r="D798" s="167"/>
      <c r="E798" s="348"/>
      <c r="F798" s="174"/>
      <c r="G798" s="197"/>
      <c r="H798" s="190"/>
    </row>
    <row r="799" spans="1:8">
      <c r="A799" s="166"/>
      <c r="B799" s="165" t="s">
        <v>433</v>
      </c>
      <c r="C799" s="165"/>
      <c r="D799" s="170" t="s">
        <v>380</v>
      </c>
      <c r="E799" s="189">
        <v>3.39</v>
      </c>
      <c r="F799" s="168">
        <v>0.04</v>
      </c>
      <c r="G799" s="197">
        <f t="shared" si="42"/>
        <v>0.1356</v>
      </c>
      <c r="H799" s="190"/>
    </row>
    <row r="800" spans="1:8">
      <c r="A800" s="165" t="s">
        <v>705</v>
      </c>
      <c r="B800" s="166"/>
      <c r="C800" s="166"/>
      <c r="D800" s="167"/>
      <c r="E800" s="348"/>
      <c r="F800" s="174"/>
      <c r="G800" s="197"/>
      <c r="H800" s="190"/>
    </row>
    <row r="801" spans="1:8">
      <c r="A801" s="166"/>
      <c r="B801" s="165" t="s">
        <v>435</v>
      </c>
      <c r="C801" s="165"/>
      <c r="D801" s="170" t="s">
        <v>380</v>
      </c>
      <c r="E801" s="216">
        <v>0.88</v>
      </c>
      <c r="F801" s="168">
        <v>2.8000000000000001E-2</v>
      </c>
      <c r="G801" s="197">
        <f t="shared" si="42"/>
        <v>2.4640000000000002E-2</v>
      </c>
      <c r="H801" s="190"/>
    </row>
    <row r="802" spans="1:8" ht="17.25" customHeight="1">
      <c r="A802" s="166"/>
      <c r="B802" s="165" t="s">
        <v>469</v>
      </c>
      <c r="C802" s="165"/>
      <c r="D802" s="170" t="s">
        <v>380</v>
      </c>
      <c r="E802" s="347">
        <v>0.81</v>
      </c>
      <c r="F802" s="168" t="s">
        <v>706</v>
      </c>
      <c r="G802" s="197">
        <f t="shared" si="42"/>
        <v>6.480000000000001E-2</v>
      </c>
      <c r="H802" s="190"/>
    </row>
    <row r="803" spans="1:8">
      <c r="A803" s="166"/>
      <c r="B803" s="165" t="s">
        <v>615</v>
      </c>
      <c r="C803" s="165"/>
      <c r="D803" s="170" t="s">
        <v>380</v>
      </c>
      <c r="E803" s="216">
        <v>3.99</v>
      </c>
      <c r="F803" s="168" t="s">
        <v>393</v>
      </c>
      <c r="G803" s="197">
        <f t="shared" si="42"/>
        <v>7.980000000000001E-2</v>
      </c>
      <c r="H803" s="190"/>
    </row>
    <row r="804" spans="1:8">
      <c r="A804" s="165" t="s">
        <v>608</v>
      </c>
      <c r="B804" s="166"/>
      <c r="C804" s="166"/>
      <c r="D804" s="167"/>
      <c r="E804" s="348"/>
      <c r="F804" s="174"/>
      <c r="G804" s="197"/>
      <c r="H804" s="190"/>
    </row>
    <row r="805" spans="1:8">
      <c r="A805" s="166"/>
      <c r="B805" s="165" t="s">
        <v>609</v>
      </c>
      <c r="C805" s="165"/>
      <c r="D805" s="170" t="s">
        <v>380</v>
      </c>
      <c r="E805" s="347">
        <v>0.78</v>
      </c>
      <c r="F805" s="168" t="s">
        <v>610</v>
      </c>
      <c r="G805" s="197">
        <f t="shared" si="42"/>
        <v>0.18720000000000001</v>
      </c>
      <c r="H805" s="190">
        <v>150</v>
      </c>
    </row>
    <row r="806" spans="1:8">
      <c r="A806" s="165" t="s">
        <v>513</v>
      </c>
      <c r="B806" s="166"/>
      <c r="C806" s="166"/>
      <c r="D806" s="167"/>
      <c r="E806" s="348"/>
      <c r="F806" s="174"/>
      <c r="G806" s="197"/>
      <c r="H806" s="190"/>
    </row>
    <row r="807" spans="1:8">
      <c r="A807" s="166"/>
      <c r="B807" s="165" t="s">
        <v>549</v>
      </c>
      <c r="C807" s="165"/>
      <c r="D807" s="170" t="s">
        <v>380</v>
      </c>
      <c r="E807" s="216">
        <v>13.77</v>
      </c>
      <c r="F807" s="168">
        <v>8.9999999999999993E-3</v>
      </c>
      <c r="G807" s="197">
        <f t="shared" si="42"/>
        <v>0.12392999999999998</v>
      </c>
      <c r="H807" s="190"/>
    </row>
    <row r="808" spans="1:8">
      <c r="A808" s="166"/>
      <c r="B808" s="165" t="s">
        <v>409</v>
      </c>
      <c r="C808" s="165"/>
      <c r="D808" s="170" t="s">
        <v>380</v>
      </c>
      <c r="E808" s="223">
        <v>1.52</v>
      </c>
      <c r="F808" s="168">
        <v>0.02</v>
      </c>
      <c r="G808" s="197">
        <f t="shared" si="42"/>
        <v>3.04E-2</v>
      </c>
      <c r="H808" s="190"/>
    </row>
    <row r="809" spans="1:8">
      <c r="A809" s="166" t="s">
        <v>367</v>
      </c>
      <c r="B809" s="165"/>
      <c r="C809" s="165"/>
      <c r="D809" s="170"/>
      <c r="E809" s="189"/>
      <c r="F809" s="168"/>
      <c r="G809" s="149"/>
      <c r="H809" s="173"/>
    </row>
    <row r="810" spans="1:8">
      <c r="A810" s="165"/>
      <c r="B810" s="165" t="s">
        <v>410</v>
      </c>
      <c r="C810" s="165"/>
      <c r="D810" s="176" t="s">
        <v>380</v>
      </c>
      <c r="E810" s="345">
        <v>7.37</v>
      </c>
      <c r="F810" s="177">
        <v>2.385E-3</v>
      </c>
      <c r="G810" s="178">
        <f t="shared" ref="G810:G817" si="43">F810*E810</f>
        <v>1.7577450000000001E-2</v>
      </c>
      <c r="H810" s="173"/>
    </row>
    <row r="811" spans="1:8">
      <c r="A811" s="179"/>
      <c r="B811" s="179" t="s">
        <v>382</v>
      </c>
      <c r="C811" s="179"/>
      <c r="D811" s="176" t="s">
        <v>380</v>
      </c>
      <c r="E811" s="345">
        <v>0.96</v>
      </c>
      <c r="F811" s="177">
        <v>4.9290899999999997E-3</v>
      </c>
      <c r="G811" s="178">
        <f t="shared" si="43"/>
        <v>4.7319263999999993E-3</v>
      </c>
      <c r="H811" s="173"/>
    </row>
    <row r="812" spans="1:8">
      <c r="A812" s="179"/>
      <c r="B812" s="179" t="s">
        <v>411</v>
      </c>
      <c r="C812" s="179"/>
      <c r="D812" s="176" t="s">
        <v>395</v>
      </c>
      <c r="E812" s="225">
        <v>1.65</v>
      </c>
      <c r="F812" s="177">
        <v>0.01</v>
      </c>
      <c r="G812" s="178">
        <f t="shared" si="43"/>
        <v>1.6500000000000001E-2</v>
      </c>
      <c r="H812" s="173"/>
    </row>
    <row r="813" spans="1:8">
      <c r="A813" s="179"/>
      <c r="B813" s="179" t="s">
        <v>412</v>
      </c>
      <c r="C813" s="179"/>
      <c r="D813" s="176" t="s">
        <v>380</v>
      </c>
      <c r="E813" s="345">
        <v>0.55000000000000004</v>
      </c>
      <c r="F813" s="177">
        <v>7.1599999999999997E-3</v>
      </c>
      <c r="G813" s="178">
        <f t="shared" si="43"/>
        <v>3.9380000000000005E-3</v>
      </c>
      <c r="H813" s="173"/>
    </row>
    <row r="814" spans="1:8">
      <c r="A814" s="179"/>
      <c r="B814" s="179" t="s">
        <v>413</v>
      </c>
      <c r="C814" s="179"/>
      <c r="D814" s="176" t="s">
        <v>414</v>
      </c>
      <c r="E814" s="225">
        <v>5.0000000000000001E-3</v>
      </c>
      <c r="F814" s="177">
        <v>0.95454499999999998</v>
      </c>
      <c r="G814" s="178">
        <f t="shared" si="43"/>
        <v>4.7727250000000002E-3</v>
      </c>
      <c r="H814" s="173"/>
    </row>
    <row r="815" spans="1:8" s="13" customFormat="1">
      <c r="A815" s="179"/>
      <c r="B815" s="179" t="s">
        <v>415</v>
      </c>
      <c r="C815" s="179"/>
      <c r="D815" s="176" t="s">
        <v>380</v>
      </c>
      <c r="E815" s="345">
        <v>3.08</v>
      </c>
      <c r="F815" s="177">
        <v>0.01</v>
      </c>
      <c r="G815" s="178">
        <f t="shared" si="43"/>
        <v>3.0800000000000001E-2</v>
      </c>
      <c r="H815" s="173"/>
    </row>
    <row r="816" spans="1:8" s="13" customFormat="1">
      <c r="A816" s="179"/>
      <c r="B816" s="179" t="s">
        <v>416</v>
      </c>
      <c r="C816" s="179"/>
      <c r="D816" s="176" t="s">
        <v>395</v>
      </c>
      <c r="E816" s="345">
        <v>2.85</v>
      </c>
      <c r="F816" s="177">
        <v>0.01</v>
      </c>
      <c r="G816" s="178">
        <f t="shared" si="43"/>
        <v>2.8500000000000001E-2</v>
      </c>
      <c r="H816" s="173"/>
    </row>
    <row r="817" spans="1:8" s="13" customFormat="1">
      <c r="A817" s="179"/>
      <c r="B817" s="179" t="s">
        <v>417</v>
      </c>
      <c r="C817" s="179"/>
      <c r="D817" s="176" t="s">
        <v>395</v>
      </c>
      <c r="E817" s="225">
        <v>16.940000000000001</v>
      </c>
      <c r="F817" s="177">
        <v>0.01</v>
      </c>
      <c r="G817" s="178">
        <f t="shared" si="43"/>
        <v>0.16940000000000002</v>
      </c>
      <c r="H817" s="173"/>
    </row>
    <row r="818" spans="1:8" s="13" customFormat="1">
      <c r="A818" s="180" t="s">
        <v>707</v>
      </c>
      <c r="B818" s="181"/>
      <c r="C818" s="181"/>
      <c r="D818" s="182"/>
      <c r="E818" s="346"/>
      <c r="F818" s="183"/>
      <c r="G818" s="198">
        <f>SUM(G786:G817)</f>
        <v>4.6161701013999998</v>
      </c>
      <c r="H818" s="191"/>
    </row>
    <row r="819" spans="1:8" s="13" customFormat="1">
      <c r="A819" s="219"/>
      <c r="B819" s="220"/>
      <c r="C819" s="220"/>
      <c r="D819" s="12"/>
      <c r="E819" s="12"/>
      <c r="F819" s="222"/>
      <c r="G819" s="12"/>
      <c r="H819" s="215"/>
    </row>
    <row r="820" spans="1:8" s="13" customFormat="1" ht="45">
      <c r="A820" s="399" t="s">
        <v>708</v>
      </c>
      <c r="B820" s="399"/>
      <c r="C820" s="399"/>
      <c r="D820" s="400" t="s">
        <v>376</v>
      </c>
      <c r="E820" s="400" t="s">
        <v>91</v>
      </c>
      <c r="F820" s="401" t="s">
        <v>92</v>
      </c>
      <c r="G820" s="402" t="s">
        <v>93</v>
      </c>
      <c r="H820" s="403" t="s">
        <v>377</v>
      </c>
    </row>
    <row r="821" spans="1:8" s="13" customFormat="1">
      <c r="A821" s="165" t="s">
        <v>709</v>
      </c>
      <c r="B821" s="166"/>
      <c r="C821" s="166"/>
      <c r="D821" s="167"/>
      <c r="E821" s="350"/>
      <c r="F821" s="174"/>
      <c r="G821" s="167"/>
      <c r="H821" s="190"/>
    </row>
    <row r="822" spans="1:8" s="13" customFormat="1">
      <c r="A822" s="166"/>
      <c r="B822" s="165" t="s">
        <v>518</v>
      </c>
      <c r="C822" s="165"/>
      <c r="D822" s="170" t="s">
        <v>380</v>
      </c>
      <c r="E822" s="216">
        <v>6.25</v>
      </c>
      <c r="F822" s="168">
        <v>0.21</v>
      </c>
      <c r="G822" s="196">
        <f>F822*E822</f>
        <v>1.3125</v>
      </c>
      <c r="H822" s="190">
        <v>120</v>
      </c>
    </row>
    <row r="823" spans="1:8" s="13" customFormat="1">
      <c r="A823" s="166"/>
      <c r="B823" s="165" t="s">
        <v>710</v>
      </c>
      <c r="C823" s="165"/>
      <c r="D823" s="170" t="s">
        <v>380</v>
      </c>
      <c r="E823" s="216">
        <v>3.29</v>
      </c>
      <c r="F823" s="168" t="s">
        <v>389</v>
      </c>
      <c r="G823" s="196">
        <f t="shared" ref="G823:G842" si="44">F823*E823</f>
        <v>3.29E-3</v>
      </c>
      <c r="H823" s="190"/>
    </row>
    <row r="824" spans="1:8" s="13" customFormat="1">
      <c r="A824" s="166"/>
      <c r="B824" s="165" t="s">
        <v>524</v>
      </c>
      <c r="C824" s="165"/>
      <c r="D824" s="170" t="s">
        <v>380</v>
      </c>
      <c r="E824" s="216">
        <v>4.33</v>
      </c>
      <c r="F824" s="168" t="s">
        <v>711</v>
      </c>
      <c r="G824" s="196">
        <f t="shared" si="44"/>
        <v>3.0309999999999998E-3</v>
      </c>
      <c r="H824" s="190"/>
    </row>
    <row r="825" spans="1:8" s="13" customFormat="1">
      <c r="A825" s="166"/>
      <c r="B825" s="165" t="s">
        <v>712</v>
      </c>
      <c r="C825" s="165"/>
      <c r="D825" s="170" t="s">
        <v>380</v>
      </c>
      <c r="E825" s="216">
        <v>1.67</v>
      </c>
      <c r="F825" s="168" t="s">
        <v>389</v>
      </c>
      <c r="G825" s="196">
        <f t="shared" si="44"/>
        <v>1.67E-3</v>
      </c>
      <c r="H825" s="190"/>
    </row>
    <row r="826" spans="1:8" s="13" customFormat="1">
      <c r="A826" s="165" t="s">
        <v>713</v>
      </c>
      <c r="B826" s="166"/>
      <c r="C826" s="166"/>
      <c r="D826" s="167"/>
      <c r="E826" s="348"/>
      <c r="F826" s="174"/>
      <c r="G826" s="196"/>
      <c r="H826" s="190"/>
    </row>
    <row r="827" spans="1:8">
      <c r="A827" s="166"/>
      <c r="B827" s="165" t="s">
        <v>410</v>
      </c>
      <c r="C827" s="165"/>
      <c r="D827" s="170" t="s">
        <v>380</v>
      </c>
      <c r="E827" s="347">
        <v>7.37</v>
      </c>
      <c r="F827" s="168" t="s">
        <v>389</v>
      </c>
      <c r="G827" s="196">
        <f t="shared" si="44"/>
        <v>7.3700000000000007E-3</v>
      </c>
      <c r="H827" s="190"/>
    </row>
    <row r="828" spans="1:8">
      <c r="A828" s="166"/>
      <c r="B828" s="165" t="s">
        <v>714</v>
      </c>
      <c r="C828" s="165"/>
      <c r="D828" s="170" t="s">
        <v>380</v>
      </c>
      <c r="E828" s="216">
        <v>6.18</v>
      </c>
      <c r="F828" s="168">
        <v>0.19</v>
      </c>
      <c r="G828" s="196">
        <f t="shared" si="44"/>
        <v>1.1741999999999999</v>
      </c>
      <c r="H828" s="190"/>
    </row>
    <row r="829" spans="1:8" s="10" customFormat="1">
      <c r="A829" s="165" t="s">
        <v>396</v>
      </c>
      <c r="B829" s="166"/>
      <c r="C829" s="166"/>
      <c r="D829" s="167"/>
      <c r="E829" s="347"/>
      <c r="F829" s="174"/>
      <c r="G829" s="196"/>
      <c r="H829" s="190"/>
    </row>
    <row r="830" spans="1:8">
      <c r="A830" s="166"/>
      <c r="B830" s="165" t="s">
        <v>397</v>
      </c>
      <c r="C830" s="165"/>
      <c r="D830" s="170" t="s">
        <v>380</v>
      </c>
      <c r="E830" s="189">
        <v>2.1800000000000002</v>
      </c>
      <c r="F830" s="168">
        <v>7.0000000000000007E-2</v>
      </c>
      <c r="G830" s="196">
        <f t="shared" si="44"/>
        <v>0.15260000000000001</v>
      </c>
      <c r="H830" s="190"/>
    </row>
    <row r="831" spans="1:8">
      <c r="A831" s="166"/>
      <c r="B831" s="165" t="s">
        <v>398</v>
      </c>
      <c r="C831" s="165"/>
      <c r="D831" s="170"/>
      <c r="E831" s="189"/>
      <c r="F831" s="168"/>
      <c r="G831" s="196"/>
      <c r="H831" s="190"/>
    </row>
    <row r="832" spans="1:8">
      <c r="A832" s="165" t="s">
        <v>432</v>
      </c>
      <c r="B832" s="166"/>
      <c r="C832" s="166"/>
      <c r="D832" s="167"/>
      <c r="E832" s="348"/>
      <c r="F832" s="174"/>
      <c r="G832" s="196"/>
      <c r="H832" s="190"/>
    </row>
    <row r="833" spans="1:8">
      <c r="A833" s="166"/>
      <c r="B833" s="165" t="s">
        <v>433</v>
      </c>
      <c r="C833" s="165"/>
      <c r="D833" s="170" t="s">
        <v>380</v>
      </c>
      <c r="E833" s="189">
        <v>3.39</v>
      </c>
      <c r="F833" s="168">
        <v>0.04</v>
      </c>
      <c r="G833" s="196">
        <f t="shared" si="44"/>
        <v>0.1356</v>
      </c>
      <c r="H833" s="190"/>
    </row>
    <row r="834" spans="1:8">
      <c r="A834" s="165" t="s">
        <v>715</v>
      </c>
      <c r="B834" s="166"/>
      <c r="C834" s="166"/>
      <c r="D834" s="167"/>
      <c r="E834" s="347"/>
      <c r="F834" s="174"/>
      <c r="G834" s="196"/>
      <c r="H834" s="190"/>
    </row>
    <row r="835" spans="1:8">
      <c r="A835" s="166"/>
      <c r="B835" s="165" t="s">
        <v>382</v>
      </c>
      <c r="C835" s="165"/>
      <c r="D835" s="170" t="s">
        <v>380</v>
      </c>
      <c r="E835" s="347">
        <v>0.96</v>
      </c>
      <c r="F835" s="168" t="s">
        <v>473</v>
      </c>
      <c r="G835" s="196">
        <f t="shared" si="44"/>
        <v>2.4E-2</v>
      </c>
      <c r="H835" s="190"/>
    </row>
    <row r="836" spans="1:8">
      <c r="A836" s="166"/>
      <c r="B836" s="165" t="s">
        <v>403</v>
      </c>
      <c r="C836" s="165"/>
      <c r="D836" s="170" t="s">
        <v>380</v>
      </c>
      <c r="E836" s="347">
        <v>1.25</v>
      </c>
      <c r="F836" s="168" t="s">
        <v>716</v>
      </c>
      <c r="G836" s="196">
        <f t="shared" si="44"/>
        <v>4.3750000000000004E-2</v>
      </c>
      <c r="H836" s="190"/>
    </row>
    <row r="837" spans="1:8">
      <c r="A837" s="166"/>
      <c r="B837" s="165" t="s">
        <v>717</v>
      </c>
      <c r="C837" s="165"/>
      <c r="D837" s="170" t="s">
        <v>380</v>
      </c>
      <c r="E837" s="216">
        <v>7.2</v>
      </c>
      <c r="F837" s="168" t="s">
        <v>666</v>
      </c>
      <c r="G837" s="196">
        <f t="shared" si="44"/>
        <v>0.216</v>
      </c>
      <c r="H837" s="190"/>
    </row>
    <row r="838" spans="1:8">
      <c r="A838" s="165" t="s">
        <v>593</v>
      </c>
      <c r="B838" s="166"/>
      <c r="C838" s="166"/>
      <c r="D838" s="167"/>
      <c r="E838" s="347"/>
      <c r="F838" s="174"/>
      <c r="G838" s="196"/>
      <c r="H838" s="190"/>
    </row>
    <row r="839" spans="1:8">
      <c r="A839" s="166"/>
      <c r="B839" s="165" t="s">
        <v>593</v>
      </c>
      <c r="C839" s="165"/>
      <c r="D839" s="170" t="s">
        <v>380</v>
      </c>
      <c r="E839" s="216">
        <v>6.54</v>
      </c>
      <c r="F839" s="168">
        <v>7.0000000000000007E-2</v>
      </c>
      <c r="G839" s="196">
        <f t="shared" si="44"/>
        <v>0.45780000000000004</v>
      </c>
      <c r="H839" s="190"/>
    </row>
    <row r="840" spans="1:8">
      <c r="A840" s="165" t="s">
        <v>718</v>
      </c>
      <c r="B840" s="166"/>
      <c r="C840" s="166"/>
      <c r="D840" s="167"/>
      <c r="E840" s="347"/>
      <c r="F840" s="174"/>
      <c r="G840" s="196"/>
      <c r="H840" s="190"/>
    </row>
    <row r="841" spans="1:8">
      <c r="A841" s="166"/>
      <c r="B841" s="165" t="s">
        <v>719</v>
      </c>
      <c r="C841" s="165"/>
      <c r="D841" s="170" t="s">
        <v>849</v>
      </c>
      <c r="E841" s="216">
        <v>11.9</v>
      </c>
      <c r="F841" s="168">
        <v>8.9999999999999993E-3</v>
      </c>
      <c r="G841" s="196">
        <f t="shared" si="44"/>
        <v>0.1071</v>
      </c>
      <c r="H841" s="190"/>
    </row>
    <row r="842" spans="1:8">
      <c r="A842" s="166"/>
      <c r="B842" s="165" t="s">
        <v>409</v>
      </c>
      <c r="C842" s="165"/>
      <c r="D842" s="170" t="s">
        <v>380</v>
      </c>
      <c r="E842" s="223">
        <v>1.52</v>
      </c>
      <c r="F842" s="168">
        <v>0.02</v>
      </c>
      <c r="G842" s="196">
        <f t="shared" si="44"/>
        <v>3.04E-2</v>
      </c>
      <c r="H842" s="190"/>
    </row>
    <row r="843" spans="1:8">
      <c r="A843" s="166" t="s">
        <v>367</v>
      </c>
      <c r="B843" s="165"/>
      <c r="C843" s="165"/>
      <c r="D843" s="170"/>
      <c r="E843" s="189"/>
      <c r="F843" s="168"/>
      <c r="G843" s="149"/>
      <c r="H843" s="173"/>
    </row>
    <row r="844" spans="1:8">
      <c r="A844" s="165"/>
      <c r="B844" s="165" t="s">
        <v>410</v>
      </c>
      <c r="C844" s="165"/>
      <c r="D844" s="176" t="s">
        <v>380</v>
      </c>
      <c r="E844" s="345">
        <v>7.37</v>
      </c>
      <c r="F844" s="177">
        <v>2.385E-3</v>
      </c>
      <c r="G844" s="178">
        <f t="shared" ref="G844:G851" si="45">F844*E844</f>
        <v>1.7577450000000001E-2</v>
      </c>
      <c r="H844" s="173"/>
    </row>
    <row r="845" spans="1:8">
      <c r="A845" s="179"/>
      <c r="B845" s="179" t="s">
        <v>463</v>
      </c>
      <c r="C845" s="179"/>
      <c r="D845" s="176" t="s">
        <v>380</v>
      </c>
      <c r="E845" s="345">
        <v>0.96</v>
      </c>
      <c r="F845" s="177">
        <v>4.9290899999999997E-3</v>
      </c>
      <c r="G845" s="178">
        <f t="shared" si="45"/>
        <v>4.7319263999999993E-3</v>
      </c>
      <c r="H845" s="173"/>
    </row>
    <row r="846" spans="1:8">
      <c r="A846" s="179"/>
      <c r="B846" s="179" t="s">
        <v>411</v>
      </c>
      <c r="C846" s="179"/>
      <c r="D846" s="176" t="s">
        <v>395</v>
      </c>
      <c r="E846" s="225">
        <v>1.65</v>
      </c>
      <c r="F846" s="177">
        <v>0.01</v>
      </c>
      <c r="G846" s="178">
        <f t="shared" si="45"/>
        <v>1.6500000000000001E-2</v>
      </c>
      <c r="H846" s="173"/>
    </row>
    <row r="847" spans="1:8">
      <c r="A847" s="179"/>
      <c r="B847" s="179" t="s">
        <v>412</v>
      </c>
      <c r="C847" s="179"/>
      <c r="D847" s="176" t="s">
        <v>380</v>
      </c>
      <c r="E847" s="345">
        <v>0.55000000000000004</v>
      </c>
      <c r="F847" s="177">
        <v>7.1599999999999997E-3</v>
      </c>
      <c r="G847" s="178">
        <f t="shared" si="45"/>
        <v>3.9380000000000005E-3</v>
      </c>
      <c r="H847" s="173"/>
    </row>
    <row r="848" spans="1:8">
      <c r="A848" s="179"/>
      <c r="B848" s="179" t="s">
        <v>576</v>
      </c>
      <c r="C848" s="179"/>
      <c r="D848" s="176" t="s">
        <v>414</v>
      </c>
      <c r="E848" s="225">
        <v>5.0000000000000001E-3</v>
      </c>
      <c r="F848" s="177">
        <v>0.95454499999999998</v>
      </c>
      <c r="G848" s="178">
        <f t="shared" si="45"/>
        <v>4.7727250000000002E-3</v>
      </c>
      <c r="H848" s="173"/>
    </row>
    <row r="849" spans="1:8">
      <c r="A849" s="179"/>
      <c r="B849" s="179" t="s">
        <v>415</v>
      </c>
      <c r="C849" s="179"/>
      <c r="D849" s="176" t="s">
        <v>380</v>
      </c>
      <c r="E849" s="345">
        <v>3.08</v>
      </c>
      <c r="F849" s="177">
        <v>0.01</v>
      </c>
      <c r="G849" s="178">
        <f t="shared" si="45"/>
        <v>3.0800000000000001E-2</v>
      </c>
      <c r="H849" s="173"/>
    </row>
    <row r="850" spans="1:8">
      <c r="A850" s="179"/>
      <c r="B850" s="179" t="s">
        <v>416</v>
      </c>
      <c r="C850" s="179"/>
      <c r="D850" s="176" t="s">
        <v>395</v>
      </c>
      <c r="E850" s="345">
        <v>2.85</v>
      </c>
      <c r="F850" s="177">
        <v>0.01</v>
      </c>
      <c r="G850" s="178">
        <f t="shared" si="45"/>
        <v>2.8500000000000001E-2</v>
      </c>
      <c r="H850" s="173"/>
    </row>
    <row r="851" spans="1:8">
      <c r="A851" s="179"/>
      <c r="B851" s="179" t="s">
        <v>417</v>
      </c>
      <c r="C851" s="179"/>
      <c r="D851" s="176" t="s">
        <v>395</v>
      </c>
      <c r="E851" s="225">
        <v>16.940000000000001</v>
      </c>
      <c r="F851" s="177">
        <v>0.01</v>
      </c>
      <c r="G851" s="178">
        <f t="shared" si="45"/>
        <v>0.16940000000000002</v>
      </c>
      <c r="H851" s="173"/>
    </row>
    <row r="852" spans="1:8">
      <c r="A852" s="180" t="s">
        <v>720</v>
      </c>
      <c r="B852" s="181"/>
      <c r="C852" s="181"/>
      <c r="D852" s="182"/>
      <c r="E852" s="346"/>
      <c r="F852" s="183"/>
      <c r="G852" s="198">
        <f>SUM(G822:G851)</f>
        <v>3.9455311014000021</v>
      </c>
      <c r="H852" s="191"/>
    </row>
    <row r="853" spans="1:8">
      <c r="F853" s="193"/>
    </row>
    <row r="854" spans="1:8" ht="45">
      <c r="A854" s="399" t="s">
        <v>721</v>
      </c>
      <c r="B854" s="399"/>
      <c r="C854" s="399"/>
      <c r="D854" s="400" t="s">
        <v>376</v>
      </c>
      <c r="E854" s="400" t="s">
        <v>91</v>
      </c>
      <c r="F854" s="401" t="s">
        <v>92</v>
      </c>
      <c r="G854" s="402" t="s">
        <v>93</v>
      </c>
      <c r="H854" s="403" t="s">
        <v>377</v>
      </c>
    </row>
    <row r="855" spans="1:8">
      <c r="A855" s="165" t="s">
        <v>722</v>
      </c>
      <c r="B855" s="166"/>
      <c r="C855" s="166"/>
      <c r="D855" s="167"/>
      <c r="E855" s="343"/>
      <c r="F855" s="174"/>
      <c r="G855" s="167"/>
      <c r="H855" s="173"/>
    </row>
    <row r="856" spans="1:8">
      <c r="A856" s="166"/>
      <c r="B856" s="165" t="s">
        <v>379</v>
      </c>
      <c r="C856" s="165"/>
      <c r="D856" s="170" t="s">
        <v>380</v>
      </c>
      <c r="E856" s="347">
        <v>14.17</v>
      </c>
      <c r="F856" s="168">
        <v>0.21</v>
      </c>
      <c r="G856" s="217">
        <f>F856*E856</f>
        <v>2.9756999999999998</v>
      </c>
      <c r="H856" s="173">
        <v>130</v>
      </c>
    </row>
    <row r="857" spans="1:8">
      <c r="A857" s="166"/>
      <c r="B857" s="165" t="s">
        <v>492</v>
      </c>
      <c r="C857" s="165"/>
      <c r="D857" s="170" t="s">
        <v>395</v>
      </c>
      <c r="E857" s="347">
        <v>2.06</v>
      </c>
      <c r="F857" s="168">
        <v>0.02</v>
      </c>
      <c r="G857" s="197">
        <f>F857*E857</f>
        <v>4.1200000000000001E-2</v>
      </c>
      <c r="H857" s="173"/>
    </row>
    <row r="858" spans="1:8">
      <c r="A858" s="166"/>
      <c r="B858" s="195" t="s">
        <v>508</v>
      </c>
      <c r="C858" s="195"/>
      <c r="D858" s="170" t="s">
        <v>414</v>
      </c>
      <c r="E858" s="347">
        <v>0.21</v>
      </c>
      <c r="F858" s="168">
        <v>0.2</v>
      </c>
      <c r="G858" s="197">
        <f>F858*E858</f>
        <v>4.2000000000000003E-2</v>
      </c>
      <c r="H858" s="173"/>
    </row>
    <row r="859" spans="1:8">
      <c r="A859" s="166"/>
      <c r="B859" s="195" t="s">
        <v>555</v>
      </c>
      <c r="C859" s="195"/>
      <c r="D859" s="170" t="s">
        <v>380</v>
      </c>
      <c r="E859" s="216">
        <v>1.76</v>
      </c>
      <c r="F859" s="168">
        <v>0.04</v>
      </c>
      <c r="G859" s="197">
        <f>F859*E859</f>
        <v>7.0400000000000004E-2</v>
      </c>
      <c r="H859" s="173"/>
    </row>
    <row r="860" spans="1:8">
      <c r="A860" s="166"/>
      <c r="B860" s="195" t="s">
        <v>556</v>
      </c>
      <c r="C860" s="195"/>
      <c r="D860" s="170" t="s">
        <v>380</v>
      </c>
      <c r="E860" s="347">
        <v>1.8</v>
      </c>
      <c r="F860" s="168">
        <v>0.01</v>
      </c>
      <c r="G860" s="197">
        <f>F860*E860</f>
        <v>1.8000000000000002E-2</v>
      </c>
      <c r="H860" s="190"/>
    </row>
    <row r="861" spans="1:8" s="13" customFormat="1">
      <c r="A861" s="165" t="s">
        <v>723</v>
      </c>
      <c r="B861" s="166"/>
      <c r="C861" s="166"/>
      <c r="D861" s="167"/>
      <c r="E861" s="348"/>
      <c r="F861" s="174"/>
      <c r="G861" s="217"/>
      <c r="H861" s="190"/>
    </row>
    <row r="862" spans="1:8" s="13" customFormat="1">
      <c r="A862" s="166"/>
      <c r="B862" s="165" t="s">
        <v>724</v>
      </c>
      <c r="C862" s="165"/>
      <c r="D862" s="170" t="s">
        <v>380</v>
      </c>
      <c r="E862" s="216">
        <v>2.63</v>
      </c>
      <c r="F862" s="168" t="s">
        <v>389</v>
      </c>
      <c r="G862" s="217">
        <f t="shared" ref="G862:G879" si="46">F862*E862</f>
        <v>2.63E-3</v>
      </c>
      <c r="H862" s="173"/>
    </row>
    <row r="863" spans="1:8" s="13" customFormat="1">
      <c r="A863" s="166"/>
      <c r="B863" s="165" t="s">
        <v>634</v>
      </c>
      <c r="C863" s="165"/>
      <c r="D863" s="170" t="s">
        <v>380</v>
      </c>
      <c r="E863" s="347">
        <v>0.96</v>
      </c>
      <c r="F863" s="168" t="s">
        <v>385</v>
      </c>
      <c r="G863" s="217">
        <f t="shared" si="46"/>
        <v>4.7999999999999996E-3</v>
      </c>
      <c r="H863" s="173"/>
    </row>
    <row r="864" spans="1:8" s="13" customFormat="1">
      <c r="A864" s="166"/>
      <c r="B864" s="165" t="s">
        <v>678</v>
      </c>
      <c r="C864" s="165"/>
      <c r="D864" s="170" t="s">
        <v>380</v>
      </c>
      <c r="E864" s="347">
        <v>0.77</v>
      </c>
      <c r="F864" s="168">
        <v>0.13</v>
      </c>
      <c r="G864" s="217">
        <f t="shared" si="46"/>
        <v>0.10010000000000001</v>
      </c>
      <c r="H864" s="173"/>
    </row>
    <row r="865" spans="1:8" s="13" customFormat="1">
      <c r="A865" s="166"/>
      <c r="B865" s="165" t="s">
        <v>725</v>
      </c>
      <c r="C865" s="165"/>
      <c r="D865" s="170" t="s">
        <v>380</v>
      </c>
      <c r="E865" s="216">
        <v>11.68</v>
      </c>
      <c r="F865" s="168" t="s">
        <v>385</v>
      </c>
      <c r="G865" s="217">
        <f t="shared" si="46"/>
        <v>5.8400000000000001E-2</v>
      </c>
      <c r="H865" s="173"/>
    </row>
    <row r="866" spans="1:8" s="13" customFormat="1">
      <c r="A866" s="166"/>
      <c r="B866" s="165" t="s">
        <v>726</v>
      </c>
      <c r="C866" s="165"/>
      <c r="D866" s="170" t="s">
        <v>380</v>
      </c>
      <c r="E866" s="216">
        <v>3.99</v>
      </c>
      <c r="F866" s="168" t="s">
        <v>385</v>
      </c>
      <c r="G866" s="217">
        <f t="shared" si="46"/>
        <v>1.9950000000000002E-2</v>
      </c>
      <c r="H866" s="173"/>
    </row>
    <row r="867" spans="1:8" s="13" customFormat="1">
      <c r="A867" s="165" t="s">
        <v>695</v>
      </c>
      <c r="B867" s="165"/>
      <c r="C867" s="165"/>
      <c r="D867" s="167"/>
      <c r="E867" s="347"/>
      <c r="F867" s="174"/>
      <c r="G867" s="217"/>
      <c r="H867" s="190"/>
    </row>
    <row r="868" spans="1:8" s="13" customFormat="1">
      <c r="A868" s="166"/>
      <c r="B868" s="165" t="s">
        <v>382</v>
      </c>
      <c r="C868" s="165"/>
      <c r="D868" s="170" t="s">
        <v>380</v>
      </c>
      <c r="E868" s="347">
        <v>0.96</v>
      </c>
      <c r="F868" s="168">
        <v>5.0000000000000001E-3</v>
      </c>
      <c r="G868" s="197">
        <f>F868*E868</f>
        <v>4.7999999999999996E-3</v>
      </c>
      <c r="H868" s="190"/>
    </row>
    <row r="869" spans="1:8" s="13" customFormat="1">
      <c r="A869" s="166"/>
      <c r="B869" s="165" t="s">
        <v>696</v>
      </c>
      <c r="C869" s="165"/>
      <c r="D869" s="170" t="s">
        <v>380</v>
      </c>
      <c r="E869" s="216">
        <v>7.2</v>
      </c>
      <c r="F869" s="168">
        <v>0.05</v>
      </c>
      <c r="G869" s="197">
        <f>F869*E869</f>
        <v>0.36000000000000004</v>
      </c>
      <c r="H869" s="190"/>
    </row>
    <row r="870" spans="1:8" s="13" customFormat="1">
      <c r="A870" s="165" t="s">
        <v>396</v>
      </c>
      <c r="B870" s="166"/>
      <c r="C870" s="166"/>
      <c r="D870" s="167"/>
      <c r="E870" s="348"/>
      <c r="F870" s="174"/>
      <c r="G870" s="217"/>
      <c r="H870" s="190"/>
    </row>
    <row r="871" spans="1:8" s="13" customFormat="1">
      <c r="A871" s="166"/>
      <c r="B871" s="165" t="s">
        <v>397</v>
      </c>
      <c r="C871" s="165"/>
      <c r="D871" s="170" t="s">
        <v>380</v>
      </c>
      <c r="E871" s="189">
        <v>2.1800000000000002</v>
      </c>
      <c r="F871" s="168">
        <v>7.0000000000000007E-2</v>
      </c>
      <c r="G871" s="217">
        <f t="shared" si="46"/>
        <v>0.15260000000000001</v>
      </c>
      <c r="H871" s="190"/>
    </row>
    <row r="872" spans="1:8" s="13" customFormat="1">
      <c r="A872" s="166"/>
      <c r="B872" s="165" t="s">
        <v>398</v>
      </c>
      <c r="C872" s="165"/>
      <c r="D872" s="170"/>
      <c r="E872" s="189"/>
      <c r="F872" s="168"/>
      <c r="G872" s="217"/>
      <c r="H872" s="190"/>
    </row>
    <row r="873" spans="1:8" s="13" customFormat="1">
      <c r="A873" s="165" t="s">
        <v>432</v>
      </c>
      <c r="B873" s="166"/>
      <c r="C873" s="166"/>
      <c r="D873" s="167"/>
      <c r="E873" s="348"/>
      <c r="F873" s="174"/>
      <c r="G873" s="217"/>
      <c r="H873" s="190"/>
    </row>
    <row r="874" spans="1:8">
      <c r="A874" s="166"/>
      <c r="B874" s="165" t="s">
        <v>433</v>
      </c>
      <c r="C874" s="165"/>
      <c r="D874" s="170" t="s">
        <v>380</v>
      </c>
      <c r="E874" s="189">
        <v>3.39</v>
      </c>
      <c r="F874" s="168">
        <v>0.04</v>
      </c>
      <c r="G874" s="217">
        <f t="shared" si="46"/>
        <v>0.1356</v>
      </c>
      <c r="H874" s="190"/>
    </row>
    <row r="875" spans="1:8">
      <c r="A875" s="165" t="s">
        <v>476</v>
      </c>
      <c r="B875" s="166"/>
      <c r="C875" s="166"/>
      <c r="D875" s="167"/>
      <c r="E875" s="348"/>
      <c r="F875" s="174"/>
      <c r="G875" s="217"/>
      <c r="H875" s="190"/>
    </row>
    <row r="876" spans="1:8" s="10" customFormat="1">
      <c r="A876" s="166"/>
      <c r="B876" s="165" t="s">
        <v>476</v>
      </c>
      <c r="C876" s="165"/>
      <c r="D876" s="170" t="s">
        <v>380</v>
      </c>
      <c r="E876" s="216">
        <v>3.97</v>
      </c>
      <c r="F876" s="168">
        <v>0.15</v>
      </c>
      <c r="G876" s="217">
        <f t="shared" si="46"/>
        <v>0.59550000000000003</v>
      </c>
      <c r="H876" s="190"/>
    </row>
    <row r="877" spans="1:8">
      <c r="A877" s="165" t="s">
        <v>477</v>
      </c>
      <c r="B877" s="166"/>
      <c r="C877" s="166"/>
      <c r="D877" s="167"/>
      <c r="E877" s="348"/>
      <c r="F877" s="174"/>
      <c r="G877" s="217">
        <f t="shared" si="46"/>
        <v>0</v>
      </c>
      <c r="H877" s="190"/>
    </row>
    <row r="878" spans="1:8">
      <c r="A878" s="166"/>
      <c r="B878" s="165" t="s">
        <v>699</v>
      </c>
      <c r="C878" s="165"/>
      <c r="D878" s="170" t="s">
        <v>380</v>
      </c>
      <c r="E878" s="216">
        <v>25.05</v>
      </c>
      <c r="F878" s="168">
        <v>8.9999999999999993E-3</v>
      </c>
      <c r="G878" s="217">
        <f t="shared" si="46"/>
        <v>0.22544999999999998</v>
      </c>
      <c r="H878" s="190"/>
    </row>
    <row r="879" spans="1:8">
      <c r="A879" s="166"/>
      <c r="B879" s="165" t="s">
        <v>409</v>
      </c>
      <c r="C879" s="165"/>
      <c r="D879" s="170" t="s">
        <v>380</v>
      </c>
      <c r="E879" s="223">
        <v>1.52</v>
      </c>
      <c r="F879" s="168">
        <v>0.02</v>
      </c>
      <c r="G879" s="217">
        <f t="shared" si="46"/>
        <v>3.04E-2</v>
      </c>
      <c r="H879" s="190"/>
    </row>
    <row r="880" spans="1:8">
      <c r="A880" s="166" t="s">
        <v>367</v>
      </c>
      <c r="B880" s="165"/>
      <c r="C880" s="165"/>
      <c r="D880" s="170"/>
      <c r="E880" s="189"/>
      <c r="F880" s="168"/>
      <c r="G880" s="149"/>
      <c r="H880" s="173"/>
    </row>
    <row r="881" spans="1:8">
      <c r="A881" s="165"/>
      <c r="B881" s="165" t="s">
        <v>410</v>
      </c>
      <c r="C881" s="165"/>
      <c r="D881" s="176" t="s">
        <v>380</v>
      </c>
      <c r="E881" s="345">
        <v>7.37</v>
      </c>
      <c r="F881" s="177">
        <v>2.385E-3</v>
      </c>
      <c r="G881" s="178">
        <f t="shared" ref="G881:G888" si="47">F881*E881</f>
        <v>1.7577450000000001E-2</v>
      </c>
      <c r="H881" s="173"/>
    </row>
    <row r="882" spans="1:8">
      <c r="A882" s="179"/>
      <c r="B882" s="179" t="s">
        <v>382</v>
      </c>
      <c r="C882" s="179"/>
      <c r="D882" s="176" t="s">
        <v>380</v>
      </c>
      <c r="E882" s="345">
        <v>0.96</v>
      </c>
      <c r="F882" s="177">
        <v>4.9290899999999997E-3</v>
      </c>
      <c r="G882" s="178">
        <f t="shared" si="47"/>
        <v>4.7319263999999993E-3</v>
      </c>
      <c r="H882" s="173"/>
    </row>
    <row r="883" spans="1:8">
      <c r="A883" s="179"/>
      <c r="B883" s="179" t="s">
        <v>411</v>
      </c>
      <c r="C883" s="179"/>
      <c r="D883" s="176" t="s">
        <v>395</v>
      </c>
      <c r="E883" s="225">
        <v>1.65</v>
      </c>
      <c r="F883" s="177">
        <v>0.01</v>
      </c>
      <c r="G883" s="178">
        <f t="shared" si="47"/>
        <v>1.6500000000000001E-2</v>
      </c>
      <c r="H883" s="173"/>
    </row>
    <row r="884" spans="1:8">
      <c r="A884" s="179"/>
      <c r="B884" s="179" t="s">
        <v>412</v>
      </c>
      <c r="C884" s="179"/>
      <c r="D884" s="176" t="s">
        <v>380</v>
      </c>
      <c r="E884" s="345">
        <v>0.55000000000000004</v>
      </c>
      <c r="F884" s="177">
        <v>7.1599999999999997E-3</v>
      </c>
      <c r="G884" s="178">
        <f t="shared" si="47"/>
        <v>3.9380000000000005E-3</v>
      </c>
      <c r="H884" s="173"/>
    </row>
    <row r="885" spans="1:8">
      <c r="A885" s="179"/>
      <c r="B885" s="179" t="s">
        <v>413</v>
      </c>
      <c r="C885" s="179"/>
      <c r="D885" s="176" t="s">
        <v>414</v>
      </c>
      <c r="E885" s="225">
        <v>5.0000000000000001E-3</v>
      </c>
      <c r="F885" s="177">
        <v>0.95454499999999998</v>
      </c>
      <c r="G885" s="178">
        <f t="shared" si="47"/>
        <v>4.7727250000000002E-3</v>
      </c>
      <c r="H885" s="173"/>
    </row>
    <row r="886" spans="1:8">
      <c r="A886" s="179"/>
      <c r="B886" s="179" t="s">
        <v>415</v>
      </c>
      <c r="C886" s="179"/>
      <c r="D886" s="176" t="s">
        <v>380</v>
      </c>
      <c r="E886" s="345">
        <v>3.08</v>
      </c>
      <c r="F886" s="177">
        <v>0.01</v>
      </c>
      <c r="G886" s="178">
        <f t="shared" si="47"/>
        <v>3.0800000000000001E-2</v>
      </c>
      <c r="H886" s="173"/>
    </row>
    <row r="887" spans="1:8">
      <c r="A887" s="179"/>
      <c r="B887" s="179" t="s">
        <v>416</v>
      </c>
      <c r="C887" s="179"/>
      <c r="D887" s="176" t="s">
        <v>395</v>
      </c>
      <c r="E887" s="345">
        <v>2.85</v>
      </c>
      <c r="F887" s="177">
        <v>0.01</v>
      </c>
      <c r="G887" s="178">
        <f t="shared" si="47"/>
        <v>2.8500000000000001E-2</v>
      </c>
      <c r="H887" s="173"/>
    </row>
    <row r="888" spans="1:8">
      <c r="A888" s="179"/>
      <c r="B888" s="179" t="s">
        <v>417</v>
      </c>
      <c r="C888" s="179"/>
      <c r="D888" s="176" t="s">
        <v>395</v>
      </c>
      <c r="E888" s="225">
        <v>16.940000000000001</v>
      </c>
      <c r="F888" s="177">
        <v>0.01</v>
      </c>
      <c r="G888" s="178">
        <f t="shared" si="47"/>
        <v>0.16940000000000002</v>
      </c>
      <c r="H888" s="173"/>
    </row>
    <row r="889" spans="1:8">
      <c r="A889" s="180" t="s">
        <v>727</v>
      </c>
      <c r="B889" s="181"/>
      <c r="C889" s="181"/>
      <c r="D889" s="182"/>
      <c r="E889" s="346"/>
      <c r="F889" s="183"/>
      <c r="G889" s="184">
        <f>SUM(G856:G888)</f>
        <v>5.1137501013999991</v>
      </c>
      <c r="H889" s="191"/>
    </row>
    <row r="890" spans="1:8" ht="18" customHeight="1">
      <c r="F890" s="214"/>
      <c r="G890" s="212"/>
      <c r="H890" s="215"/>
    </row>
    <row r="891" spans="1:8" ht="45">
      <c r="A891" s="399" t="s">
        <v>728</v>
      </c>
      <c r="B891" s="399"/>
      <c r="C891" s="399"/>
      <c r="D891" s="400" t="s">
        <v>376</v>
      </c>
      <c r="E891" s="400" t="s">
        <v>91</v>
      </c>
      <c r="F891" s="401" t="s">
        <v>92</v>
      </c>
      <c r="G891" s="402" t="s">
        <v>93</v>
      </c>
      <c r="H891" s="403" t="s">
        <v>377</v>
      </c>
    </row>
    <row r="892" spans="1:8">
      <c r="A892" s="165" t="s">
        <v>729</v>
      </c>
      <c r="B892" s="166"/>
      <c r="C892" s="166"/>
      <c r="D892" s="167"/>
      <c r="E892" s="343"/>
      <c r="F892" s="168"/>
      <c r="G892" s="170"/>
      <c r="H892" s="173"/>
    </row>
    <row r="893" spans="1:8">
      <c r="A893" s="166"/>
      <c r="B893" s="195" t="s">
        <v>602</v>
      </c>
      <c r="C893" s="195"/>
      <c r="D893" s="170" t="s">
        <v>380</v>
      </c>
      <c r="E893" s="347">
        <v>8.7100000000000009</v>
      </c>
      <c r="F893" s="168">
        <v>0.21</v>
      </c>
      <c r="G893" s="197">
        <f>F893*E893</f>
        <v>1.8291000000000002</v>
      </c>
      <c r="H893" s="190">
        <v>150</v>
      </c>
    </row>
    <row r="894" spans="1:8">
      <c r="A894" s="166"/>
      <c r="B894" s="165" t="s">
        <v>382</v>
      </c>
      <c r="C894" s="165"/>
      <c r="D894" s="170" t="s">
        <v>380</v>
      </c>
      <c r="E894" s="347">
        <v>0.96</v>
      </c>
      <c r="F894" s="168" t="s">
        <v>393</v>
      </c>
      <c r="G894" s="217">
        <f t="shared" ref="G894:G911" si="48">F894*E894</f>
        <v>1.9199999999999998E-2</v>
      </c>
      <c r="H894" s="173"/>
    </row>
    <row r="895" spans="1:8">
      <c r="A895" s="166"/>
      <c r="B895" s="165" t="s">
        <v>730</v>
      </c>
      <c r="C895" s="165"/>
      <c r="D895" s="170" t="s">
        <v>380</v>
      </c>
      <c r="E895" s="347">
        <v>1.2</v>
      </c>
      <c r="F895" s="168">
        <v>0.02</v>
      </c>
      <c r="G895" s="217">
        <f t="shared" si="48"/>
        <v>2.4E-2</v>
      </c>
      <c r="H895" s="173"/>
    </row>
    <row r="896" spans="1:8">
      <c r="A896" s="166"/>
      <c r="B896" s="165" t="s">
        <v>731</v>
      </c>
      <c r="C896" s="165"/>
      <c r="D896" s="170" t="s">
        <v>380</v>
      </c>
      <c r="E896" s="216">
        <v>19.440000000000001</v>
      </c>
      <c r="F896" s="168" t="s">
        <v>385</v>
      </c>
      <c r="G896" s="217">
        <f t="shared" si="48"/>
        <v>9.7200000000000009E-2</v>
      </c>
      <c r="H896" s="190"/>
    </row>
    <row r="897" spans="1:8">
      <c r="A897" s="165" t="s">
        <v>732</v>
      </c>
      <c r="B897" s="166"/>
      <c r="C897" s="166"/>
      <c r="D897" s="167"/>
      <c r="E897" s="348"/>
      <c r="F897" s="174"/>
      <c r="G897" s="217"/>
      <c r="H897" s="190"/>
    </row>
    <row r="898" spans="1:8">
      <c r="A898" s="166"/>
      <c r="B898" s="165" t="s">
        <v>733</v>
      </c>
      <c r="C898" s="165"/>
      <c r="D898" s="170" t="s">
        <v>380</v>
      </c>
      <c r="E898" s="216">
        <v>6.37</v>
      </c>
      <c r="F898" s="168">
        <v>0.05</v>
      </c>
      <c r="G898" s="217">
        <f t="shared" si="48"/>
        <v>0.31850000000000001</v>
      </c>
      <c r="H898" s="190"/>
    </row>
    <row r="899" spans="1:8">
      <c r="A899" s="165" t="s">
        <v>396</v>
      </c>
      <c r="B899" s="166"/>
      <c r="C899" s="166"/>
      <c r="D899" s="167"/>
      <c r="E899" s="348"/>
      <c r="F899" s="174"/>
      <c r="G899" s="217"/>
      <c r="H899" s="173"/>
    </row>
    <row r="900" spans="1:8">
      <c r="A900" s="166"/>
      <c r="B900" s="165" t="s">
        <v>397</v>
      </c>
      <c r="C900" s="165"/>
      <c r="D900" s="170" t="s">
        <v>380</v>
      </c>
      <c r="E900" s="189">
        <v>2.1800000000000002</v>
      </c>
      <c r="F900" s="168">
        <v>7.0000000000000007E-2</v>
      </c>
      <c r="G900" s="217">
        <f t="shared" si="48"/>
        <v>0.15260000000000001</v>
      </c>
      <c r="H900" s="190"/>
    </row>
    <row r="901" spans="1:8">
      <c r="A901" s="166"/>
      <c r="B901" s="165" t="s">
        <v>398</v>
      </c>
      <c r="C901" s="165"/>
      <c r="D901" s="170"/>
      <c r="E901" s="189"/>
      <c r="F901" s="168"/>
      <c r="G901" s="217"/>
      <c r="H901" s="190"/>
    </row>
    <row r="902" spans="1:8">
      <c r="A902" s="165" t="s">
        <v>432</v>
      </c>
      <c r="B902" s="166"/>
      <c r="C902" s="166"/>
      <c r="D902" s="167"/>
      <c r="E902" s="348"/>
      <c r="F902" s="174"/>
      <c r="G902" s="217"/>
      <c r="H902" s="173"/>
    </row>
    <row r="903" spans="1:8" s="13" customFormat="1">
      <c r="A903" s="166"/>
      <c r="B903" s="165" t="s">
        <v>433</v>
      </c>
      <c r="C903" s="165"/>
      <c r="D903" s="170" t="s">
        <v>380</v>
      </c>
      <c r="E903" s="189">
        <v>3.39</v>
      </c>
      <c r="F903" s="168">
        <v>0.04</v>
      </c>
      <c r="G903" s="217">
        <f t="shared" si="48"/>
        <v>0.1356</v>
      </c>
      <c r="H903" s="190"/>
    </row>
    <row r="904" spans="1:8" s="13" customFormat="1">
      <c r="A904" s="165" t="s">
        <v>734</v>
      </c>
      <c r="B904" s="166"/>
      <c r="C904" s="166"/>
      <c r="D904" s="167"/>
      <c r="E904" s="348"/>
      <c r="F904" s="174"/>
      <c r="G904" s="217"/>
      <c r="H904" s="190"/>
    </row>
    <row r="905" spans="1:8" s="13" customFormat="1">
      <c r="A905" s="166"/>
      <c r="B905" s="165" t="s">
        <v>435</v>
      </c>
      <c r="C905" s="165"/>
      <c r="D905" s="170" t="s">
        <v>380</v>
      </c>
      <c r="E905" s="216">
        <v>0.88</v>
      </c>
      <c r="F905" s="168">
        <v>2.8000000000000001E-2</v>
      </c>
      <c r="G905" s="217">
        <f t="shared" si="48"/>
        <v>2.4640000000000002E-2</v>
      </c>
      <c r="H905" s="173"/>
    </row>
    <row r="906" spans="1:8" s="13" customFormat="1">
      <c r="A906" s="166"/>
      <c r="B906" s="165" t="s">
        <v>403</v>
      </c>
      <c r="C906" s="165"/>
      <c r="D906" s="170" t="s">
        <v>380</v>
      </c>
      <c r="E906" s="347">
        <v>1.25</v>
      </c>
      <c r="F906" s="168">
        <v>7.0000000000000007E-2</v>
      </c>
      <c r="G906" s="217">
        <f t="shared" si="48"/>
        <v>8.7500000000000008E-2</v>
      </c>
      <c r="H906" s="190"/>
    </row>
    <row r="907" spans="1:8" s="13" customFormat="1">
      <c r="A907" s="165" t="s">
        <v>512</v>
      </c>
      <c r="B907" s="166"/>
      <c r="C907" s="166"/>
      <c r="D907" s="167"/>
      <c r="E907" s="348"/>
      <c r="F907" s="174"/>
      <c r="G907" s="217"/>
      <c r="H907" s="190"/>
    </row>
    <row r="908" spans="1:8" s="13" customFormat="1">
      <c r="A908" s="166"/>
      <c r="B908" s="165" t="s">
        <v>511</v>
      </c>
      <c r="C908" s="165"/>
      <c r="D908" s="170" t="s">
        <v>380</v>
      </c>
      <c r="E908" s="216">
        <v>0.66</v>
      </c>
      <c r="F908" s="168">
        <v>0.15</v>
      </c>
      <c r="G908" s="196">
        <f>F908*E908</f>
        <v>9.9000000000000005E-2</v>
      </c>
      <c r="H908" s="190"/>
    </row>
    <row r="909" spans="1:8" s="13" customFormat="1">
      <c r="A909" s="165" t="s">
        <v>562</v>
      </c>
      <c r="B909" s="166"/>
      <c r="C909" s="166"/>
      <c r="D909" s="167"/>
      <c r="E909" s="348"/>
      <c r="F909" s="174"/>
      <c r="G909" s="217"/>
      <c r="H909" s="173"/>
    </row>
    <row r="910" spans="1:8" s="13" customFormat="1">
      <c r="A910" s="166"/>
      <c r="B910" s="165" t="s">
        <v>600</v>
      </c>
      <c r="C910" s="165"/>
      <c r="D910" s="170" t="s">
        <v>380</v>
      </c>
      <c r="E910" s="216">
        <v>9.6999999999999993</v>
      </c>
      <c r="F910" s="168">
        <v>8.9999999999999993E-3</v>
      </c>
      <c r="G910" s="217">
        <f t="shared" si="48"/>
        <v>8.7299999999999989E-2</v>
      </c>
      <c r="H910" s="190"/>
    </row>
    <row r="911" spans="1:8" s="13" customFormat="1">
      <c r="A911" s="166"/>
      <c r="B911" s="165" t="s">
        <v>409</v>
      </c>
      <c r="C911" s="165"/>
      <c r="D911" s="170" t="s">
        <v>380</v>
      </c>
      <c r="E911" s="223">
        <v>1.52</v>
      </c>
      <c r="F911" s="168">
        <v>0.02</v>
      </c>
      <c r="G911" s="217">
        <f t="shared" si="48"/>
        <v>3.04E-2</v>
      </c>
      <c r="H911" s="190"/>
    </row>
    <row r="912" spans="1:8" s="13" customFormat="1">
      <c r="A912" s="166" t="s">
        <v>367</v>
      </c>
      <c r="B912" s="165"/>
      <c r="C912" s="165"/>
      <c r="D912" s="170"/>
      <c r="E912" s="189"/>
      <c r="F912" s="168"/>
      <c r="G912" s="149"/>
      <c r="H912" s="173"/>
    </row>
    <row r="913" spans="1:8" s="13" customFormat="1">
      <c r="A913" s="165"/>
      <c r="B913" s="165" t="s">
        <v>410</v>
      </c>
      <c r="C913" s="165"/>
      <c r="D913" s="176" t="s">
        <v>380</v>
      </c>
      <c r="E913" s="345">
        <v>7.37</v>
      </c>
      <c r="F913" s="177">
        <v>2.385E-3</v>
      </c>
      <c r="G913" s="178">
        <f t="shared" ref="G913:G920" si="49">F913*E913</f>
        <v>1.7577450000000001E-2</v>
      </c>
      <c r="H913" s="173"/>
    </row>
    <row r="914" spans="1:8" s="13" customFormat="1">
      <c r="A914" s="179"/>
      <c r="B914" s="179" t="s">
        <v>382</v>
      </c>
      <c r="C914" s="179"/>
      <c r="D914" s="176" t="s">
        <v>380</v>
      </c>
      <c r="E914" s="345">
        <v>0.96</v>
      </c>
      <c r="F914" s="177">
        <v>4.9290899999999997E-3</v>
      </c>
      <c r="G914" s="178">
        <f t="shared" si="49"/>
        <v>4.7319263999999993E-3</v>
      </c>
      <c r="H914" s="173"/>
    </row>
    <row r="915" spans="1:8">
      <c r="A915" s="179"/>
      <c r="B915" s="179" t="s">
        <v>411</v>
      </c>
      <c r="C915" s="179"/>
      <c r="D915" s="176" t="s">
        <v>395</v>
      </c>
      <c r="E915" s="225">
        <v>1.65</v>
      </c>
      <c r="F915" s="177">
        <v>0.01</v>
      </c>
      <c r="G915" s="178">
        <f t="shared" si="49"/>
        <v>1.6500000000000001E-2</v>
      </c>
      <c r="H915" s="173"/>
    </row>
    <row r="916" spans="1:8">
      <c r="A916" s="179"/>
      <c r="B916" s="179" t="s">
        <v>412</v>
      </c>
      <c r="C916" s="179"/>
      <c r="D916" s="176" t="s">
        <v>380</v>
      </c>
      <c r="E916" s="345">
        <v>0.55000000000000004</v>
      </c>
      <c r="F916" s="177">
        <v>7.1599999999999997E-3</v>
      </c>
      <c r="G916" s="178">
        <f t="shared" si="49"/>
        <v>3.9380000000000005E-3</v>
      </c>
      <c r="H916" s="173"/>
    </row>
    <row r="917" spans="1:8" s="10" customFormat="1">
      <c r="A917" s="179"/>
      <c r="B917" s="179" t="s">
        <v>413</v>
      </c>
      <c r="C917" s="179"/>
      <c r="D917" s="176" t="s">
        <v>414</v>
      </c>
      <c r="E917" s="225">
        <v>5.0000000000000001E-3</v>
      </c>
      <c r="F917" s="177">
        <v>0.95454499999999998</v>
      </c>
      <c r="G917" s="178">
        <f t="shared" si="49"/>
        <v>4.7727250000000002E-3</v>
      </c>
      <c r="H917" s="173"/>
    </row>
    <row r="918" spans="1:8">
      <c r="A918" s="179"/>
      <c r="B918" s="179" t="s">
        <v>415</v>
      </c>
      <c r="C918" s="179"/>
      <c r="D918" s="176" t="s">
        <v>380</v>
      </c>
      <c r="E918" s="345">
        <v>3.08</v>
      </c>
      <c r="F918" s="177">
        <v>0.01</v>
      </c>
      <c r="G918" s="178">
        <f t="shared" si="49"/>
        <v>3.0800000000000001E-2</v>
      </c>
      <c r="H918" s="173"/>
    </row>
    <row r="919" spans="1:8">
      <c r="A919" s="179"/>
      <c r="B919" s="179" t="s">
        <v>416</v>
      </c>
      <c r="C919" s="179"/>
      <c r="D919" s="176" t="s">
        <v>395</v>
      </c>
      <c r="E919" s="345">
        <v>2.85</v>
      </c>
      <c r="F919" s="177">
        <v>0.01</v>
      </c>
      <c r="G919" s="178">
        <f t="shared" si="49"/>
        <v>2.8500000000000001E-2</v>
      </c>
      <c r="H919" s="173"/>
    </row>
    <row r="920" spans="1:8">
      <c r="A920" s="179"/>
      <c r="B920" s="179" t="s">
        <v>417</v>
      </c>
      <c r="C920" s="179"/>
      <c r="D920" s="176" t="s">
        <v>395</v>
      </c>
      <c r="E920" s="225">
        <v>16.940000000000001</v>
      </c>
      <c r="F920" s="177">
        <v>0.01</v>
      </c>
      <c r="G920" s="178">
        <f t="shared" si="49"/>
        <v>0.16940000000000002</v>
      </c>
      <c r="H920" s="173"/>
    </row>
    <row r="921" spans="1:8" ht="12.75" customHeight="1">
      <c r="A921" s="180" t="s">
        <v>735</v>
      </c>
      <c r="B921" s="181"/>
      <c r="C921" s="181"/>
      <c r="D921" s="182"/>
      <c r="E921" s="346"/>
      <c r="F921" s="183"/>
      <c r="G921" s="184">
        <f>SUM(G893:G920)</f>
        <v>3.1812601014000017</v>
      </c>
      <c r="H921" s="191"/>
    </row>
    <row r="922" spans="1:8">
      <c r="A922" s="219"/>
      <c r="B922" s="220"/>
      <c r="C922" s="220"/>
      <c r="D922" s="12"/>
      <c r="E922" s="12"/>
      <c r="F922" s="221"/>
      <c r="G922" s="12"/>
      <c r="H922" s="215"/>
    </row>
    <row r="923" spans="1:8" ht="45">
      <c r="A923" s="399" t="s">
        <v>736</v>
      </c>
      <c r="B923" s="399"/>
      <c r="C923" s="399"/>
      <c r="D923" s="400" t="s">
        <v>376</v>
      </c>
      <c r="E923" s="400" t="s">
        <v>91</v>
      </c>
      <c r="F923" s="401" t="s">
        <v>92</v>
      </c>
      <c r="G923" s="402" t="s">
        <v>93</v>
      </c>
      <c r="H923" s="403" t="s">
        <v>377</v>
      </c>
    </row>
    <row r="924" spans="1:8">
      <c r="A924" s="165" t="s">
        <v>737</v>
      </c>
      <c r="B924" s="166"/>
      <c r="C924" s="166"/>
      <c r="D924" s="167"/>
      <c r="E924" s="343"/>
      <c r="F924" s="174"/>
      <c r="G924" s="167"/>
      <c r="H924" s="190"/>
    </row>
    <row r="925" spans="1:8">
      <c r="A925" s="166"/>
      <c r="B925" s="165" t="s">
        <v>518</v>
      </c>
      <c r="C925" s="165"/>
      <c r="D925" s="170" t="s">
        <v>380</v>
      </c>
      <c r="E925" s="216">
        <v>6.25</v>
      </c>
      <c r="F925" s="168">
        <v>0.24</v>
      </c>
      <c r="G925" s="149">
        <f>F925*E925</f>
        <v>1.5</v>
      </c>
      <c r="H925" s="190">
        <v>150</v>
      </c>
    </row>
    <row r="926" spans="1:8">
      <c r="A926" s="166"/>
      <c r="B926" s="165" t="s">
        <v>382</v>
      </c>
      <c r="C926" s="165"/>
      <c r="D926" s="170" t="s">
        <v>380</v>
      </c>
      <c r="E926" s="347">
        <v>0.96</v>
      </c>
      <c r="F926" s="168">
        <v>5.0000000000000001E-3</v>
      </c>
      <c r="G926" s="149">
        <f t="shared" ref="G926:G949" si="50">F926*E926</f>
        <v>4.7999999999999996E-3</v>
      </c>
      <c r="H926" s="190"/>
    </row>
    <row r="927" spans="1:8">
      <c r="A927" s="166"/>
      <c r="B927" s="165" t="s">
        <v>503</v>
      </c>
      <c r="C927" s="165"/>
      <c r="D927" s="170" t="s">
        <v>380</v>
      </c>
      <c r="E927" s="347">
        <v>1.87</v>
      </c>
      <c r="F927" s="168">
        <v>5.0000000000000001E-3</v>
      </c>
      <c r="G927" s="149">
        <f t="shared" si="50"/>
        <v>9.3500000000000007E-3</v>
      </c>
      <c r="H927" s="190"/>
    </row>
    <row r="928" spans="1:8">
      <c r="A928" s="166"/>
      <c r="B928" s="165" t="s">
        <v>384</v>
      </c>
      <c r="C928" s="165"/>
      <c r="D928" s="170" t="s">
        <v>380</v>
      </c>
      <c r="E928" s="216">
        <v>3.21</v>
      </c>
      <c r="F928" s="168">
        <v>5.0000000000000001E-3</v>
      </c>
      <c r="G928" s="149">
        <f t="shared" si="50"/>
        <v>1.6050000000000002E-2</v>
      </c>
      <c r="H928" s="190"/>
    </row>
    <row r="929" spans="1:8">
      <c r="A929" s="165" t="s">
        <v>625</v>
      </c>
      <c r="B929" s="166"/>
      <c r="C929" s="166"/>
      <c r="D929" s="167"/>
      <c r="E929" s="348"/>
      <c r="F929" s="174"/>
      <c r="G929" s="149"/>
      <c r="H929" s="190"/>
    </row>
    <row r="930" spans="1:8">
      <c r="A930" s="166"/>
      <c r="B930" s="165" t="s">
        <v>492</v>
      </c>
      <c r="C930" s="165"/>
      <c r="D930" s="170" t="s">
        <v>395</v>
      </c>
      <c r="E930" s="347">
        <v>2.06</v>
      </c>
      <c r="F930" s="168">
        <v>0.04</v>
      </c>
      <c r="G930" s="197">
        <f>F930*E930</f>
        <v>8.2400000000000001E-2</v>
      </c>
      <c r="H930" s="190"/>
    </row>
    <row r="931" spans="1:8">
      <c r="A931" s="166"/>
      <c r="B931" s="195" t="s">
        <v>488</v>
      </c>
      <c r="C931" s="195"/>
      <c r="D931" s="170" t="s">
        <v>380</v>
      </c>
      <c r="E931" s="347">
        <v>4.45</v>
      </c>
      <c r="F931" s="168" t="s">
        <v>385</v>
      </c>
      <c r="G931" s="197">
        <f>F931*E931</f>
        <v>2.2250000000000002E-2</v>
      </c>
      <c r="H931" s="190"/>
    </row>
    <row r="932" spans="1:8">
      <c r="A932" s="166"/>
      <c r="B932" s="195" t="s">
        <v>463</v>
      </c>
      <c r="C932" s="195"/>
      <c r="D932" s="170" t="s">
        <v>380</v>
      </c>
      <c r="E932" s="347">
        <v>0.96</v>
      </c>
      <c r="F932" s="168" t="s">
        <v>385</v>
      </c>
      <c r="G932" s="197">
        <f>F932*E932</f>
        <v>4.7999999999999996E-3</v>
      </c>
      <c r="H932" s="190"/>
    </row>
    <row r="933" spans="1:8">
      <c r="A933" s="166"/>
      <c r="B933" s="195" t="s">
        <v>423</v>
      </c>
      <c r="C933" s="195"/>
      <c r="D933" s="170" t="s">
        <v>380</v>
      </c>
      <c r="E933" s="347">
        <v>1.8</v>
      </c>
      <c r="F933" s="168">
        <v>5.0000000000000001E-3</v>
      </c>
      <c r="G933" s="197">
        <f>F933*E933</f>
        <v>9.0000000000000011E-3</v>
      </c>
      <c r="H933" s="190"/>
    </row>
    <row r="934" spans="1:8">
      <c r="A934" s="166"/>
      <c r="B934" s="195" t="s">
        <v>626</v>
      </c>
      <c r="C934" s="195"/>
      <c r="D934" s="170" t="s">
        <v>380</v>
      </c>
      <c r="E934" s="216">
        <v>3.99</v>
      </c>
      <c r="F934" s="168">
        <v>0.05</v>
      </c>
      <c r="G934" s="197">
        <f>F934*E934</f>
        <v>0.19950000000000001</v>
      </c>
      <c r="H934" s="190"/>
    </row>
    <row r="935" spans="1:8">
      <c r="A935" s="165" t="s">
        <v>396</v>
      </c>
      <c r="B935" s="166"/>
      <c r="C935" s="166"/>
      <c r="D935" s="167"/>
      <c r="E935" s="348"/>
      <c r="F935" s="174"/>
      <c r="G935" s="149"/>
      <c r="H935" s="190"/>
    </row>
    <row r="936" spans="1:8">
      <c r="A936" s="166"/>
      <c r="B936" s="165" t="s">
        <v>397</v>
      </c>
      <c r="C936" s="165"/>
      <c r="D936" s="170" t="s">
        <v>380</v>
      </c>
      <c r="E936" s="189">
        <v>2.1800000000000002</v>
      </c>
      <c r="F936" s="168">
        <v>7.0000000000000007E-2</v>
      </c>
      <c r="G936" s="149">
        <f t="shared" si="50"/>
        <v>0.15260000000000001</v>
      </c>
      <c r="H936" s="190"/>
    </row>
    <row r="937" spans="1:8">
      <c r="A937" s="166"/>
      <c r="B937" s="165" t="s">
        <v>398</v>
      </c>
      <c r="C937" s="165"/>
      <c r="D937" s="170"/>
      <c r="E937" s="189"/>
      <c r="F937" s="168"/>
      <c r="G937" s="149"/>
      <c r="H937" s="190"/>
    </row>
    <row r="938" spans="1:8">
      <c r="A938" s="165" t="s">
        <v>432</v>
      </c>
      <c r="B938" s="166"/>
      <c r="C938" s="166"/>
      <c r="D938" s="167"/>
      <c r="E938" s="348"/>
      <c r="F938" s="174"/>
      <c r="G938" s="149"/>
      <c r="H938" s="190"/>
    </row>
    <row r="939" spans="1:8">
      <c r="A939" s="166"/>
      <c r="B939" s="165" t="s">
        <v>433</v>
      </c>
      <c r="C939" s="165"/>
      <c r="D939" s="170" t="s">
        <v>380</v>
      </c>
      <c r="E939" s="189">
        <v>3.39</v>
      </c>
      <c r="F939" s="168">
        <v>0.04</v>
      </c>
      <c r="G939" s="149">
        <f t="shared" si="50"/>
        <v>0.1356</v>
      </c>
      <c r="H939" s="190"/>
    </row>
    <row r="940" spans="1:8">
      <c r="A940" s="165" t="s">
        <v>738</v>
      </c>
      <c r="B940" s="166"/>
      <c r="C940" s="166"/>
      <c r="D940" s="167"/>
      <c r="E940" s="348"/>
      <c r="F940" s="174"/>
      <c r="G940" s="149"/>
      <c r="H940" s="190"/>
    </row>
    <row r="941" spans="1:8" ht="12.75" customHeight="1">
      <c r="A941" s="166"/>
      <c r="B941" s="165" t="s">
        <v>619</v>
      </c>
      <c r="C941" s="165"/>
      <c r="D941" s="170" t="s">
        <v>380</v>
      </c>
      <c r="E941" s="347">
        <v>1.79</v>
      </c>
      <c r="F941" s="168">
        <v>0.06</v>
      </c>
      <c r="G941" s="149">
        <f t="shared" si="50"/>
        <v>0.1074</v>
      </c>
      <c r="H941" s="190"/>
    </row>
    <row r="942" spans="1:8" s="13" customFormat="1" ht="12.75" customHeight="1">
      <c r="A942" s="166"/>
      <c r="B942" s="165" t="s">
        <v>382</v>
      </c>
      <c r="C942" s="165"/>
      <c r="D942" s="170" t="s">
        <v>380</v>
      </c>
      <c r="E942" s="347">
        <v>0.96</v>
      </c>
      <c r="F942" s="168" t="s">
        <v>666</v>
      </c>
      <c r="G942" s="149">
        <f t="shared" si="50"/>
        <v>2.8799999999999999E-2</v>
      </c>
      <c r="H942" s="190"/>
    </row>
    <row r="943" spans="1:8" s="13" customFormat="1">
      <c r="A943" s="166"/>
      <c r="B943" s="165" t="s">
        <v>739</v>
      </c>
      <c r="C943" s="165"/>
      <c r="D943" s="170" t="s">
        <v>380</v>
      </c>
      <c r="E943" s="347">
        <v>1.39</v>
      </c>
      <c r="F943" s="168" t="s">
        <v>473</v>
      </c>
      <c r="G943" s="149">
        <f t="shared" si="50"/>
        <v>3.4749999999999996E-2</v>
      </c>
      <c r="H943" s="190"/>
    </row>
    <row r="944" spans="1:8" s="13" customFormat="1" ht="12.75" customHeight="1">
      <c r="A944" s="166"/>
      <c r="B944" s="165" t="s">
        <v>570</v>
      </c>
      <c r="C944" s="165"/>
      <c r="D944" s="170" t="s">
        <v>380</v>
      </c>
      <c r="E944" s="347">
        <v>1.25</v>
      </c>
      <c r="F944" s="168" t="s">
        <v>529</v>
      </c>
      <c r="G944" s="149">
        <f t="shared" si="50"/>
        <v>0.05</v>
      </c>
      <c r="H944" s="190"/>
    </row>
    <row r="945" spans="1:8" s="13" customFormat="1" ht="12.75" customHeight="1">
      <c r="A945" s="165" t="s">
        <v>740</v>
      </c>
      <c r="B945" s="166"/>
      <c r="C945" s="166"/>
      <c r="D945" s="167"/>
      <c r="E945" s="348"/>
      <c r="F945" s="174"/>
      <c r="G945" s="149"/>
      <c r="H945" s="190"/>
    </row>
    <row r="946" spans="1:8" s="13" customFormat="1" ht="12.75" customHeight="1">
      <c r="A946" s="166"/>
      <c r="B946" s="165" t="s">
        <v>741</v>
      </c>
      <c r="C946" s="165"/>
      <c r="D946" s="170" t="s">
        <v>380</v>
      </c>
      <c r="E946" s="347">
        <v>1.21</v>
      </c>
      <c r="F946" s="168">
        <v>0.15</v>
      </c>
      <c r="G946" s="149">
        <f t="shared" si="50"/>
        <v>0.18149999999999999</v>
      </c>
      <c r="H946" s="190"/>
    </row>
    <row r="947" spans="1:8" s="13" customFormat="1" ht="12.75" customHeight="1">
      <c r="A947" s="165" t="s">
        <v>513</v>
      </c>
      <c r="B947" s="166"/>
      <c r="C947" s="166"/>
      <c r="D947" s="167"/>
      <c r="E947" s="348"/>
      <c r="F947" s="174"/>
      <c r="G947" s="149"/>
      <c r="H947" s="190"/>
    </row>
    <row r="948" spans="1:8" s="13" customFormat="1" ht="12.75" customHeight="1">
      <c r="A948" s="166"/>
      <c r="B948" s="165" t="s">
        <v>549</v>
      </c>
      <c r="C948" s="165"/>
      <c r="D948" s="170" t="s">
        <v>380</v>
      </c>
      <c r="E948" s="216">
        <v>13.77</v>
      </c>
      <c r="F948" s="168">
        <v>8.9999999999999993E-3</v>
      </c>
      <c r="G948" s="149">
        <f t="shared" si="50"/>
        <v>0.12392999999999998</v>
      </c>
      <c r="H948" s="190"/>
    </row>
    <row r="949" spans="1:8" s="13" customFormat="1" ht="12.75" customHeight="1">
      <c r="A949" s="166"/>
      <c r="B949" s="165" t="s">
        <v>515</v>
      </c>
      <c r="C949" s="165"/>
      <c r="D949" s="170" t="s">
        <v>380</v>
      </c>
      <c r="E949" s="223">
        <v>1.52</v>
      </c>
      <c r="F949" s="168">
        <v>0.02</v>
      </c>
      <c r="G949" s="149">
        <f t="shared" si="50"/>
        <v>3.04E-2</v>
      </c>
      <c r="H949" s="190"/>
    </row>
    <row r="950" spans="1:8" s="13" customFormat="1" ht="12.75" customHeight="1">
      <c r="A950" s="166" t="s">
        <v>367</v>
      </c>
      <c r="B950" s="165"/>
      <c r="C950" s="165"/>
      <c r="D950" s="170"/>
      <c r="E950" s="189"/>
      <c r="F950" s="168"/>
      <c r="G950" s="149"/>
      <c r="H950" s="173"/>
    </row>
    <row r="951" spans="1:8" s="13" customFormat="1">
      <c r="A951" s="165"/>
      <c r="B951" s="165" t="s">
        <v>410</v>
      </c>
      <c r="C951" s="165"/>
      <c r="D951" s="176" t="s">
        <v>380</v>
      </c>
      <c r="E951" s="345">
        <v>19.170000000000002</v>
      </c>
      <c r="F951" s="177">
        <v>2.385E-3</v>
      </c>
      <c r="G951" s="178">
        <f t="shared" ref="G951:G958" si="51">F951*E951</f>
        <v>4.5720450000000003E-2</v>
      </c>
      <c r="H951" s="173"/>
    </row>
    <row r="952" spans="1:8" s="13" customFormat="1">
      <c r="A952" s="179"/>
      <c r="B952" s="179" t="s">
        <v>382</v>
      </c>
      <c r="C952" s="179"/>
      <c r="D952" s="176" t="s">
        <v>380</v>
      </c>
      <c r="E952" s="345">
        <v>0.96</v>
      </c>
      <c r="F952" s="177">
        <v>4.9290899999999997E-3</v>
      </c>
      <c r="G952" s="178">
        <f t="shared" si="51"/>
        <v>4.7319263999999993E-3</v>
      </c>
      <c r="H952" s="173"/>
    </row>
    <row r="953" spans="1:8" s="13" customFormat="1">
      <c r="A953" s="179"/>
      <c r="B953" s="179" t="s">
        <v>411</v>
      </c>
      <c r="C953" s="179"/>
      <c r="D953" s="176" t="s">
        <v>395</v>
      </c>
      <c r="E953" s="225">
        <v>1.65</v>
      </c>
      <c r="F953" s="177">
        <v>0.01</v>
      </c>
      <c r="G953" s="178">
        <f t="shared" si="51"/>
        <v>1.6500000000000001E-2</v>
      </c>
      <c r="H953" s="173"/>
    </row>
    <row r="954" spans="1:8">
      <c r="A954" s="179"/>
      <c r="B954" s="179" t="s">
        <v>412</v>
      </c>
      <c r="C954" s="179"/>
      <c r="D954" s="176" t="s">
        <v>380</v>
      </c>
      <c r="E954" s="345">
        <v>0.55000000000000004</v>
      </c>
      <c r="F954" s="177">
        <v>7.1599999999999997E-3</v>
      </c>
      <c r="G954" s="178">
        <f t="shared" si="51"/>
        <v>3.9380000000000005E-3</v>
      </c>
      <c r="H954" s="173"/>
    </row>
    <row r="955" spans="1:8">
      <c r="A955" s="179"/>
      <c r="B955" s="179" t="s">
        <v>413</v>
      </c>
      <c r="C955" s="179"/>
      <c r="D955" s="176" t="s">
        <v>414</v>
      </c>
      <c r="E955" s="225">
        <v>5.0000000000000001E-3</v>
      </c>
      <c r="F955" s="177">
        <v>0.95454499999999998</v>
      </c>
      <c r="G955" s="178">
        <f t="shared" si="51"/>
        <v>4.7727250000000002E-3</v>
      </c>
      <c r="H955" s="173"/>
    </row>
    <row r="956" spans="1:8" s="10" customFormat="1">
      <c r="A956" s="179"/>
      <c r="B956" s="179" t="s">
        <v>415</v>
      </c>
      <c r="C956" s="179"/>
      <c r="D956" s="176" t="s">
        <v>380</v>
      </c>
      <c r="E956" s="345">
        <v>3.08</v>
      </c>
      <c r="F956" s="177">
        <v>0.01</v>
      </c>
      <c r="G956" s="178">
        <f t="shared" si="51"/>
        <v>3.0800000000000001E-2</v>
      </c>
      <c r="H956" s="173"/>
    </row>
    <row r="957" spans="1:8">
      <c r="A957" s="179"/>
      <c r="B957" s="179" t="s">
        <v>416</v>
      </c>
      <c r="C957" s="179"/>
      <c r="D957" s="176" t="s">
        <v>395</v>
      </c>
      <c r="E957" s="345">
        <v>2.85</v>
      </c>
      <c r="F957" s="177">
        <v>0.01</v>
      </c>
      <c r="G957" s="178">
        <f t="shared" si="51"/>
        <v>2.8500000000000001E-2</v>
      </c>
      <c r="H957" s="173"/>
    </row>
    <row r="958" spans="1:8">
      <c r="A958" s="179"/>
      <c r="B958" s="179" t="s">
        <v>417</v>
      </c>
      <c r="C958" s="179"/>
      <c r="D958" s="176" t="s">
        <v>395</v>
      </c>
      <c r="E958" s="225">
        <v>16.940000000000001</v>
      </c>
      <c r="F958" s="177">
        <v>0.01</v>
      </c>
      <c r="G958" s="178">
        <f t="shared" si="51"/>
        <v>0.16940000000000002</v>
      </c>
      <c r="H958" s="173"/>
    </row>
    <row r="959" spans="1:8">
      <c r="A959" s="180" t="s">
        <v>742</v>
      </c>
      <c r="B959" s="181"/>
      <c r="C959" s="181"/>
      <c r="D959" s="182"/>
      <c r="E959" s="346"/>
      <c r="F959" s="183"/>
      <c r="G959" s="184">
        <f>SUM(G925:G958)</f>
        <v>2.9974931014000004</v>
      </c>
      <c r="H959" s="191"/>
    </row>
    <row r="960" spans="1:8">
      <c r="F960" s="193"/>
    </row>
    <row r="961" spans="1:8" ht="45">
      <c r="A961" s="399" t="s">
        <v>743</v>
      </c>
      <c r="B961" s="399"/>
      <c r="C961" s="399"/>
      <c r="D961" s="400" t="s">
        <v>376</v>
      </c>
      <c r="E961" s="400" t="s">
        <v>91</v>
      </c>
      <c r="F961" s="401" t="s">
        <v>92</v>
      </c>
      <c r="G961" s="402" t="s">
        <v>93</v>
      </c>
      <c r="H961" s="403" t="s">
        <v>377</v>
      </c>
    </row>
    <row r="962" spans="1:8">
      <c r="A962" s="165" t="s">
        <v>744</v>
      </c>
      <c r="B962" s="166"/>
      <c r="C962" s="166"/>
      <c r="D962" s="167"/>
      <c r="E962" s="343"/>
      <c r="F962" s="174"/>
      <c r="G962" s="170"/>
      <c r="H962" s="173"/>
    </row>
    <row r="963" spans="1:8">
      <c r="A963" s="166"/>
      <c r="B963" s="165" t="s">
        <v>379</v>
      </c>
      <c r="C963" s="165"/>
      <c r="D963" s="170" t="s">
        <v>380</v>
      </c>
      <c r="E963" s="347">
        <v>14.17</v>
      </c>
      <c r="F963" s="168">
        <v>0.2</v>
      </c>
      <c r="G963" s="197">
        <f>F963*E963</f>
        <v>2.8340000000000001</v>
      </c>
      <c r="H963" s="173">
        <v>120</v>
      </c>
    </row>
    <row r="964" spans="1:8">
      <c r="A964" s="166"/>
      <c r="B964" s="165" t="s">
        <v>634</v>
      </c>
      <c r="C964" s="165"/>
      <c r="D964" s="170" t="s">
        <v>380</v>
      </c>
      <c r="E964" s="347">
        <v>0.96</v>
      </c>
      <c r="F964" s="168" t="s">
        <v>385</v>
      </c>
      <c r="G964" s="197">
        <f>F964*E964</f>
        <v>4.7999999999999996E-3</v>
      </c>
      <c r="H964" s="173"/>
    </row>
    <row r="965" spans="1:8">
      <c r="A965" s="166"/>
      <c r="B965" s="165" t="s">
        <v>520</v>
      </c>
      <c r="C965" s="165"/>
      <c r="D965" s="170" t="s">
        <v>380</v>
      </c>
      <c r="E965" s="216">
        <v>3</v>
      </c>
      <c r="F965" s="168" t="s">
        <v>385</v>
      </c>
      <c r="G965" s="197">
        <f>F965*E965</f>
        <v>1.4999999999999999E-2</v>
      </c>
      <c r="H965" s="173"/>
    </row>
    <row r="966" spans="1:8">
      <c r="A966" s="166"/>
      <c r="B966" s="165" t="s">
        <v>635</v>
      </c>
      <c r="C966" s="165"/>
      <c r="D966" s="170" t="s">
        <v>395</v>
      </c>
      <c r="E966" s="216">
        <v>2.74</v>
      </c>
      <c r="F966" s="168">
        <v>3.0000000000000001E-3</v>
      </c>
      <c r="G966" s="197">
        <f>F966*E966</f>
        <v>8.2200000000000016E-3</v>
      </c>
      <c r="H966" s="173"/>
    </row>
    <row r="967" spans="1:8">
      <c r="A967" s="166"/>
      <c r="B967" s="165" t="s">
        <v>636</v>
      </c>
      <c r="C967" s="165"/>
      <c r="D967" s="170" t="s">
        <v>395</v>
      </c>
      <c r="E967" s="347">
        <v>9.99</v>
      </c>
      <c r="F967" s="168" t="s">
        <v>385</v>
      </c>
      <c r="G967" s="197">
        <f>F967*E967</f>
        <v>4.9950000000000001E-2</v>
      </c>
      <c r="H967" s="173"/>
    </row>
    <row r="968" spans="1:8">
      <c r="A968" s="165" t="s">
        <v>506</v>
      </c>
      <c r="B968" s="166"/>
      <c r="C968" s="166"/>
      <c r="D968" s="167"/>
      <c r="E968" s="348"/>
      <c r="F968" s="174"/>
      <c r="G968" s="217"/>
      <c r="H968" s="190"/>
    </row>
    <row r="969" spans="1:8">
      <c r="A969" s="166"/>
      <c r="B969" s="195" t="s">
        <v>507</v>
      </c>
      <c r="C969" s="195"/>
      <c r="D969" s="170" t="s">
        <v>380</v>
      </c>
      <c r="E969" s="347">
        <v>4.45</v>
      </c>
      <c r="F969" s="168">
        <v>5.0000000000000001E-3</v>
      </c>
      <c r="G969" s="197">
        <f>F969*E969</f>
        <v>2.2250000000000002E-2</v>
      </c>
      <c r="H969" s="190"/>
    </row>
    <row r="970" spans="1:8">
      <c r="A970" s="166"/>
      <c r="B970" s="195" t="s">
        <v>382</v>
      </c>
      <c r="C970" s="195"/>
      <c r="D970" s="170" t="s">
        <v>380</v>
      </c>
      <c r="E970" s="347">
        <v>0.96</v>
      </c>
      <c r="F970" s="168" t="s">
        <v>385</v>
      </c>
      <c r="G970" s="197">
        <f>F970*E970</f>
        <v>4.7999999999999996E-3</v>
      </c>
      <c r="H970" s="173"/>
    </row>
    <row r="971" spans="1:8">
      <c r="A971" s="166"/>
      <c r="B971" s="195" t="s">
        <v>508</v>
      </c>
      <c r="C971" s="195"/>
      <c r="D971" s="170" t="s">
        <v>414</v>
      </c>
      <c r="E971" s="347">
        <v>0.21</v>
      </c>
      <c r="F971" s="168" t="s">
        <v>439</v>
      </c>
      <c r="G971" s="197">
        <f>F971*E971</f>
        <v>5.2499999999999998E-2</v>
      </c>
      <c r="H971" s="173"/>
    </row>
    <row r="972" spans="1:8">
      <c r="A972" s="166"/>
      <c r="B972" s="195" t="s">
        <v>390</v>
      </c>
      <c r="C972" s="195"/>
      <c r="D972" s="170" t="s">
        <v>380</v>
      </c>
      <c r="E972" s="347">
        <v>3.08</v>
      </c>
      <c r="F972" s="168">
        <v>5.5E-2</v>
      </c>
      <c r="G972" s="197">
        <f>F972*E972</f>
        <v>0.1694</v>
      </c>
      <c r="H972" s="173"/>
    </row>
    <row r="973" spans="1:8" ht="18.75" customHeight="1">
      <c r="A973" s="165" t="s">
        <v>745</v>
      </c>
      <c r="B973" s="166"/>
      <c r="C973" s="166"/>
      <c r="D973" s="167"/>
      <c r="E973" s="348"/>
      <c r="F973" s="174"/>
      <c r="G973" s="217"/>
      <c r="H973" s="173"/>
    </row>
    <row r="974" spans="1:8">
      <c r="A974" s="166"/>
      <c r="B974" s="165" t="s">
        <v>410</v>
      </c>
      <c r="C974" s="165"/>
      <c r="D974" s="170" t="s">
        <v>380</v>
      </c>
      <c r="E974" s="347">
        <v>7.37</v>
      </c>
      <c r="F974" s="168" t="s">
        <v>430</v>
      </c>
      <c r="G974" s="217">
        <f t="shared" ref="G974:G989" si="52">F974*E974</f>
        <v>1.4740000000000001E-2</v>
      </c>
      <c r="H974" s="173"/>
    </row>
    <row r="975" spans="1:8">
      <c r="A975" s="166"/>
      <c r="B975" s="165" t="s">
        <v>746</v>
      </c>
      <c r="C975" s="165"/>
      <c r="D975" s="170" t="s">
        <v>380</v>
      </c>
      <c r="E975" s="216">
        <v>1.29</v>
      </c>
      <c r="F975" s="168" t="s">
        <v>389</v>
      </c>
      <c r="G975" s="217">
        <f t="shared" si="52"/>
        <v>1.2900000000000001E-3</v>
      </c>
      <c r="H975" s="173"/>
    </row>
    <row r="976" spans="1:8">
      <c r="A976" s="166"/>
      <c r="B976" s="165" t="s">
        <v>382</v>
      </c>
      <c r="C976" s="165"/>
      <c r="D976" s="170" t="s">
        <v>380</v>
      </c>
      <c r="E976" s="347">
        <v>0.96</v>
      </c>
      <c r="F976" s="168">
        <v>5.0000000000000001E-3</v>
      </c>
      <c r="G976" s="217">
        <f t="shared" si="52"/>
        <v>4.7999999999999996E-3</v>
      </c>
      <c r="H976" s="173"/>
    </row>
    <row r="977" spans="1:8">
      <c r="A977" s="166"/>
      <c r="B977" s="165" t="s">
        <v>568</v>
      </c>
      <c r="C977" s="165"/>
      <c r="D977" s="170" t="s">
        <v>380</v>
      </c>
      <c r="E977" s="347">
        <v>0.77</v>
      </c>
      <c r="F977" s="168">
        <v>0.06</v>
      </c>
      <c r="G977" s="217">
        <f t="shared" si="52"/>
        <v>4.6199999999999998E-2</v>
      </c>
      <c r="H977" s="173"/>
    </row>
    <row r="978" spans="1:8">
      <c r="A978" s="166"/>
      <c r="B978" s="165" t="s">
        <v>503</v>
      </c>
      <c r="C978" s="165"/>
      <c r="D978" s="170" t="s">
        <v>380</v>
      </c>
      <c r="E978" s="347">
        <v>1.87</v>
      </c>
      <c r="F978" s="168" t="s">
        <v>393</v>
      </c>
      <c r="G978" s="217">
        <f t="shared" si="52"/>
        <v>3.7400000000000003E-2</v>
      </c>
      <c r="H978" s="173"/>
    </row>
    <row r="979" spans="1:8">
      <c r="A979" s="166"/>
      <c r="B979" s="165" t="s">
        <v>747</v>
      </c>
      <c r="C979" s="165"/>
      <c r="D979" s="170" t="s">
        <v>380</v>
      </c>
      <c r="E979" s="347">
        <v>2.1800000000000002</v>
      </c>
      <c r="F979" s="168">
        <v>0.02</v>
      </c>
      <c r="G979" s="217">
        <f t="shared" si="52"/>
        <v>4.3600000000000007E-2</v>
      </c>
      <c r="H979" s="173"/>
    </row>
    <row r="980" spans="1:8" s="13" customFormat="1">
      <c r="A980" s="165" t="s">
        <v>396</v>
      </c>
      <c r="B980" s="166"/>
      <c r="C980" s="166"/>
      <c r="D980" s="167"/>
      <c r="E980" s="348"/>
      <c r="F980" s="174"/>
      <c r="G980" s="217"/>
      <c r="H980" s="190"/>
    </row>
    <row r="981" spans="1:8" s="13" customFormat="1">
      <c r="A981" s="166"/>
      <c r="B981" s="165" t="s">
        <v>397</v>
      </c>
      <c r="C981" s="165"/>
      <c r="D981" s="170" t="s">
        <v>380</v>
      </c>
      <c r="E981" s="189">
        <v>2.1800000000000002</v>
      </c>
      <c r="F981" s="168">
        <v>7.0000000000000007E-2</v>
      </c>
      <c r="G981" s="217">
        <f t="shared" si="52"/>
        <v>0.15260000000000001</v>
      </c>
      <c r="H981" s="190"/>
    </row>
    <row r="982" spans="1:8" s="13" customFormat="1">
      <c r="A982" s="166"/>
      <c r="B982" s="165" t="s">
        <v>398</v>
      </c>
      <c r="C982" s="165"/>
      <c r="D982" s="170"/>
      <c r="E982" s="189"/>
      <c r="F982" s="168"/>
      <c r="G982" s="217"/>
      <c r="H982" s="190"/>
    </row>
    <row r="983" spans="1:8" s="13" customFormat="1">
      <c r="A983" s="165" t="s">
        <v>432</v>
      </c>
      <c r="B983" s="166"/>
      <c r="C983" s="166"/>
      <c r="D983" s="167"/>
      <c r="E983" s="348"/>
      <c r="F983" s="174"/>
      <c r="G983" s="217"/>
      <c r="H983" s="173"/>
    </row>
    <row r="984" spans="1:8" s="13" customFormat="1">
      <c r="A984" s="166"/>
      <c r="B984" s="165" t="s">
        <v>433</v>
      </c>
      <c r="C984" s="165"/>
      <c r="D984" s="170" t="s">
        <v>380</v>
      </c>
      <c r="E984" s="189">
        <v>3.39</v>
      </c>
      <c r="F984" s="168">
        <v>0.04</v>
      </c>
      <c r="G984" s="217">
        <f t="shared" si="52"/>
        <v>0.1356</v>
      </c>
      <c r="H984" s="190"/>
    </row>
    <row r="985" spans="1:8" s="13" customFormat="1">
      <c r="A985" s="165" t="s">
        <v>437</v>
      </c>
      <c r="B985" s="166"/>
      <c r="C985" s="166"/>
      <c r="D985" s="167"/>
      <c r="E985" s="348"/>
      <c r="F985" s="174"/>
      <c r="G985" s="217"/>
      <c r="H985" s="173"/>
    </row>
    <row r="986" spans="1:8" s="13" customFormat="1">
      <c r="A986" s="166"/>
      <c r="B986" s="165" t="s">
        <v>438</v>
      </c>
      <c r="C986" s="165"/>
      <c r="D986" s="170" t="s">
        <v>380</v>
      </c>
      <c r="E986" s="347">
        <v>0.56000000000000005</v>
      </c>
      <c r="F986" s="168">
        <v>0.28000000000000003</v>
      </c>
      <c r="G986" s="217">
        <f t="shared" si="52"/>
        <v>0.15680000000000002</v>
      </c>
      <c r="H986" s="190">
        <v>150</v>
      </c>
    </row>
    <row r="987" spans="1:8" s="13" customFormat="1">
      <c r="A987" s="165" t="s">
        <v>671</v>
      </c>
      <c r="B987" s="166"/>
      <c r="C987" s="166"/>
      <c r="D987" s="167"/>
      <c r="E987" s="348"/>
      <c r="F987" s="174"/>
      <c r="G987" s="217"/>
      <c r="H987" s="190"/>
    </row>
    <row r="988" spans="1:8" s="13" customFormat="1">
      <c r="A988" s="166"/>
      <c r="B988" s="165" t="s">
        <v>408</v>
      </c>
      <c r="C988" s="165"/>
      <c r="D988" s="170" t="s">
        <v>380</v>
      </c>
      <c r="E988" s="216">
        <v>9.73</v>
      </c>
      <c r="F988" s="168">
        <v>8.9999999999999993E-3</v>
      </c>
      <c r="G988" s="217">
        <f t="shared" si="52"/>
        <v>8.7569999999999995E-2</v>
      </c>
      <c r="H988" s="190"/>
    </row>
    <row r="989" spans="1:8" s="13" customFormat="1">
      <c r="A989" s="166"/>
      <c r="B989" s="165" t="s">
        <v>515</v>
      </c>
      <c r="C989" s="165"/>
      <c r="D989" s="170" t="s">
        <v>380</v>
      </c>
      <c r="E989" s="223">
        <v>1.52</v>
      </c>
      <c r="F989" s="168">
        <v>0.02</v>
      </c>
      <c r="G989" s="217">
        <f t="shared" si="52"/>
        <v>3.04E-2</v>
      </c>
      <c r="H989" s="173"/>
    </row>
    <row r="990" spans="1:8" s="13" customFormat="1">
      <c r="A990" s="166" t="s">
        <v>367</v>
      </c>
      <c r="B990" s="165"/>
      <c r="C990" s="165"/>
      <c r="D990" s="170"/>
      <c r="E990" s="189"/>
      <c r="F990" s="168"/>
      <c r="G990" s="149"/>
      <c r="H990" s="173"/>
    </row>
    <row r="991" spans="1:8" s="13" customFormat="1">
      <c r="A991" s="165"/>
      <c r="B991" s="165" t="s">
        <v>410</v>
      </c>
      <c r="C991" s="165"/>
      <c r="D991" s="176" t="s">
        <v>380</v>
      </c>
      <c r="E991" s="345">
        <v>7.37</v>
      </c>
      <c r="F991" s="177">
        <v>2.385E-3</v>
      </c>
      <c r="G991" s="178">
        <f t="shared" ref="G991:G998" si="53">F991*E991</f>
        <v>1.7577450000000001E-2</v>
      </c>
      <c r="H991" s="173"/>
    </row>
    <row r="992" spans="1:8" s="13" customFormat="1">
      <c r="A992" s="179"/>
      <c r="B992" s="179" t="s">
        <v>382</v>
      </c>
      <c r="C992" s="179"/>
      <c r="D992" s="176" t="s">
        <v>380</v>
      </c>
      <c r="E992" s="345">
        <v>0.96</v>
      </c>
      <c r="F992" s="177">
        <v>4.9290899999999997E-3</v>
      </c>
      <c r="G992" s="178">
        <f t="shared" si="53"/>
        <v>4.7319263999999993E-3</v>
      </c>
      <c r="H992" s="173"/>
    </row>
    <row r="993" spans="1:8">
      <c r="A993" s="179"/>
      <c r="B993" s="179" t="s">
        <v>411</v>
      </c>
      <c r="C993" s="179"/>
      <c r="D993" s="176" t="s">
        <v>395</v>
      </c>
      <c r="E993" s="225">
        <v>1.65</v>
      </c>
      <c r="F993" s="177">
        <v>0.01</v>
      </c>
      <c r="G993" s="178">
        <f t="shared" si="53"/>
        <v>1.6500000000000001E-2</v>
      </c>
      <c r="H993" s="173"/>
    </row>
    <row r="994" spans="1:8">
      <c r="A994" s="179"/>
      <c r="B994" s="179" t="s">
        <v>443</v>
      </c>
      <c r="C994" s="179"/>
      <c r="D994" s="176" t="s">
        <v>380</v>
      </c>
      <c r="E994" s="345">
        <v>0.55000000000000004</v>
      </c>
      <c r="F994" s="177">
        <v>7.1599999999999997E-3</v>
      </c>
      <c r="G994" s="178">
        <f t="shared" si="53"/>
        <v>3.9380000000000005E-3</v>
      </c>
      <c r="H994" s="173"/>
    </row>
    <row r="995" spans="1:8" s="10" customFormat="1">
      <c r="A995" s="179"/>
      <c r="B995" s="179" t="s">
        <v>413</v>
      </c>
      <c r="C995" s="179"/>
      <c r="D995" s="176" t="s">
        <v>414</v>
      </c>
      <c r="E995" s="225">
        <v>5.0000000000000001E-3</v>
      </c>
      <c r="F995" s="177">
        <v>0.95454499999999998</v>
      </c>
      <c r="G995" s="178">
        <f t="shared" si="53"/>
        <v>4.7727250000000002E-3</v>
      </c>
      <c r="H995" s="173"/>
    </row>
    <row r="996" spans="1:8">
      <c r="A996" s="179"/>
      <c r="B996" s="179" t="s">
        <v>415</v>
      </c>
      <c r="C996" s="179"/>
      <c r="D996" s="176" t="s">
        <v>380</v>
      </c>
      <c r="E996" s="345">
        <v>3.08</v>
      </c>
      <c r="F996" s="177">
        <v>0.01</v>
      </c>
      <c r="G996" s="178">
        <f t="shared" si="53"/>
        <v>3.0800000000000001E-2</v>
      </c>
      <c r="H996" s="173"/>
    </row>
    <row r="997" spans="1:8">
      <c r="A997" s="179"/>
      <c r="B997" s="179" t="s">
        <v>416</v>
      </c>
      <c r="C997" s="179"/>
      <c r="D997" s="176" t="s">
        <v>395</v>
      </c>
      <c r="E997" s="345">
        <v>2.85</v>
      </c>
      <c r="F997" s="177">
        <v>0.01</v>
      </c>
      <c r="G997" s="178">
        <f t="shared" si="53"/>
        <v>2.8500000000000001E-2</v>
      </c>
      <c r="H997" s="173"/>
    </row>
    <row r="998" spans="1:8">
      <c r="A998" s="179"/>
      <c r="B998" s="179" t="s">
        <v>417</v>
      </c>
      <c r="C998" s="179"/>
      <c r="D998" s="176" t="s">
        <v>395</v>
      </c>
      <c r="E998" s="225">
        <v>16.940000000000001</v>
      </c>
      <c r="F998" s="177">
        <v>0.01</v>
      </c>
      <c r="G998" s="178">
        <f t="shared" si="53"/>
        <v>0.16940000000000002</v>
      </c>
      <c r="H998" s="173"/>
    </row>
    <row r="999" spans="1:8">
      <c r="A999" s="180" t="s">
        <v>748</v>
      </c>
      <c r="B999" s="181"/>
      <c r="C999" s="181"/>
      <c r="D999" s="182"/>
      <c r="E999" s="346"/>
      <c r="F999" s="183"/>
      <c r="G999" s="184">
        <f>SUM(G963:G998)</f>
        <v>4.1481401014000019</v>
      </c>
      <c r="H999" s="191"/>
    </row>
    <row r="1000" spans="1:8">
      <c r="B1000" s="192"/>
      <c r="C1000" s="192"/>
      <c r="D1000" s="212"/>
      <c r="E1000" s="212"/>
      <c r="F1000" s="214"/>
      <c r="G1000" s="212"/>
      <c r="H1000" s="215"/>
    </row>
    <row r="1001" spans="1:8" ht="45">
      <c r="A1001" s="399" t="s">
        <v>749</v>
      </c>
      <c r="B1001" s="399"/>
      <c r="C1001" s="399"/>
      <c r="D1001" s="400" t="s">
        <v>376</v>
      </c>
      <c r="E1001" s="400" t="s">
        <v>91</v>
      </c>
      <c r="F1001" s="401" t="s">
        <v>92</v>
      </c>
      <c r="G1001" s="402" t="s">
        <v>93</v>
      </c>
      <c r="H1001" s="403" t="s">
        <v>377</v>
      </c>
    </row>
    <row r="1002" spans="1:8">
      <c r="A1002" s="165" t="s">
        <v>750</v>
      </c>
      <c r="B1002" s="166"/>
      <c r="C1002" s="166"/>
      <c r="D1002" s="167"/>
      <c r="E1002" s="343"/>
      <c r="F1002" s="168"/>
      <c r="G1002" s="170"/>
      <c r="H1002" s="173"/>
    </row>
    <row r="1003" spans="1:8">
      <c r="A1003" s="166"/>
      <c r="B1003" s="165" t="s">
        <v>751</v>
      </c>
      <c r="C1003" s="165"/>
      <c r="D1003" s="170" t="s">
        <v>380</v>
      </c>
      <c r="E1003" s="216">
        <v>13.69</v>
      </c>
      <c r="F1003" s="168">
        <v>0.23</v>
      </c>
      <c r="G1003" s="217">
        <f>F1003*E1003</f>
        <v>3.1486999999999998</v>
      </c>
      <c r="H1003" s="173">
        <v>120</v>
      </c>
    </row>
    <row r="1004" spans="1:8">
      <c r="A1004" s="166"/>
      <c r="B1004" s="165" t="s">
        <v>677</v>
      </c>
      <c r="C1004" s="165"/>
      <c r="D1004" s="170" t="s">
        <v>380</v>
      </c>
      <c r="E1004" s="216">
        <v>1.54</v>
      </c>
      <c r="F1004" s="168" t="s">
        <v>430</v>
      </c>
      <c r="G1004" s="196">
        <f t="shared" ref="G1004:G1029" si="54">F1004*E1004</f>
        <v>3.0800000000000003E-3</v>
      </c>
      <c r="H1004" s="173"/>
    </row>
    <row r="1005" spans="1:8">
      <c r="A1005" s="166"/>
      <c r="B1005" s="165" t="s">
        <v>634</v>
      </c>
      <c r="C1005" s="165"/>
      <c r="D1005" s="170" t="s">
        <v>380</v>
      </c>
      <c r="E1005" s="347">
        <v>0.96</v>
      </c>
      <c r="F1005" s="168">
        <v>4.9199999999999999E-3</v>
      </c>
      <c r="G1005" s="196">
        <f t="shared" si="54"/>
        <v>4.7231999999999994E-3</v>
      </c>
      <c r="H1005" s="173"/>
    </row>
    <row r="1006" spans="1:8">
      <c r="A1006" s="166"/>
      <c r="B1006" s="165" t="s">
        <v>678</v>
      </c>
      <c r="C1006" s="165"/>
      <c r="D1006" s="170" t="s">
        <v>380</v>
      </c>
      <c r="E1006" s="347">
        <v>0.77</v>
      </c>
      <c r="F1006" s="168" t="s">
        <v>393</v>
      </c>
      <c r="G1006" s="196">
        <f t="shared" si="54"/>
        <v>1.54E-2</v>
      </c>
      <c r="H1006" s="173"/>
    </row>
    <row r="1007" spans="1:8">
      <c r="A1007" s="166"/>
      <c r="B1007" s="165" t="s">
        <v>679</v>
      </c>
      <c r="C1007" s="165"/>
      <c r="D1007" s="170" t="s">
        <v>380</v>
      </c>
      <c r="E1007" s="347">
        <v>1.39</v>
      </c>
      <c r="F1007" s="168">
        <v>4.9199999999999999E-3</v>
      </c>
      <c r="G1007" s="196">
        <f t="shared" si="54"/>
        <v>6.838799999999999E-3</v>
      </c>
      <c r="H1007" s="173"/>
    </row>
    <row r="1008" spans="1:8">
      <c r="A1008" s="166"/>
      <c r="B1008" s="165" t="s">
        <v>519</v>
      </c>
      <c r="C1008" s="165"/>
      <c r="D1008" s="170" t="s">
        <v>380</v>
      </c>
      <c r="E1008" s="347">
        <v>1.2</v>
      </c>
      <c r="F1008" s="168">
        <v>0.02</v>
      </c>
      <c r="G1008" s="196">
        <f t="shared" si="54"/>
        <v>2.4E-2</v>
      </c>
      <c r="H1008" s="173"/>
    </row>
    <row r="1009" spans="1:8">
      <c r="A1009" s="166"/>
      <c r="B1009" s="165" t="s">
        <v>464</v>
      </c>
      <c r="C1009" s="165"/>
      <c r="D1009" s="170" t="s">
        <v>380</v>
      </c>
      <c r="E1009" s="347">
        <v>1.87</v>
      </c>
      <c r="F1009" s="168">
        <v>0.05</v>
      </c>
      <c r="G1009" s="196">
        <f t="shared" si="54"/>
        <v>9.3500000000000014E-2</v>
      </c>
      <c r="H1009" s="173"/>
    </row>
    <row r="1010" spans="1:8">
      <c r="A1010" s="166"/>
      <c r="B1010" s="165" t="s">
        <v>752</v>
      </c>
      <c r="C1010" s="165"/>
      <c r="D1010" s="170" t="s">
        <v>380</v>
      </c>
      <c r="E1010" s="347">
        <v>1.7</v>
      </c>
      <c r="F1010" s="168" t="s">
        <v>666</v>
      </c>
      <c r="G1010" s="217">
        <f t="shared" si="54"/>
        <v>5.0999999999999997E-2</v>
      </c>
      <c r="H1010" s="173"/>
    </row>
    <row r="1011" spans="1:8">
      <c r="A1011" s="166"/>
      <c r="B1011" s="165" t="s">
        <v>753</v>
      </c>
      <c r="C1011" s="165"/>
      <c r="D1011" s="170" t="s">
        <v>380</v>
      </c>
      <c r="E1011" s="216">
        <v>3.74</v>
      </c>
      <c r="F1011" s="168" t="s">
        <v>385</v>
      </c>
      <c r="G1011" s="217">
        <f t="shared" si="54"/>
        <v>1.8700000000000001E-2</v>
      </c>
      <c r="H1011" s="190"/>
    </row>
    <row r="1012" spans="1:8">
      <c r="A1012" s="165" t="s">
        <v>680</v>
      </c>
      <c r="B1012" s="166"/>
      <c r="C1012" s="166"/>
      <c r="D1012" s="167"/>
      <c r="E1012" s="348"/>
      <c r="F1012" s="174"/>
      <c r="G1012" s="217"/>
      <c r="H1012" s="190"/>
    </row>
    <row r="1013" spans="1:8">
      <c r="A1013" s="166"/>
      <c r="B1013" s="165" t="s">
        <v>553</v>
      </c>
      <c r="C1013" s="165"/>
      <c r="D1013" s="170" t="s">
        <v>380</v>
      </c>
      <c r="E1013" s="216">
        <v>1.54</v>
      </c>
      <c r="F1013" s="168" t="s">
        <v>681</v>
      </c>
      <c r="G1013" s="217">
        <f t="shared" si="54"/>
        <v>1.3860000000000001E-3</v>
      </c>
      <c r="H1013" s="190"/>
    </row>
    <row r="1014" spans="1:8">
      <c r="A1014" s="166"/>
      <c r="B1014" s="165" t="s">
        <v>415</v>
      </c>
      <c r="C1014" s="165"/>
      <c r="D1014" s="170" t="s">
        <v>380</v>
      </c>
      <c r="E1014" s="347">
        <v>3.08</v>
      </c>
      <c r="F1014" s="168" t="s">
        <v>393</v>
      </c>
      <c r="G1014" s="217">
        <f t="shared" si="54"/>
        <v>6.1600000000000002E-2</v>
      </c>
      <c r="H1014" s="173"/>
    </row>
    <row r="1015" spans="1:8">
      <c r="A1015" s="166"/>
      <c r="B1015" s="165" t="s">
        <v>505</v>
      </c>
      <c r="C1015" s="165"/>
      <c r="D1015" s="170" t="s">
        <v>380</v>
      </c>
      <c r="E1015" s="216">
        <v>3.21</v>
      </c>
      <c r="F1015" s="168" t="s">
        <v>389</v>
      </c>
      <c r="G1015" s="217">
        <f t="shared" si="54"/>
        <v>3.2100000000000002E-3</v>
      </c>
      <c r="H1015" s="173"/>
    </row>
    <row r="1016" spans="1:8">
      <c r="A1016" s="165" t="s">
        <v>396</v>
      </c>
      <c r="B1016" s="166"/>
      <c r="C1016" s="166"/>
      <c r="D1016" s="167"/>
      <c r="E1016" s="348"/>
      <c r="F1016" s="174"/>
      <c r="G1016" s="217"/>
      <c r="H1016" s="173"/>
    </row>
    <row r="1017" spans="1:8">
      <c r="A1017" s="166"/>
      <c r="B1017" s="165" t="s">
        <v>470</v>
      </c>
      <c r="C1017" s="165"/>
      <c r="D1017" s="170" t="s">
        <v>380</v>
      </c>
      <c r="E1017" s="189">
        <v>2.1800000000000002</v>
      </c>
      <c r="F1017" s="168">
        <v>7.0000000000000007E-2</v>
      </c>
      <c r="G1017" s="217">
        <f t="shared" si="54"/>
        <v>0.15260000000000001</v>
      </c>
      <c r="H1017" s="190"/>
    </row>
    <row r="1018" spans="1:8">
      <c r="A1018" s="166"/>
      <c r="B1018" s="165" t="s">
        <v>398</v>
      </c>
      <c r="C1018" s="165"/>
      <c r="D1018" s="170"/>
      <c r="E1018" s="189"/>
      <c r="F1018" s="168"/>
      <c r="G1018" s="217"/>
      <c r="H1018" s="190"/>
    </row>
    <row r="1019" spans="1:8">
      <c r="A1019" s="165" t="s">
        <v>432</v>
      </c>
      <c r="B1019" s="166"/>
      <c r="C1019" s="166"/>
      <c r="D1019" s="167"/>
      <c r="E1019" s="348"/>
      <c r="F1019" s="174"/>
      <c r="G1019" s="217"/>
      <c r="H1019" s="173"/>
    </row>
    <row r="1020" spans="1:8">
      <c r="A1020" s="166"/>
      <c r="B1020" s="165" t="s">
        <v>432</v>
      </c>
      <c r="C1020" s="165"/>
      <c r="D1020" s="170" t="s">
        <v>380</v>
      </c>
      <c r="E1020" s="189">
        <v>3.39</v>
      </c>
      <c r="F1020" s="168">
        <v>0.04</v>
      </c>
      <c r="G1020" s="217">
        <f t="shared" si="54"/>
        <v>0.1356</v>
      </c>
      <c r="H1020" s="190"/>
    </row>
    <row r="1021" spans="1:8">
      <c r="A1021" s="165" t="s">
        <v>754</v>
      </c>
      <c r="B1021" s="166"/>
      <c r="C1021" s="166"/>
      <c r="D1021" s="167"/>
      <c r="E1021" s="348"/>
      <c r="F1021" s="174"/>
      <c r="G1021" s="217"/>
      <c r="H1021" s="190"/>
    </row>
    <row r="1022" spans="1:8">
      <c r="A1022" s="166"/>
      <c r="B1022" s="165" t="s">
        <v>495</v>
      </c>
      <c r="C1022" s="165"/>
      <c r="D1022" s="170" t="s">
        <v>380</v>
      </c>
      <c r="E1022" s="216">
        <v>0.88</v>
      </c>
      <c r="F1022" s="168">
        <v>4.4999999999999998E-2</v>
      </c>
      <c r="G1022" s="217">
        <f t="shared" si="54"/>
        <v>3.9599999999999996E-2</v>
      </c>
      <c r="H1022" s="190"/>
    </row>
    <row r="1023" spans="1:8">
      <c r="A1023" s="166"/>
      <c r="B1023" s="165" t="s">
        <v>561</v>
      </c>
      <c r="C1023" s="165"/>
      <c r="D1023" s="170" t="s">
        <v>380</v>
      </c>
      <c r="E1023" s="216">
        <v>0.88</v>
      </c>
      <c r="F1023" s="168">
        <v>2.8000000000000001E-2</v>
      </c>
      <c r="G1023" s="217">
        <f t="shared" si="54"/>
        <v>2.4640000000000002E-2</v>
      </c>
      <c r="H1023" s="173"/>
    </row>
    <row r="1024" spans="1:8">
      <c r="A1024" s="166"/>
      <c r="B1024" s="165" t="s">
        <v>402</v>
      </c>
      <c r="C1024" s="165"/>
      <c r="D1024" s="170" t="s">
        <v>380</v>
      </c>
      <c r="E1024" s="216">
        <v>0.83</v>
      </c>
      <c r="F1024" s="168">
        <v>2.8E-3</v>
      </c>
      <c r="G1024" s="217">
        <f t="shared" si="54"/>
        <v>2.3239999999999997E-3</v>
      </c>
      <c r="H1024" s="173"/>
    </row>
    <row r="1025" spans="1:8">
      <c r="A1025" s="165" t="s">
        <v>456</v>
      </c>
      <c r="B1025" s="166"/>
      <c r="C1025" s="166"/>
      <c r="D1025" s="170"/>
      <c r="E1025" s="347"/>
      <c r="F1025" s="174"/>
      <c r="G1025" s="217"/>
      <c r="H1025" s="173"/>
    </row>
    <row r="1026" spans="1:8" s="13" customFormat="1">
      <c r="A1026" s="166"/>
      <c r="B1026" s="165" t="s">
        <v>741</v>
      </c>
      <c r="C1026" s="165"/>
      <c r="D1026" s="170" t="s">
        <v>380</v>
      </c>
      <c r="E1026" s="347">
        <v>1.21</v>
      </c>
      <c r="F1026" s="168">
        <v>0.15</v>
      </c>
      <c r="G1026" s="217">
        <f t="shared" si="54"/>
        <v>0.18149999999999999</v>
      </c>
      <c r="H1026" s="190"/>
    </row>
    <row r="1027" spans="1:8" s="13" customFormat="1">
      <c r="A1027" s="165" t="s">
        <v>574</v>
      </c>
      <c r="B1027" s="166"/>
      <c r="C1027" s="166"/>
      <c r="D1027" s="167"/>
      <c r="E1027" s="348"/>
      <c r="F1027" s="174"/>
      <c r="G1027" s="217"/>
      <c r="H1027" s="190"/>
    </row>
    <row r="1028" spans="1:8" s="13" customFormat="1">
      <c r="A1028" s="166"/>
      <c r="B1028" s="165" t="s">
        <v>575</v>
      </c>
      <c r="C1028" s="165"/>
      <c r="D1028" s="170" t="s">
        <v>380</v>
      </c>
      <c r="E1028" s="216">
        <v>11.9</v>
      </c>
      <c r="F1028" s="168">
        <v>8.9999999999999993E-3</v>
      </c>
      <c r="G1028" s="217">
        <f t="shared" si="54"/>
        <v>0.1071</v>
      </c>
      <c r="H1028" s="190"/>
    </row>
    <row r="1029" spans="1:8" s="13" customFormat="1">
      <c r="A1029" s="166"/>
      <c r="B1029" s="165" t="s">
        <v>409</v>
      </c>
      <c r="C1029" s="165"/>
      <c r="D1029" s="170" t="s">
        <v>380</v>
      </c>
      <c r="E1029" s="223">
        <v>1.52</v>
      </c>
      <c r="F1029" s="168">
        <v>0.02</v>
      </c>
      <c r="G1029" s="217">
        <f t="shared" si="54"/>
        <v>3.04E-2</v>
      </c>
      <c r="H1029" s="173"/>
    </row>
    <row r="1030" spans="1:8" s="13" customFormat="1">
      <c r="A1030" s="166" t="s">
        <v>367</v>
      </c>
      <c r="B1030" s="165"/>
      <c r="C1030" s="165"/>
      <c r="D1030" s="170"/>
      <c r="E1030" s="189"/>
      <c r="F1030" s="168"/>
      <c r="G1030" s="149"/>
      <c r="H1030" s="173"/>
    </row>
    <row r="1031" spans="1:8" s="13" customFormat="1">
      <c r="A1031" s="165"/>
      <c r="B1031" s="165" t="s">
        <v>368</v>
      </c>
      <c r="C1031" s="165"/>
      <c r="D1031" s="176" t="s">
        <v>380</v>
      </c>
      <c r="E1031" s="345">
        <v>7.37</v>
      </c>
      <c r="F1031" s="177">
        <v>2.385E-3</v>
      </c>
      <c r="G1031" s="178">
        <f t="shared" ref="G1031:G1038" si="55">F1031*E1031</f>
        <v>1.7577450000000001E-2</v>
      </c>
      <c r="H1031" s="173"/>
    </row>
    <row r="1032" spans="1:8" s="13" customFormat="1">
      <c r="A1032" s="179"/>
      <c r="B1032" s="179" t="s">
        <v>463</v>
      </c>
      <c r="C1032" s="179"/>
      <c r="D1032" s="176" t="s">
        <v>380</v>
      </c>
      <c r="E1032" s="345">
        <v>0.96</v>
      </c>
      <c r="F1032" s="177">
        <v>4.9290899999999997E-3</v>
      </c>
      <c r="G1032" s="178">
        <f t="shared" si="55"/>
        <v>4.7319263999999993E-3</v>
      </c>
      <c r="H1032" s="173"/>
    </row>
    <row r="1033" spans="1:8" s="13" customFormat="1">
      <c r="A1033" s="179"/>
      <c r="B1033" s="179" t="s">
        <v>411</v>
      </c>
      <c r="C1033" s="179"/>
      <c r="D1033" s="176" t="s">
        <v>395</v>
      </c>
      <c r="E1033" s="225">
        <v>1.65</v>
      </c>
      <c r="F1033" s="177">
        <v>0.01</v>
      </c>
      <c r="G1033" s="178">
        <f t="shared" si="55"/>
        <v>1.6500000000000001E-2</v>
      </c>
      <c r="H1033" s="173"/>
    </row>
    <row r="1034" spans="1:8" s="13" customFormat="1">
      <c r="A1034" s="179"/>
      <c r="B1034" s="179" t="s">
        <v>443</v>
      </c>
      <c r="C1034" s="179"/>
      <c r="D1034" s="176" t="s">
        <v>380</v>
      </c>
      <c r="E1034" s="345">
        <v>0.55000000000000004</v>
      </c>
      <c r="F1034" s="177">
        <v>7.1599999999999997E-3</v>
      </c>
      <c r="G1034" s="178">
        <f t="shared" si="55"/>
        <v>3.9380000000000005E-3</v>
      </c>
      <c r="H1034" s="173"/>
    </row>
    <row r="1035" spans="1:8" s="13" customFormat="1">
      <c r="A1035" s="179"/>
      <c r="B1035" s="179" t="s">
        <v>576</v>
      </c>
      <c r="C1035" s="179"/>
      <c r="D1035" s="176" t="s">
        <v>414</v>
      </c>
      <c r="E1035" s="225">
        <v>5.0000000000000001E-3</v>
      </c>
      <c r="F1035" s="177">
        <v>0.95454499999999998</v>
      </c>
      <c r="G1035" s="178">
        <f t="shared" si="55"/>
        <v>4.7727250000000002E-3</v>
      </c>
      <c r="H1035" s="173"/>
    </row>
    <row r="1036" spans="1:8" s="13" customFormat="1">
      <c r="A1036" s="179"/>
      <c r="B1036" s="179" t="s">
        <v>415</v>
      </c>
      <c r="C1036" s="179"/>
      <c r="D1036" s="176" t="s">
        <v>380</v>
      </c>
      <c r="E1036" s="345">
        <v>3.08</v>
      </c>
      <c r="F1036" s="177">
        <v>0.01</v>
      </c>
      <c r="G1036" s="178">
        <f t="shared" si="55"/>
        <v>3.0800000000000001E-2</v>
      </c>
      <c r="H1036" s="173"/>
    </row>
    <row r="1037" spans="1:8" s="151" customFormat="1">
      <c r="A1037" s="179"/>
      <c r="B1037" s="179" t="s">
        <v>416</v>
      </c>
      <c r="C1037" s="179"/>
      <c r="D1037" s="176" t="s">
        <v>395</v>
      </c>
      <c r="E1037" s="345">
        <v>2.85</v>
      </c>
      <c r="F1037" s="177">
        <v>0.01</v>
      </c>
      <c r="G1037" s="178">
        <f t="shared" si="55"/>
        <v>2.8500000000000001E-2</v>
      </c>
      <c r="H1037" s="173"/>
    </row>
    <row r="1038" spans="1:8">
      <c r="A1038" s="179"/>
      <c r="B1038" s="179" t="s">
        <v>417</v>
      </c>
      <c r="C1038" s="179"/>
      <c r="D1038" s="176" t="s">
        <v>395</v>
      </c>
      <c r="E1038" s="225">
        <v>16.940000000000001</v>
      </c>
      <c r="F1038" s="177">
        <v>0.01</v>
      </c>
      <c r="G1038" s="178">
        <f t="shared" si="55"/>
        <v>0.16940000000000002</v>
      </c>
      <c r="H1038" s="173"/>
    </row>
    <row r="1039" spans="1:8">
      <c r="A1039" s="180" t="s">
        <v>755</v>
      </c>
      <c r="B1039" s="181"/>
      <c r="C1039" s="181"/>
      <c r="D1039" s="182"/>
      <c r="E1039" s="346"/>
      <c r="F1039" s="183"/>
      <c r="G1039" s="184">
        <f>SUM(G1003:G1038)</f>
        <v>4.3821221014000011</v>
      </c>
      <c r="H1039" s="191"/>
    </row>
    <row r="1040" spans="1:8" s="10" customFormat="1">
      <c r="A1040" s="8"/>
      <c r="B1040" s="192"/>
      <c r="C1040" s="192"/>
      <c r="D1040" s="212"/>
      <c r="E1040" s="212"/>
      <c r="F1040" s="214"/>
      <c r="G1040" s="338"/>
      <c r="H1040" s="215"/>
    </row>
    <row r="1041" spans="1:8" ht="45">
      <c r="A1041" s="399" t="s">
        <v>756</v>
      </c>
      <c r="B1041" s="399"/>
      <c r="C1041" s="399"/>
      <c r="D1041" s="400" t="s">
        <v>376</v>
      </c>
      <c r="E1041" s="400" t="s">
        <v>91</v>
      </c>
      <c r="F1041" s="401" t="s">
        <v>92</v>
      </c>
      <c r="G1041" s="402" t="s">
        <v>93</v>
      </c>
      <c r="H1041" s="403" t="s">
        <v>377</v>
      </c>
    </row>
    <row r="1042" spans="1:8">
      <c r="A1042" s="165" t="s">
        <v>757</v>
      </c>
      <c r="B1042" s="166"/>
      <c r="C1042" s="166"/>
      <c r="D1042" s="167"/>
      <c r="E1042" s="343"/>
      <c r="F1042" s="174"/>
      <c r="G1042" s="170"/>
      <c r="H1042" s="173"/>
    </row>
    <row r="1043" spans="1:8">
      <c r="A1043" s="166"/>
      <c r="B1043" s="195" t="s">
        <v>758</v>
      </c>
      <c r="C1043" s="195"/>
      <c r="D1043" s="170" t="s">
        <v>380</v>
      </c>
      <c r="E1043" s="216">
        <v>13.69</v>
      </c>
      <c r="F1043" s="168">
        <v>0.21</v>
      </c>
      <c r="G1043" s="197">
        <f>F1043*E1043</f>
        <v>2.8748999999999998</v>
      </c>
      <c r="H1043" s="190">
        <v>120</v>
      </c>
    </row>
    <row r="1044" spans="1:8">
      <c r="A1044" s="166"/>
      <c r="B1044" s="165" t="s">
        <v>492</v>
      </c>
      <c r="C1044" s="165"/>
      <c r="D1044" s="170" t="s">
        <v>395</v>
      </c>
      <c r="E1044" s="347">
        <v>2.06</v>
      </c>
      <c r="F1044" s="168">
        <v>0.02</v>
      </c>
      <c r="G1044" s="197">
        <f>F1044*E1044</f>
        <v>4.1200000000000001E-2</v>
      </c>
      <c r="H1044" s="190"/>
    </row>
    <row r="1045" spans="1:8">
      <c r="A1045" s="166"/>
      <c r="B1045" s="195" t="s">
        <v>508</v>
      </c>
      <c r="C1045" s="195"/>
      <c r="D1045" s="170" t="s">
        <v>414</v>
      </c>
      <c r="E1045" s="347">
        <v>0.21</v>
      </c>
      <c r="F1045" s="168">
        <v>0.2</v>
      </c>
      <c r="G1045" s="197">
        <f>F1045*E1045</f>
        <v>4.2000000000000003E-2</v>
      </c>
      <c r="H1045" s="190"/>
    </row>
    <row r="1046" spans="1:8">
      <c r="A1046" s="166"/>
      <c r="B1046" s="195" t="s">
        <v>555</v>
      </c>
      <c r="C1046" s="195"/>
      <c r="D1046" s="170" t="s">
        <v>380</v>
      </c>
      <c r="E1046" s="216">
        <v>1.76</v>
      </c>
      <c r="F1046" s="168">
        <v>0.04</v>
      </c>
      <c r="G1046" s="197">
        <f>F1046*E1046</f>
        <v>7.0400000000000004E-2</v>
      </c>
      <c r="H1046" s="190"/>
    </row>
    <row r="1047" spans="1:8">
      <c r="A1047" s="166"/>
      <c r="B1047" s="195" t="s">
        <v>556</v>
      </c>
      <c r="C1047" s="195"/>
      <c r="D1047" s="170" t="s">
        <v>380</v>
      </c>
      <c r="E1047" s="347">
        <v>1.8</v>
      </c>
      <c r="F1047" s="168">
        <v>0.01</v>
      </c>
      <c r="G1047" s="197">
        <f>F1047*E1047</f>
        <v>1.8000000000000002E-2</v>
      </c>
      <c r="H1047" s="190"/>
    </row>
    <row r="1048" spans="1:8">
      <c r="A1048" s="165" t="s">
        <v>759</v>
      </c>
      <c r="B1048" s="166"/>
      <c r="C1048" s="166"/>
      <c r="D1048" s="167"/>
      <c r="E1048" s="348"/>
      <c r="F1048" s="174"/>
      <c r="G1048" s="217"/>
      <c r="H1048" s="173"/>
    </row>
    <row r="1049" spans="1:8">
      <c r="A1049" s="166"/>
      <c r="B1049" s="165" t="s">
        <v>760</v>
      </c>
      <c r="C1049" s="165"/>
      <c r="D1049" s="170" t="s">
        <v>380</v>
      </c>
      <c r="E1049" s="347">
        <v>1.25</v>
      </c>
      <c r="F1049" s="168">
        <v>0.13</v>
      </c>
      <c r="G1049" s="217">
        <f t="shared" ref="G1049:G1065" si="56">F1049*E1049</f>
        <v>0.16250000000000001</v>
      </c>
      <c r="H1049" s="173"/>
    </row>
    <row r="1050" spans="1:8">
      <c r="A1050" s="166"/>
      <c r="B1050" s="165" t="s">
        <v>463</v>
      </c>
      <c r="C1050" s="165"/>
      <c r="D1050" s="170" t="s">
        <v>380</v>
      </c>
      <c r="E1050" s="347">
        <v>0.96</v>
      </c>
      <c r="F1050" s="168">
        <v>4.9199999999999999E-3</v>
      </c>
      <c r="G1050" s="217">
        <f t="shared" si="56"/>
        <v>4.7231999999999994E-3</v>
      </c>
      <c r="H1050" s="173"/>
    </row>
    <row r="1051" spans="1:8">
      <c r="A1051" s="166"/>
      <c r="B1051" s="165" t="s">
        <v>464</v>
      </c>
      <c r="C1051" s="165"/>
      <c r="D1051" s="170" t="s">
        <v>380</v>
      </c>
      <c r="E1051" s="347">
        <v>1.87</v>
      </c>
      <c r="F1051" s="168">
        <v>4.9199999999999999E-3</v>
      </c>
      <c r="G1051" s="217">
        <f t="shared" si="56"/>
        <v>9.2004000000000009E-3</v>
      </c>
      <c r="H1051" s="173"/>
    </row>
    <row r="1052" spans="1:8">
      <c r="A1052" s="165" t="s">
        <v>396</v>
      </c>
      <c r="B1052" s="166"/>
      <c r="C1052" s="166"/>
      <c r="D1052" s="167"/>
      <c r="E1052" s="348"/>
      <c r="F1052" s="174"/>
      <c r="G1052" s="217"/>
      <c r="H1052" s="190"/>
    </row>
    <row r="1053" spans="1:8">
      <c r="A1053" s="166"/>
      <c r="B1053" s="165" t="s">
        <v>761</v>
      </c>
      <c r="C1053" s="165"/>
      <c r="D1053" s="170" t="s">
        <v>380</v>
      </c>
      <c r="E1053" s="189">
        <v>2.1800000000000002</v>
      </c>
      <c r="F1053" s="168">
        <v>7.0000000000000007E-2</v>
      </c>
      <c r="G1053" s="217">
        <f t="shared" si="56"/>
        <v>0.15260000000000001</v>
      </c>
      <c r="H1053" s="190"/>
    </row>
    <row r="1054" spans="1:8">
      <c r="A1054" s="166"/>
      <c r="B1054" s="165" t="s">
        <v>398</v>
      </c>
      <c r="C1054" s="165"/>
      <c r="D1054" s="170"/>
      <c r="E1054" s="189"/>
      <c r="F1054" s="168"/>
      <c r="G1054" s="217"/>
      <c r="H1054" s="190"/>
    </row>
    <row r="1055" spans="1:8">
      <c r="A1055" s="165" t="s">
        <v>432</v>
      </c>
      <c r="B1055" s="166"/>
      <c r="C1055" s="166"/>
      <c r="D1055" s="167"/>
      <c r="E1055" s="348"/>
      <c r="F1055" s="174"/>
      <c r="G1055" s="217"/>
      <c r="H1055" s="173"/>
    </row>
    <row r="1056" spans="1:8">
      <c r="A1056" s="166"/>
      <c r="B1056" s="165" t="s">
        <v>433</v>
      </c>
      <c r="C1056" s="165"/>
      <c r="D1056" s="170" t="s">
        <v>380</v>
      </c>
      <c r="E1056" s="189">
        <v>3.39</v>
      </c>
      <c r="F1056" s="168">
        <v>0.04</v>
      </c>
      <c r="G1056" s="217">
        <f t="shared" si="56"/>
        <v>0.1356</v>
      </c>
      <c r="H1056" s="190"/>
    </row>
    <row r="1057" spans="1:8" ht="17.25" customHeight="1">
      <c r="A1057" s="165" t="s">
        <v>762</v>
      </c>
      <c r="B1057" s="166"/>
      <c r="C1057" s="166"/>
      <c r="D1057" s="167"/>
      <c r="E1057" s="348"/>
      <c r="F1057" s="174"/>
      <c r="G1057" s="217"/>
      <c r="H1057" s="190"/>
    </row>
    <row r="1058" spans="1:8">
      <c r="A1058" s="166"/>
      <c r="B1058" s="165" t="s">
        <v>763</v>
      </c>
      <c r="C1058" s="165"/>
      <c r="D1058" s="170" t="s">
        <v>380</v>
      </c>
      <c r="E1058" s="347">
        <v>1.1599999999999999</v>
      </c>
      <c r="F1058" s="168">
        <v>0.08</v>
      </c>
      <c r="G1058" s="217">
        <f t="shared" si="56"/>
        <v>9.2799999999999994E-2</v>
      </c>
      <c r="H1058" s="190"/>
    </row>
    <row r="1059" spans="1:8">
      <c r="A1059" s="166"/>
      <c r="B1059" s="165" t="s">
        <v>764</v>
      </c>
      <c r="C1059" s="165"/>
      <c r="D1059" s="170" t="s">
        <v>380</v>
      </c>
      <c r="E1059" s="216">
        <v>3.24</v>
      </c>
      <c r="F1059" s="168">
        <v>0.01</v>
      </c>
      <c r="G1059" s="217">
        <f t="shared" si="56"/>
        <v>3.2400000000000005E-2</v>
      </c>
      <c r="H1059" s="173"/>
    </row>
    <row r="1060" spans="1:8">
      <c r="A1060" s="166"/>
      <c r="B1060" s="165" t="s">
        <v>615</v>
      </c>
      <c r="C1060" s="165"/>
      <c r="D1060" s="170" t="s">
        <v>380</v>
      </c>
      <c r="E1060" s="216">
        <v>3.99</v>
      </c>
      <c r="F1060" s="168" t="s">
        <v>393</v>
      </c>
      <c r="G1060" s="217">
        <f t="shared" si="56"/>
        <v>7.980000000000001E-2</v>
      </c>
      <c r="H1060" s="173"/>
    </row>
    <row r="1061" spans="1:8">
      <c r="A1061" s="165" t="s">
        <v>406</v>
      </c>
      <c r="B1061" s="166"/>
      <c r="C1061" s="166"/>
      <c r="D1061" s="167"/>
      <c r="E1061" s="348"/>
      <c r="F1061" s="174"/>
      <c r="G1061" s="217"/>
      <c r="H1061" s="173"/>
    </row>
    <row r="1062" spans="1:8" s="13" customFormat="1">
      <c r="A1062" s="166"/>
      <c r="B1062" s="165" t="s">
        <v>406</v>
      </c>
      <c r="C1062" s="165"/>
      <c r="D1062" s="170" t="s">
        <v>380</v>
      </c>
      <c r="E1062" s="347">
        <v>1.17</v>
      </c>
      <c r="F1062" s="168">
        <v>0.15</v>
      </c>
      <c r="G1062" s="217">
        <f t="shared" si="56"/>
        <v>0.17549999999999999</v>
      </c>
      <c r="H1062" s="190"/>
    </row>
    <row r="1063" spans="1:8" s="13" customFormat="1">
      <c r="A1063" s="165" t="s">
        <v>458</v>
      </c>
      <c r="B1063" s="166"/>
      <c r="C1063" s="166"/>
      <c r="D1063" s="167"/>
      <c r="E1063" s="348"/>
      <c r="F1063" s="174"/>
      <c r="G1063" s="217"/>
      <c r="H1063" s="190"/>
    </row>
    <row r="1064" spans="1:8" s="13" customFormat="1">
      <c r="A1064" s="166"/>
      <c r="B1064" s="165" t="s">
        <v>611</v>
      </c>
      <c r="C1064" s="165"/>
      <c r="D1064" s="170" t="s">
        <v>380</v>
      </c>
      <c r="E1064" s="216">
        <v>9.8800000000000008</v>
      </c>
      <c r="F1064" s="168">
        <v>8.9999999999999993E-3</v>
      </c>
      <c r="G1064" s="217">
        <f t="shared" si="56"/>
        <v>8.8919999999999999E-2</v>
      </c>
      <c r="H1064" s="173"/>
    </row>
    <row r="1065" spans="1:8" s="13" customFormat="1">
      <c r="A1065" s="166"/>
      <c r="B1065" s="165" t="s">
        <v>515</v>
      </c>
      <c r="C1065" s="165"/>
      <c r="D1065" s="170" t="s">
        <v>380</v>
      </c>
      <c r="E1065" s="223">
        <v>1.52</v>
      </c>
      <c r="F1065" s="168">
        <v>0.02</v>
      </c>
      <c r="G1065" s="217">
        <f t="shared" si="56"/>
        <v>3.04E-2</v>
      </c>
      <c r="H1065" s="173"/>
    </row>
    <row r="1066" spans="1:8" s="13" customFormat="1">
      <c r="A1066" s="166" t="s">
        <v>367</v>
      </c>
      <c r="B1066" s="165"/>
      <c r="C1066" s="165"/>
      <c r="D1066" s="170"/>
      <c r="E1066" s="189"/>
      <c r="F1066" s="168"/>
      <c r="G1066" s="149"/>
      <c r="H1066" s="173"/>
    </row>
    <row r="1067" spans="1:8" s="13" customFormat="1">
      <c r="A1067" s="165"/>
      <c r="B1067" s="165" t="s">
        <v>442</v>
      </c>
      <c r="C1067" s="165"/>
      <c r="D1067" s="176" t="s">
        <v>380</v>
      </c>
      <c r="E1067" s="345">
        <v>7.37</v>
      </c>
      <c r="F1067" s="177">
        <v>2.385E-3</v>
      </c>
      <c r="G1067" s="178">
        <f t="shared" ref="G1067:G1074" si="57">F1067*E1067</f>
        <v>1.7577450000000001E-2</v>
      </c>
      <c r="H1067" s="173"/>
    </row>
    <row r="1068" spans="1:8" s="13" customFormat="1">
      <c r="A1068" s="179"/>
      <c r="B1068" s="179" t="s">
        <v>382</v>
      </c>
      <c r="C1068" s="179"/>
      <c r="D1068" s="176" t="s">
        <v>380</v>
      </c>
      <c r="E1068" s="345">
        <v>0.96</v>
      </c>
      <c r="F1068" s="177">
        <v>4.9290899999999997E-3</v>
      </c>
      <c r="G1068" s="178">
        <f t="shared" si="57"/>
        <v>4.7319263999999993E-3</v>
      </c>
      <c r="H1068" s="173"/>
    </row>
    <row r="1069" spans="1:8" s="13" customFormat="1">
      <c r="A1069" s="179"/>
      <c r="B1069" s="179" t="s">
        <v>411</v>
      </c>
      <c r="C1069" s="179"/>
      <c r="D1069" s="176" t="s">
        <v>395</v>
      </c>
      <c r="E1069" s="225">
        <v>1.65</v>
      </c>
      <c r="F1069" s="177">
        <v>0.01</v>
      </c>
      <c r="G1069" s="178">
        <f t="shared" si="57"/>
        <v>1.6500000000000001E-2</v>
      </c>
      <c r="H1069" s="173"/>
    </row>
    <row r="1070" spans="1:8" s="13" customFormat="1">
      <c r="A1070" s="179"/>
      <c r="B1070" s="179" t="s">
        <v>412</v>
      </c>
      <c r="C1070" s="179"/>
      <c r="D1070" s="176" t="s">
        <v>380</v>
      </c>
      <c r="E1070" s="345">
        <v>0.55000000000000004</v>
      </c>
      <c r="F1070" s="177">
        <v>7.1599999999999997E-3</v>
      </c>
      <c r="G1070" s="178">
        <f t="shared" si="57"/>
        <v>3.9380000000000005E-3</v>
      </c>
      <c r="H1070" s="173"/>
    </row>
    <row r="1071" spans="1:8" s="13" customFormat="1">
      <c r="A1071" s="179"/>
      <c r="B1071" s="179" t="s">
        <v>413</v>
      </c>
      <c r="C1071" s="179"/>
      <c r="D1071" s="176" t="s">
        <v>414</v>
      </c>
      <c r="E1071" s="225">
        <v>5.0000000000000001E-3</v>
      </c>
      <c r="F1071" s="177">
        <v>0.95454499999999998</v>
      </c>
      <c r="G1071" s="178">
        <f t="shared" si="57"/>
        <v>4.7727250000000002E-3</v>
      </c>
      <c r="H1071" s="173"/>
    </row>
    <row r="1072" spans="1:8" s="13" customFormat="1">
      <c r="A1072" s="179"/>
      <c r="B1072" s="179" t="s">
        <v>415</v>
      </c>
      <c r="C1072" s="179"/>
      <c r="D1072" s="176" t="s">
        <v>380</v>
      </c>
      <c r="E1072" s="345">
        <v>3.08</v>
      </c>
      <c r="F1072" s="177">
        <v>0.01</v>
      </c>
      <c r="G1072" s="178">
        <f t="shared" si="57"/>
        <v>3.0800000000000001E-2</v>
      </c>
      <c r="H1072" s="173"/>
    </row>
    <row r="1073" spans="1:8" s="13" customFormat="1">
      <c r="A1073" s="179"/>
      <c r="B1073" s="179" t="s">
        <v>416</v>
      </c>
      <c r="C1073" s="179"/>
      <c r="D1073" s="176" t="s">
        <v>395</v>
      </c>
      <c r="E1073" s="345">
        <v>2.85</v>
      </c>
      <c r="F1073" s="177">
        <v>0.01</v>
      </c>
      <c r="G1073" s="178">
        <f t="shared" si="57"/>
        <v>2.8500000000000001E-2</v>
      </c>
      <c r="H1073" s="173"/>
    </row>
    <row r="1074" spans="1:8">
      <c r="A1074" s="179"/>
      <c r="B1074" s="179" t="s">
        <v>417</v>
      </c>
      <c r="C1074" s="179"/>
      <c r="D1074" s="176" t="s">
        <v>395</v>
      </c>
      <c r="E1074" s="225">
        <v>16.940000000000001</v>
      </c>
      <c r="F1074" s="177">
        <v>0.01</v>
      </c>
      <c r="G1074" s="178">
        <f t="shared" si="57"/>
        <v>0.16940000000000002</v>
      </c>
      <c r="H1074" s="173"/>
    </row>
    <row r="1075" spans="1:8">
      <c r="A1075" s="180" t="s">
        <v>765</v>
      </c>
      <c r="B1075" s="181"/>
      <c r="C1075" s="181"/>
      <c r="D1075" s="182"/>
      <c r="E1075" s="346"/>
      <c r="F1075" s="183"/>
      <c r="G1075" s="184">
        <f>SUM(G1043:G1074)</f>
        <v>4.287163701399999</v>
      </c>
      <c r="H1075" s="191"/>
    </row>
    <row r="1076" spans="1:8" s="10" customFormat="1">
      <c r="A1076" s="8"/>
      <c r="B1076" s="8"/>
      <c r="C1076" s="8"/>
      <c r="D1076" s="338"/>
      <c r="E1076" s="338"/>
      <c r="F1076" s="193"/>
      <c r="G1076" s="338"/>
      <c r="H1076" s="194"/>
    </row>
    <row r="1077" spans="1:8" ht="45">
      <c r="A1077" s="399" t="s">
        <v>766</v>
      </c>
      <c r="B1077" s="399"/>
      <c r="C1077" s="399"/>
      <c r="D1077" s="400" t="s">
        <v>376</v>
      </c>
      <c r="E1077" s="400" t="s">
        <v>91</v>
      </c>
      <c r="F1077" s="401" t="s">
        <v>92</v>
      </c>
      <c r="G1077" s="402" t="s">
        <v>93</v>
      </c>
      <c r="H1077" s="403" t="s">
        <v>377</v>
      </c>
    </row>
    <row r="1078" spans="1:8">
      <c r="A1078" s="165" t="s">
        <v>767</v>
      </c>
      <c r="B1078" s="166"/>
      <c r="C1078" s="166"/>
      <c r="D1078" s="167"/>
      <c r="E1078" s="343"/>
      <c r="F1078" s="174"/>
      <c r="G1078" s="167"/>
      <c r="H1078" s="190"/>
    </row>
    <row r="1079" spans="1:8">
      <c r="A1079" s="166"/>
      <c r="B1079" s="165" t="s">
        <v>445</v>
      </c>
      <c r="C1079" s="165"/>
      <c r="D1079" s="170" t="s">
        <v>380</v>
      </c>
      <c r="E1079" s="347">
        <v>14.17</v>
      </c>
      <c r="F1079" s="168">
        <v>0.21</v>
      </c>
      <c r="G1079" s="217">
        <f>F1079*E1079</f>
        <v>2.9756999999999998</v>
      </c>
      <c r="H1079" s="190">
        <v>120</v>
      </c>
    </row>
    <row r="1080" spans="1:8">
      <c r="A1080" s="166"/>
      <c r="B1080" s="165" t="s">
        <v>420</v>
      </c>
      <c r="C1080" s="165"/>
      <c r="D1080" s="170" t="s">
        <v>395</v>
      </c>
      <c r="E1080" s="223">
        <v>5.65</v>
      </c>
      <c r="F1080" s="168" t="s">
        <v>385</v>
      </c>
      <c r="G1080" s="149">
        <f t="shared" ref="G1080:G1085" si="58">F1080*E1080</f>
        <v>2.8250000000000001E-2</v>
      </c>
      <c r="H1080" s="190"/>
    </row>
    <row r="1081" spans="1:8">
      <c r="A1081" s="166"/>
      <c r="B1081" s="165" t="s">
        <v>421</v>
      </c>
      <c r="C1081" s="165"/>
      <c r="D1081" s="170" t="s">
        <v>380</v>
      </c>
      <c r="E1081" s="223">
        <v>22.52</v>
      </c>
      <c r="F1081" s="168" t="s">
        <v>422</v>
      </c>
      <c r="G1081" s="149">
        <f t="shared" si="58"/>
        <v>0.13511999999999999</v>
      </c>
      <c r="H1081" s="190"/>
    </row>
    <row r="1082" spans="1:8">
      <c r="A1082" s="166"/>
      <c r="B1082" s="165" t="s">
        <v>424</v>
      </c>
      <c r="C1082" s="165"/>
      <c r="D1082" s="170" t="s">
        <v>380</v>
      </c>
      <c r="E1082" s="223">
        <v>2.35</v>
      </c>
      <c r="F1082" s="168">
        <v>4.9199999999999999E-3</v>
      </c>
      <c r="G1082" s="149">
        <f>F1082*E1082</f>
        <v>1.1561999999999999E-2</v>
      </c>
      <c r="H1082" s="190"/>
    </row>
    <row r="1083" spans="1:8">
      <c r="A1083" s="166"/>
      <c r="B1083" s="165" t="s">
        <v>423</v>
      </c>
      <c r="C1083" s="165"/>
      <c r="D1083" s="170" t="s">
        <v>380</v>
      </c>
      <c r="E1083" s="347">
        <v>1.8</v>
      </c>
      <c r="F1083" s="168">
        <v>0.01</v>
      </c>
      <c r="G1083" s="149">
        <f>F1083*E1083</f>
        <v>1.8000000000000002E-2</v>
      </c>
      <c r="H1083" s="190"/>
    </row>
    <row r="1084" spans="1:8">
      <c r="A1084" s="166"/>
      <c r="B1084" s="165" t="s">
        <v>425</v>
      </c>
      <c r="C1084" s="165"/>
      <c r="D1084" s="170" t="s">
        <v>395</v>
      </c>
      <c r="E1084" s="223">
        <v>2.74</v>
      </c>
      <c r="F1084" s="168">
        <v>3.0000000000000001E-3</v>
      </c>
      <c r="G1084" s="149">
        <f t="shared" si="58"/>
        <v>8.2200000000000016E-3</v>
      </c>
      <c r="H1084" s="190"/>
    </row>
    <row r="1085" spans="1:8">
      <c r="A1085" s="166"/>
      <c r="B1085" s="165" t="s">
        <v>426</v>
      </c>
      <c r="C1085" s="165"/>
      <c r="D1085" s="170" t="s">
        <v>380</v>
      </c>
      <c r="E1085" s="189">
        <v>17.420000000000002</v>
      </c>
      <c r="F1085" s="168" t="s">
        <v>427</v>
      </c>
      <c r="G1085" s="149">
        <f t="shared" si="58"/>
        <v>0.15678</v>
      </c>
      <c r="H1085" s="190"/>
    </row>
    <row r="1086" spans="1:8">
      <c r="A1086" s="165" t="s">
        <v>428</v>
      </c>
      <c r="B1086" s="166"/>
      <c r="C1086" s="166"/>
      <c r="D1086" s="167"/>
      <c r="E1086" s="348"/>
      <c r="F1086" s="174"/>
      <c r="G1086" s="217"/>
      <c r="H1086" s="190"/>
    </row>
    <row r="1087" spans="1:8">
      <c r="A1087" s="166"/>
      <c r="B1087" s="165" t="s">
        <v>429</v>
      </c>
      <c r="C1087" s="165"/>
      <c r="D1087" s="170" t="s">
        <v>380</v>
      </c>
      <c r="E1087" s="347">
        <v>4.45</v>
      </c>
      <c r="F1087" s="168">
        <v>5.0000000000000001E-3</v>
      </c>
      <c r="G1087" s="217">
        <f t="shared" ref="G1087:G1103" si="59">F1087*E1087</f>
        <v>2.2250000000000002E-2</v>
      </c>
      <c r="H1087" s="190"/>
    </row>
    <row r="1088" spans="1:8">
      <c r="A1088" s="166"/>
      <c r="B1088" s="165" t="s">
        <v>388</v>
      </c>
      <c r="C1088" s="165"/>
      <c r="D1088" s="170" t="s">
        <v>380</v>
      </c>
      <c r="E1088" s="216">
        <v>2.63</v>
      </c>
      <c r="F1088" s="168" t="s">
        <v>430</v>
      </c>
      <c r="G1088" s="217">
        <f t="shared" si="59"/>
        <v>5.2599999999999999E-3</v>
      </c>
      <c r="H1088" s="173"/>
    </row>
    <row r="1089" spans="1:8">
      <c r="A1089" s="166"/>
      <c r="B1089" s="165" t="s">
        <v>531</v>
      </c>
      <c r="C1089" s="165"/>
      <c r="D1089" s="170" t="s">
        <v>380</v>
      </c>
      <c r="E1089" s="347">
        <v>0.72</v>
      </c>
      <c r="F1089" s="168">
        <v>0.17</v>
      </c>
      <c r="G1089" s="217">
        <f t="shared" si="59"/>
        <v>0.12240000000000001</v>
      </c>
      <c r="H1089" s="173"/>
    </row>
    <row r="1090" spans="1:8">
      <c r="A1090" s="165" t="s">
        <v>396</v>
      </c>
      <c r="B1090" s="166"/>
      <c r="C1090" s="166"/>
      <c r="D1090" s="167"/>
      <c r="E1090" s="348"/>
      <c r="F1090" s="174"/>
      <c r="G1090" s="217"/>
      <c r="H1090" s="173"/>
    </row>
    <row r="1091" spans="1:8">
      <c r="A1091" s="166"/>
      <c r="B1091" s="165" t="s">
        <v>397</v>
      </c>
      <c r="C1091" s="165"/>
      <c r="D1091" s="170" t="s">
        <v>380</v>
      </c>
      <c r="E1091" s="189">
        <v>2.1800000000000002</v>
      </c>
      <c r="F1091" s="168">
        <v>7.0000000000000007E-2</v>
      </c>
      <c r="G1091" s="217">
        <f t="shared" si="59"/>
        <v>0.15260000000000001</v>
      </c>
      <c r="H1091" s="190"/>
    </row>
    <row r="1092" spans="1:8">
      <c r="A1092" s="166"/>
      <c r="B1092" s="165" t="s">
        <v>398</v>
      </c>
      <c r="C1092" s="165"/>
      <c r="D1092" s="170"/>
      <c r="E1092" s="189"/>
      <c r="F1092" s="168"/>
      <c r="G1092" s="217"/>
      <c r="H1092" s="190"/>
    </row>
    <row r="1093" spans="1:8">
      <c r="A1093" s="165" t="s">
        <v>432</v>
      </c>
      <c r="B1093" s="166"/>
      <c r="C1093" s="166"/>
      <c r="D1093" s="167"/>
      <c r="E1093" s="348"/>
      <c r="F1093" s="174"/>
      <c r="G1093" s="217"/>
      <c r="H1093" s="190"/>
    </row>
    <row r="1094" spans="1:8">
      <c r="A1094" s="166"/>
      <c r="B1094" s="165" t="s">
        <v>433</v>
      </c>
      <c r="C1094" s="165"/>
      <c r="D1094" s="170" t="s">
        <v>380</v>
      </c>
      <c r="E1094" s="189">
        <v>3.39</v>
      </c>
      <c r="F1094" s="168">
        <v>0.04</v>
      </c>
      <c r="G1094" s="217">
        <f t="shared" si="59"/>
        <v>0.1356</v>
      </c>
      <c r="H1094" s="190"/>
    </row>
    <row r="1095" spans="1:8" ht="15.75">
      <c r="A1095" s="224" t="s">
        <v>768</v>
      </c>
      <c r="B1095" s="166"/>
      <c r="C1095" s="166"/>
      <c r="D1095" s="167"/>
      <c r="E1095" s="348"/>
      <c r="F1095" s="174"/>
      <c r="G1095" s="217"/>
      <c r="H1095" s="190"/>
    </row>
    <row r="1096" spans="1:8">
      <c r="A1096" s="166"/>
      <c r="B1096" s="165" t="s">
        <v>435</v>
      </c>
      <c r="C1096" s="165"/>
      <c r="D1096" s="170" t="s">
        <v>380</v>
      </c>
      <c r="E1096" s="216">
        <v>0.88</v>
      </c>
      <c r="F1096" s="168">
        <v>2.8000000000000001E-2</v>
      </c>
      <c r="G1096" s="217">
        <f t="shared" si="59"/>
        <v>2.4640000000000002E-2</v>
      </c>
      <c r="H1096" s="190"/>
    </row>
    <row r="1097" spans="1:8">
      <c r="A1097" s="166"/>
      <c r="B1097" s="165" t="s">
        <v>769</v>
      </c>
      <c r="C1097" s="165"/>
      <c r="D1097" s="170" t="s">
        <v>380</v>
      </c>
      <c r="E1097" s="347">
        <v>0.81</v>
      </c>
      <c r="F1097" s="168" t="s">
        <v>446</v>
      </c>
      <c r="G1097" s="217">
        <f t="shared" si="59"/>
        <v>4.8600000000000004E-2</v>
      </c>
      <c r="H1097" s="190"/>
    </row>
    <row r="1098" spans="1:8">
      <c r="A1098" s="166"/>
      <c r="B1098" s="165" t="s">
        <v>753</v>
      </c>
      <c r="C1098" s="165"/>
      <c r="D1098" s="170" t="s">
        <v>380</v>
      </c>
      <c r="E1098" s="216">
        <v>3.74</v>
      </c>
      <c r="F1098" s="168" t="s">
        <v>473</v>
      </c>
      <c r="G1098" s="217">
        <f t="shared" si="59"/>
        <v>9.3500000000000014E-2</v>
      </c>
      <c r="H1098" s="190"/>
    </row>
    <row r="1099" spans="1:8">
      <c r="A1099" s="165" t="s">
        <v>687</v>
      </c>
      <c r="B1099" s="166"/>
      <c r="C1099" s="166"/>
      <c r="D1099" s="167"/>
      <c r="E1099" s="348"/>
      <c r="F1099" s="174"/>
      <c r="G1099" s="217"/>
      <c r="H1099" s="190"/>
    </row>
    <row r="1100" spans="1:8">
      <c r="A1100" s="166"/>
      <c r="B1100" s="165" t="s">
        <v>686</v>
      </c>
      <c r="C1100" s="165"/>
      <c r="D1100" s="170" t="s">
        <v>380</v>
      </c>
      <c r="E1100" s="216">
        <v>1.06</v>
      </c>
      <c r="F1100" s="168">
        <v>0.15</v>
      </c>
      <c r="G1100" s="217">
        <f t="shared" si="59"/>
        <v>0.159</v>
      </c>
      <c r="H1100" s="190"/>
    </row>
    <row r="1101" spans="1:8">
      <c r="A1101" s="165" t="s">
        <v>562</v>
      </c>
      <c r="B1101" s="166"/>
      <c r="C1101" s="166"/>
      <c r="D1101" s="167"/>
      <c r="E1101" s="348"/>
      <c r="F1101" s="174"/>
      <c r="G1101" s="217"/>
      <c r="H1101" s="190"/>
    </row>
    <row r="1102" spans="1:8">
      <c r="A1102" s="166"/>
      <c r="B1102" s="165" t="s">
        <v>770</v>
      </c>
      <c r="C1102" s="165"/>
      <c r="D1102" s="170" t="s">
        <v>380</v>
      </c>
      <c r="E1102" s="216">
        <v>9.6999999999999993</v>
      </c>
      <c r="F1102" s="168">
        <v>8.9999999999999993E-3</v>
      </c>
      <c r="G1102" s="217">
        <f t="shared" si="59"/>
        <v>8.7299999999999989E-2</v>
      </c>
      <c r="H1102" s="190"/>
    </row>
    <row r="1103" spans="1:8">
      <c r="A1103" s="166"/>
      <c r="B1103" s="165" t="s">
        <v>673</v>
      </c>
      <c r="C1103" s="165"/>
      <c r="D1103" s="170" t="s">
        <v>380</v>
      </c>
      <c r="E1103" s="223">
        <v>1.52</v>
      </c>
      <c r="F1103" s="168">
        <v>0.02</v>
      </c>
      <c r="G1103" s="217">
        <f t="shared" si="59"/>
        <v>3.04E-2</v>
      </c>
      <c r="H1103" s="190"/>
    </row>
    <row r="1104" spans="1:8">
      <c r="A1104" s="166" t="s">
        <v>367</v>
      </c>
      <c r="B1104" s="165"/>
      <c r="C1104" s="165"/>
      <c r="D1104" s="170"/>
      <c r="E1104" s="189"/>
      <c r="F1104" s="168"/>
      <c r="G1104" s="149"/>
      <c r="H1104" s="173"/>
    </row>
    <row r="1105" spans="1:8" s="13" customFormat="1">
      <c r="A1105" s="165"/>
      <c r="B1105" s="165" t="s">
        <v>442</v>
      </c>
      <c r="C1105" s="165"/>
      <c r="D1105" s="176" t="s">
        <v>380</v>
      </c>
      <c r="E1105" s="345">
        <v>7.37</v>
      </c>
      <c r="F1105" s="177">
        <v>2.385E-3</v>
      </c>
      <c r="G1105" s="178">
        <f t="shared" ref="G1105:G1112" si="60">F1105*E1105</f>
        <v>1.7577450000000001E-2</v>
      </c>
      <c r="H1105" s="173"/>
    </row>
    <row r="1106" spans="1:8" s="13" customFormat="1">
      <c r="A1106" s="179"/>
      <c r="B1106" s="179" t="s">
        <v>382</v>
      </c>
      <c r="C1106" s="179"/>
      <c r="D1106" s="176" t="s">
        <v>380</v>
      </c>
      <c r="E1106" s="345">
        <v>2.8</v>
      </c>
      <c r="F1106" s="177">
        <v>4.9290899999999997E-3</v>
      </c>
      <c r="G1106" s="178">
        <f t="shared" si="60"/>
        <v>1.3801451999999999E-2</v>
      </c>
      <c r="H1106" s="173"/>
    </row>
    <row r="1107" spans="1:8" s="13" customFormat="1">
      <c r="A1107" s="179"/>
      <c r="B1107" s="179" t="s">
        <v>411</v>
      </c>
      <c r="C1107" s="179"/>
      <c r="D1107" s="176" t="s">
        <v>395</v>
      </c>
      <c r="E1107" s="225">
        <v>1.65</v>
      </c>
      <c r="F1107" s="177">
        <v>0.01</v>
      </c>
      <c r="G1107" s="178">
        <f t="shared" si="60"/>
        <v>1.6500000000000001E-2</v>
      </c>
      <c r="H1107" s="173"/>
    </row>
    <row r="1108" spans="1:8" s="13" customFormat="1">
      <c r="A1108" s="179"/>
      <c r="B1108" s="179" t="s">
        <v>443</v>
      </c>
      <c r="C1108" s="179"/>
      <c r="D1108" s="176" t="s">
        <v>380</v>
      </c>
      <c r="E1108" s="345">
        <v>0.55000000000000004</v>
      </c>
      <c r="F1108" s="177">
        <v>7.1599999999999997E-3</v>
      </c>
      <c r="G1108" s="178">
        <f t="shared" si="60"/>
        <v>3.9380000000000005E-3</v>
      </c>
      <c r="H1108" s="173"/>
    </row>
    <row r="1109" spans="1:8" s="13" customFormat="1">
      <c r="A1109" s="179"/>
      <c r="B1109" s="179" t="s">
        <v>576</v>
      </c>
      <c r="C1109" s="179"/>
      <c r="D1109" s="176" t="s">
        <v>414</v>
      </c>
      <c r="E1109" s="225">
        <v>5.0000000000000001E-3</v>
      </c>
      <c r="F1109" s="177">
        <v>0.95454499999999998</v>
      </c>
      <c r="G1109" s="178">
        <f t="shared" si="60"/>
        <v>4.7727250000000002E-3</v>
      </c>
      <c r="H1109" s="173"/>
    </row>
    <row r="1110" spans="1:8" s="13" customFormat="1">
      <c r="A1110" s="179"/>
      <c r="B1110" s="179" t="s">
        <v>415</v>
      </c>
      <c r="C1110" s="179"/>
      <c r="D1110" s="176" t="s">
        <v>380</v>
      </c>
      <c r="E1110" s="345">
        <v>3.08</v>
      </c>
      <c r="F1110" s="177">
        <v>0.01</v>
      </c>
      <c r="G1110" s="178">
        <f t="shared" si="60"/>
        <v>3.0800000000000001E-2</v>
      </c>
      <c r="H1110" s="173"/>
    </row>
    <row r="1111" spans="1:8" s="13" customFormat="1">
      <c r="A1111" s="179"/>
      <c r="B1111" s="179" t="s">
        <v>416</v>
      </c>
      <c r="C1111" s="179"/>
      <c r="D1111" s="176" t="s">
        <v>395</v>
      </c>
      <c r="E1111" s="345">
        <v>2.85</v>
      </c>
      <c r="F1111" s="177">
        <v>0.01</v>
      </c>
      <c r="G1111" s="178">
        <f t="shared" si="60"/>
        <v>2.8500000000000001E-2</v>
      </c>
      <c r="H1111" s="173"/>
    </row>
    <row r="1112" spans="1:8" s="13" customFormat="1">
      <c r="A1112" s="179"/>
      <c r="B1112" s="179" t="s">
        <v>417</v>
      </c>
      <c r="C1112" s="179"/>
      <c r="D1112" s="176" t="s">
        <v>395</v>
      </c>
      <c r="E1112" s="225">
        <v>16.940000000000001</v>
      </c>
      <c r="F1112" s="177">
        <v>0.01</v>
      </c>
      <c r="G1112" s="178">
        <f t="shared" si="60"/>
        <v>0.16940000000000002</v>
      </c>
      <c r="H1112" s="173"/>
    </row>
    <row r="1113" spans="1:8" s="13" customFormat="1">
      <c r="A1113" s="180" t="s">
        <v>771</v>
      </c>
      <c r="B1113" s="181"/>
      <c r="C1113" s="181"/>
      <c r="D1113" s="182"/>
      <c r="E1113" s="346"/>
      <c r="F1113" s="183"/>
      <c r="G1113" s="184">
        <f>SUM(G1079:G1112)</f>
        <v>4.5004716270000005</v>
      </c>
      <c r="H1113" s="191"/>
    </row>
    <row r="1114" spans="1:8" s="13" customFormat="1">
      <c r="A1114" s="8"/>
      <c r="B1114" s="8"/>
      <c r="C1114" s="8"/>
      <c r="D1114" s="338"/>
      <c r="E1114" s="338"/>
      <c r="F1114" s="193"/>
      <c r="G1114" s="338"/>
      <c r="H1114" s="194"/>
    </row>
    <row r="1115" spans="1:8" s="13" customFormat="1">
      <c r="A1115" s="8"/>
      <c r="B1115" s="8"/>
      <c r="C1115" s="8"/>
      <c r="D1115" s="338"/>
      <c r="E1115" s="338"/>
      <c r="F1115" s="193"/>
      <c r="G1115" s="338"/>
      <c r="H1115" s="194"/>
    </row>
    <row r="1116" spans="1:8" s="13" customFormat="1" ht="41.25" customHeight="1">
      <c r="A1116" s="555" t="s">
        <v>772</v>
      </c>
      <c r="B1116" s="555"/>
      <c r="C1116" s="555"/>
      <c r="D1116" s="555"/>
      <c r="E1116" s="555"/>
      <c r="F1116" s="555"/>
      <c r="G1116" s="556">
        <f>ROUND(((G42+G81+G113+G150+G193+G230+G271+G308+G348+G383+G419+G455+G491+G529+G570+G608+G644+G677+G712+G750+G782+G818+G852+G889+G921+G959+G999+G1039+G1075+G1113)/30),2)</f>
        <v>3.99</v>
      </c>
      <c r="H1116" s="556"/>
    </row>
    <row r="1117" spans="1:8">
      <c r="A1117" s="180"/>
      <c r="B1117" s="181"/>
      <c r="C1117" s="181"/>
      <c r="D1117" s="182"/>
      <c r="E1117" s="346"/>
      <c r="F1117" s="182"/>
      <c r="G1117" s="184"/>
      <c r="H1117" s="191"/>
    </row>
    <row r="1120" spans="1:8" s="148" customFormat="1" ht="36" customHeight="1">
      <c r="A1120" s="553" t="s">
        <v>826</v>
      </c>
      <c r="B1120" s="553"/>
      <c r="C1120" s="553"/>
      <c r="D1120" s="553"/>
      <c r="E1120" s="553"/>
      <c r="F1120" s="553"/>
      <c r="G1120" s="553"/>
      <c r="H1120" s="553"/>
    </row>
    <row r="1121" spans="1:13">
      <c r="B1121" s="226" t="s">
        <v>121</v>
      </c>
      <c r="C1121" s="226"/>
      <c r="D1121" s="12" t="s">
        <v>773</v>
      </c>
      <c r="E1121" s="227" t="s">
        <v>774</v>
      </c>
      <c r="F1121" s="221" t="s">
        <v>122</v>
      </c>
      <c r="G1121" s="12" t="s">
        <v>123</v>
      </c>
    </row>
    <row r="1122" spans="1:13" s="13" customFormat="1" ht="14.25" customHeight="1">
      <c r="A1122" s="558" t="s">
        <v>775</v>
      </c>
      <c r="B1122" s="228" t="s">
        <v>870</v>
      </c>
      <c r="C1122" s="228"/>
      <c r="D1122" s="229" t="s">
        <v>414</v>
      </c>
      <c r="E1122" s="351">
        <v>2.4E-2</v>
      </c>
      <c r="F1122" s="299">
        <v>0.13333</v>
      </c>
      <c r="G1122" s="300">
        <f>F1122*E1122</f>
        <v>3.1999200000000002E-3</v>
      </c>
      <c r="H1122" s="230"/>
      <c r="I1122" s="228"/>
      <c r="J1122" s="229"/>
      <c r="K1122" s="298"/>
      <c r="L1122" s="299"/>
      <c r="M1122" s="300"/>
    </row>
    <row r="1123" spans="1:13" s="13" customFormat="1" ht="15.75" customHeight="1">
      <c r="A1123" s="558"/>
      <c r="B1123" s="228" t="s">
        <v>776</v>
      </c>
      <c r="C1123" s="228"/>
      <c r="D1123" s="229" t="s">
        <v>414</v>
      </c>
      <c r="E1123" s="351">
        <v>1.9E-2</v>
      </c>
      <c r="F1123" s="299">
        <v>1</v>
      </c>
      <c r="G1123" s="300">
        <f>F1123*E1123</f>
        <v>1.9E-2</v>
      </c>
      <c r="H1123" s="230"/>
      <c r="I1123" s="228"/>
      <c r="J1123" s="229"/>
      <c r="K1123" s="313"/>
      <c r="L1123" s="299"/>
      <c r="M1123" s="300"/>
    </row>
    <row r="1124" spans="1:13" s="13" customFormat="1" ht="13.5" customHeight="1">
      <c r="A1124" s="558"/>
      <c r="B1124" s="231" t="s">
        <v>777</v>
      </c>
      <c r="C1124" s="231"/>
      <c r="D1124" s="232" t="s">
        <v>414</v>
      </c>
      <c r="E1124" s="352">
        <v>2.4E-2</v>
      </c>
      <c r="F1124" s="299">
        <v>1.2</v>
      </c>
      <c r="G1124" s="300">
        <f>F1124*E1124</f>
        <v>2.8799999999999999E-2</v>
      </c>
      <c r="H1124" s="230"/>
      <c r="I1124" s="228"/>
      <c r="J1124" s="229"/>
      <c r="K1124" s="298"/>
      <c r="L1124" s="299"/>
      <c r="M1124" s="300"/>
    </row>
    <row r="1125" spans="1:13" s="13" customFormat="1" ht="15" customHeight="1">
      <c r="A1125" s="558"/>
      <c r="B1125" s="231" t="s">
        <v>778</v>
      </c>
      <c r="C1125" s="231"/>
      <c r="D1125" s="232" t="s">
        <v>414</v>
      </c>
      <c r="E1125" s="353">
        <v>0.3</v>
      </c>
      <c r="F1125" s="299">
        <v>0.4</v>
      </c>
      <c r="G1125" s="302">
        <f>F1125*E1125</f>
        <v>0.12</v>
      </c>
      <c r="H1125" s="230"/>
      <c r="I1125" s="231"/>
      <c r="J1125" s="232"/>
      <c r="K1125" s="301"/>
      <c r="L1125" s="299"/>
      <c r="M1125" s="300"/>
    </row>
    <row r="1126" spans="1:13" s="14" customFormat="1" ht="27.75" customHeight="1">
      <c r="A1126" s="340" t="s">
        <v>779</v>
      </c>
      <c r="B1126" s="181"/>
      <c r="C1126" s="181"/>
      <c r="D1126" s="182"/>
      <c r="E1126" s="346"/>
      <c r="F1126" s="183"/>
      <c r="G1126" s="160">
        <f>ROUND(SUM(G1122:G1125),2)</f>
        <v>0.17</v>
      </c>
      <c r="H1126" s="233"/>
    </row>
    <row r="1127" spans="1:13">
      <c r="F1127" s="193"/>
    </row>
    <row r="1128" spans="1:13" ht="10.5" customHeight="1">
      <c r="B1128" s="226" t="s">
        <v>121</v>
      </c>
      <c r="C1128" s="226"/>
      <c r="D1128" s="12" t="s">
        <v>773</v>
      </c>
      <c r="E1128" s="12" t="s">
        <v>774</v>
      </c>
      <c r="F1128" s="221" t="s">
        <v>122</v>
      </c>
      <c r="G1128" s="12" t="s">
        <v>123</v>
      </c>
    </row>
    <row r="1129" spans="1:13" s="13" customFormat="1" ht="10.5" customHeight="1">
      <c r="A1129" s="554" t="s">
        <v>835</v>
      </c>
      <c r="B1129" s="234" t="s">
        <v>780</v>
      </c>
      <c r="C1129" s="235"/>
      <c r="D1129" s="236" t="s">
        <v>414</v>
      </c>
      <c r="E1129" s="354">
        <v>0.08</v>
      </c>
      <c r="F1129" s="299">
        <v>2.3865000000000001E-2</v>
      </c>
      <c r="G1129" s="303">
        <f t="shared" ref="G1129:G1133" si="61">F1129*E1129</f>
        <v>1.9092E-3</v>
      </c>
      <c r="H1129" s="230"/>
    </row>
    <row r="1130" spans="1:13" s="13" customFormat="1" ht="10.5" customHeight="1">
      <c r="A1130" s="554"/>
      <c r="B1130" s="237" t="s">
        <v>825</v>
      </c>
      <c r="C1130" s="237"/>
      <c r="D1130" s="236" t="s">
        <v>414</v>
      </c>
      <c r="E1130" s="354">
        <v>36.64</v>
      </c>
      <c r="F1130" s="299">
        <v>9.5000000000000005E-5</v>
      </c>
      <c r="G1130" s="303">
        <f t="shared" si="61"/>
        <v>3.4808E-3</v>
      </c>
      <c r="H1130" s="230"/>
    </row>
    <row r="1131" spans="1:13" s="13" customFormat="1" ht="10.5" customHeight="1">
      <c r="A1131" s="554"/>
      <c r="B1131" s="237" t="s">
        <v>782</v>
      </c>
      <c r="C1131" s="237"/>
      <c r="D1131" s="236" t="s">
        <v>795</v>
      </c>
      <c r="E1131" s="354">
        <v>1.19</v>
      </c>
      <c r="F1131" s="299">
        <v>8.1134999999999999E-2</v>
      </c>
      <c r="G1131" s="303">
        <f t="shared" si="61"/>
        <v>9.6550649999999988E-2</v>
      </c>
      <c r="H1131" s="230"/>
    </row>
    <row r="1132" spans="1:13" s="13" customFormat="1" ht="10.5" customHeight="1">
      <c r="A1132" s="554"/>
      <c r="B1132" s="237" t="s">
        <v>783</v>
      </c>
      <c r="C1132" s="237"/>
      <c r="D1132" s="236" t="s">
        <v>414</v>
      </c>
      <c r="E1132" s="354">
        <v>0.01</v>
      </c>
      <c r="F1132" s="299">
        <v>1.9089999999999999E-2</v>
      </c>
      <c r="G1132" s="304">
        <f t="shared" si="61"/>
        <v>1.9090000000000001E-4</v>
      </c>
      <c r="H1132" s="230"/>
    </row>
    <row r="1133" spans="1:13" s="13" customFormat="1" ht="10.5" customHeight="1">
      <c r="A1133" s="554"/>
      <c r="B1133" s="237" t="s">
        <v>824</v>
      </c>
      <c r="C1133" s="237"/>
      <c r="D1133" s="236" t="s">
        <v>414</v>
      </c>
      <c r="E1133" s="354">
        <v>82.95</v>
      </c>
      <c r="F1133" s="299">
        <v>4.75E-4</v>
      </c>
      <c r="G1133" s="303">
        <f t="shared" si="61"/>
        <v>3.9401249999999999E-2</v>
      </c>
      <c r="H1133" s="230"/>
    </row>
    <row r="1134" spans="1:13" s="13" customFormat="1" ht="10.5" customHeight="1">
      <c r="A1134" s="554"/>
      <c r="B1134" s="237"/>
      <c r="C1134" s="237"/>
      <c r="D1134" s="236"/>
      <c r="E1134" s="354"/>
      <c r="F1134" s="299"/>
      <c r="G1134" s="303"/>
      <c r="H1134" s="230"/>
    </row>
    <row r="1135" spans="1:13" s="14" customFormat="1" ht="31.5">
      <c r="A1135" s="340" t="s">
        <v>124</v>
      </c>
      <c r="B1135" s="181"/>
      <c r="C1135" s="181"/>
      <c r="D1135" s="182"/>
      <c r="E1135" s="346"/>
      <c r="F1135" s="183"/>
      <c r="G1135" s="160">
        <f>ROUND(SUM(G1129:G1134),2)</f>
        <v>0.14000000000000001</v>
      </c>
      <c r="H1135" s="233"/>
    </row>
    <row r="1136" spans="1:13" s="239" customFormat="1">
      <c r="A1136" s="238"/>
      <c r="D1136" s="240"/>
      <c r="E1136" s="201"/>
      <c r="F1136" s="241"/>
      <c r="G1136" s="152"/>
      <c r="H1136" s="242"/>
    </row>
    <row r="1137" spans="1:8">
      <c r="F1137" s="193"/>
    </row>
    <row r="1138" spans="1:8">
      <c r="F1138" s="193"/>
    </row>
    <row r="1139" spans="1:8" ht="22.5" customHeight="1">
      <c r="A1139" s="555" t="s">
        <v>785</v>
      </c>
      <c r="B1139" s="555"/>
      <c r="C1139" s="555"/>
      <c r="D1139" s="555"/>
      <c r="E1139" s="555"/>
      <c r="F1139" s="555"/>
      <c r="G1139" s="243"/>
      <c r="H1139" s="556">
        <f>G1140+G1141</f>
        <v>0.31000000000000005</v>
      </c>
    </row>
    <row r="1140" spans="1:8" ht="30" customHeight="1">
      <c r="A1140" s="244"/>
      <c r="B1140" s="557" t="s">
        <v>125</v>
      </c>
      <c r="C1140" s="557"/>
      <c r="D1140" s="557"/>
      <c r="E1140" s="557"/>
      <c r="F1140" s="557"/>
      <c r="G1140" s="257">
        <f>G1126</f>
        <v>0.17</v>
      </c>
      <c r="H1140" s="556"/>
    </row>
    <row r="1141" spans="1:8" ht="30" customHeight="1">
      <c r="A1141" s="244"/>
      <c r="B1141" s="557" t="s">
        <v>126</v>
      </c>
      <c r="C1141" s="557"/>
      <c r="D1141" s="557"/>
      <c r="E1141" s="557"/>
      <c r="F1141" s="557"/>
      <c r="G1141" s="257">
        <f>G1135</f>
        <v>0.14000000000000001</v>
      </c>
      <c r="H1141" s="556"/>
    </row>
    <row r="1142" spans="1:8" ht="30" customHeight="1">
      <c r="B1142" s="194"/>
      <c r="C1142" s="194"/>
      <c r="D1142" s="194"/>
      <c r="E1142" s="194"/>
      <c r="F1142" s="194"/>
      <c r="H1142" s="338"/>
    </row>
    <row r="1144" spans="1:8" s="148" customFormat="1" ht="24.75" customHeight="1">
      <c r="A1144" s="553" t="s">
        <v>786</v>
      </c>
      <c r="B1144" s="553"/>
      <c r="C1144" s="553"/>
      <c r="D1144" s="553"/>
      <c r="E1144" s="553"/>
      <c r="F1144" s="553"/>
      <c r="G1144" s="553"/>
      <c r="H1144" s="553"/>
    </row>
    <row r="1145" spans="1:8">
      <c r="B1145" s="226" t="s">
        <v>121</v>
      </c>
      <c r="C1145" s="226"/>
      <c r="D1145" s="12" t="s">
        <v>773</v>
      </c>
      <c r="E1145" s="12" t="s">
        <v>774</v>
      </c>
      <c r="F1145" s="221" t="s">
        <v>122</v>
      </c>
      <c r="G1145" s="12" t="s">
        <v>123</v>
      </c>
    </row>
    <row r="1146" spans="1:8" s="13" customFormat="1" ht="10.5" customHeight="1">
      <c r="A1146" s="551" t="s">
        <v>127</v>
      </c>
      <c r="B1146" s="237" t="s">
        <v>787</v>
      </c>
      <c r="C1146" s="237"/>
      <c r="D1146" s="236" t="s">
        <v>414</v>
      </c>
      <c r="E1146" s="354">
        <v>5.6000000000000001E-2</v>
      </c>
      <c r="F1146" s="177">
        <v>5.9750000000000003E-3</v>
      </c>
      <c r="G1146" s="153">
        <f>F1146*E1146</f>
        <v>3.346E-4</v>
      </c>
      <c r="H1146" s="230"/>
    </row>
    <row r="1147" spans="1:8" s="13" customFormat="1" ht="10.5" customHeight="1">
      <c r="A1147" s="552"/>
      <c r="B1147" s="237" t="s">
        <v>788</v>
      </c>
      <c r="C1147" s="237"/>
      <c r="D1147" s="236" t="s">
        <v>414</v>
      </c>
      <c r="E1147" s="355">
        <v>0.25</v>
      </c>
      <c r="F1147" s="177">
        <v>9.0900000000000009E-3</v>
      </c>
      <c r="G1147" s="153">
        <f t="shared" ref="G1147:G1165" si="62">F1147*E1147</f>
        <v>2.2725000000000002E-3</v>
      </c>
      <c r="H1147" s="230"/>
    </row>
    <row r="1148" spans="1:8" s="13" customFormat="1" ht="10.5" customHeight="1">
      <c r="A1148" s="552"/>
      <c r="B1148" s="237" t="s">
        <v>853</v>
      </c>
      <c r="C1148" s="237"/>
      <c r="D1148" s="236" t="s">
        <v>414</v>
      </c>
      <c r="E1148" s="354">
        <v>0.06</v>
      </c>
      <c r="F1148" s="299">
        <v>1.91E-3</v>
      </c>
      <c r="G1148" s="304">
        <f t="shared" si="62"/>
        <v>1.1459999999999999E-4</v>
      </c>
      <c r="H1148" s="230"/>
    </row>
    <row r="1149" spans="1:8" s="13" customFormat="1" ht="10.5" customHeight="1">
      <c r="A1149" s="552"/>
      <c r="B1149" s="237" t="s">
        <v>789</v>
      </c>
      <c r="C1149" s="237"/>
      <c r="D1149" s="236" t="s">
        <v>414</v>
      </c>
      <c r="E1149" s="354">
        <v>5.3999999999999999E-2</v>
      </c>
      <c r="F1149" s="299">
        <v>7.2249999999999997E-3</v>
      </c>
      <c r="G1149" s="303">
        <f t="shared" si="62"/>
        <v>3.9014999999999997E-4</v>
      </c>
      <c r="H1149" s="230"/>
    </row>
    <row r="1150" spans="1:8" s="13" customFormat="1" ht="10.5" customHeight="1">
      <c r="A1150" s="552"/>
      <c r="B1150" s="237" t="s">
        <v>790</v>
      </c>
      <c r="C1150" s="237"/>
      <c r="D1150" s="236" t="s">
        <v>414</v>
      </c>
      <c r="E1150" s="354">
        <v>1.44</v>
      </c>
      <c r="F1150" s="299">
        <v>9.5500000000000001E-4</v>
      </c>
      <c r="G1150" s="303">
        <f t="shared" si="62"/>
        <v>1.3752E-3</v>
      </c>
      <c r="H1150" s="230"/>
    </row>
    <row r="1151" spans="1:8" s="13" customFormat="1" ht="10.5" customHeight="1">
      <c r="A1151" s="552"/>
      <c r="B1151" s="237" t="s">
        <v>128</v>
      </c>
      <c r="C1151" s="237"/>
      <c r="D1151" s="236" t="s">
        <v>414</v>
      </c>
      <c r="E1151" s="356">
        <v>2.8000000000000001E-2</v>
      </c>
      <c r="F1151" s="299">
        <v>3.0545450000000001</v>
      </c>
      <c r="G1151" s="153">
        <f t="shared" si="62"/>
        <v>8.5527260000000008E-2</v>
      </c>
      <c r="H1151" s="230"/>
    </row>
    <row r="1152" spans="1:8" s="13" customFormat="1" ht="10.5" customHeight="1">
      <c r="A1152" s="552"/>
      <c r="B1152" s="237" t="s">
        <v>791</v>
      </c>
      <c r="C1152" s="237"/>
      <c r="D1152" s="236" t="s">
        <v>414</v>
      </c>
      <c r="E1152" s="354">
        <v>1.03</v>
      </c>
      <c r="F1152" s="299">
        <v>1.4319999999999999E-2</v>
      </c>
      <c r="G1152" s="303">
        <f t="shared" si="62"/>
        <v>1.47496E-2</v>
      </c>
      <c r="H1152" s="357"/>
    </row>
    <row r="1153" spans="1:8" s="13" customFormat="1" ht="10.5" customHeight="1">
      <c r="A1153" s="552"/>
      <c r="B1153" s="237" t="s">
        <v>792</v>
      </c>
      <c r="C1153" s="237"/>
      <c r="D1153" s="236" t="s">
        <v>781</v>
      </c>
      <c r="E1153" s="355">
        <v>50.99</v>
      </c>
      <c r="F1153" s="177">
        <v>2.4000000000000001E-4</v>
      </c>
      <c r="G1153" s="153">
        <f t="shared" si="62"/>
        <v>1.2237600000000001E-2</v>
      </c>
      <c r="H1153" s="230"/>
    </row>
    <row r="1154" spans="1:8" s="13" customFormat="1" ht="10.5" customHeight="1">
      <c r="A1154" s="552"/>
      <c r="B1154" s="237" t="s">
        <v>793</v>
      </c>
      <c r="C1154" s="237"/>
      <c r="D1154" s="236" t="s">
        <v>414</v>
      </c>
      <c r="E1154" s="354">
        <v>2.2400000000000002</v>
      </c>
      <c r="F1154" s="299">
        <v>5.7250000000000001E-3</v>
      </c>
      <c r="G1154" s="303">
        <f t="shared" si="62"/>
        <v>1.2824000000000002E-2</v>
      </c>
      <c r="H1154" s="230"/>
    </row>
    <row r="1155" spans="1:8" s="13" customFormat="1" ht="10.5" customHeight="1">
      <c r="A1155" s="552"/>
      <c r="B1155" s="237" t="s">
        <v>822</v>
      </c>
      <c r="C1155" s="305"/>
      <c r="D1155" s="306" t="s">
        <v>395</v>
      </c>
      <c r="E1155" s="354">
        <v>1.04</v>
      </c>
      <c r="F1155" s="299">
        <v>2.6250000000000002E-3</v>
      </c>
      <c r="G1155" s="303">
        <f t="shared" si="62"/>
        <v>2.7300000000000002E-3</v>
      </c>
      <c r="H1155" s="230"/>
    </row>
    <row r="1156" spans="1:8" s="13" customFormat="1" ht="10.5" customHeight="1">
      <c r="A1156" s="552"/>
      <c r="B1156" s="237" t="s">
        <v>794</v>
      </c>
      <c r="C1156" s="237"/>
      <c r="D1156" s="236" t="s">
        <v>395</v>
      </c>
      <c r="E1156" s="354">
        <v>3.42</v>
      </c>
      <c r="F1156" s="299">
        <v>3.3400000000000001E-3</v>
      </c>
      <c r="G1156" s="303">
        <f t="shared" si="62"/>
        <v>1.14228E-2</v>
      </c>
      <c r="H1156" s="230"/>
    </row>
    <row r="1157" spans="1:8" s="13" customFormat="1" ht="10.5" customHeight="1">
      <c r="A1157" s="552"/>
      <c r="B1157" s="237" t="s">
        <v>796</v>
      </c>
      <c r="C1157" s="237"/>
      <c r="D1157" s="236" t="s">
        <v>414</v>
      </c>
      <c r="E1157" s="354">
        <v>0.28999999999999998</v>
      </c>
      <c r="F1157" s="299">
        <v>9.5500000000000001E-4</v>
      </c>
      <c r="G1157" s="304">
        <f t="shared" si="62"/>
        <v>2.7694999999999998E-4</v>
      </c>
      <c r="H1157" s="357"/>
    </row>
    <row r="1158" spans="1:8" s="13" customFormat="1" ht="10.5" customHeight="1">
      <c r="A1158" s="552"/>
      <c r="B1158" s="237" t="s">
        <v>797</v>
      </c>
      <c r="C1158" s="237"/>
      <c r="D1158" s="236" t="s">
        <v>414</v>
      </c>
      <c r="E1158" s="354">
        <v>1.42</v>
      </c>
      <c r="F1158" s="299">
        <v>1.91E-3</v>
      </c>
      <c r="G1158" s="303">
        <f t="shared" si="62"/>
        <v>2.7121999999999997E-3</v>
      </c>
      <c r="H1158" s="230"/>
    </row>
    <row r="1159" spans="1:8" s="13" customFormat="1" ht="10.5" customHeight="1">
      <c r="A1159" s="552"/>
      <c r="B1159" s="237" t="s">
        <v>798</v>
      </c>
      <c r="C1159" s="237"/>
      <c r="D1159" s="236" t="s">
        <v>380</v>
      </c>
      <c r="E1159" s="354">
        <v>3.54</v>
      </c>
      <c r="F1159" s="299">
        <v>9.5500000000000001E-4</v>
      </c>
      <c r="G1159" s="303">
        <f t="shared" si="62"/>
        <v>3.3806999999999999E-3</v>
      </c>
      <c r="H1159" s="230"/>
    </row>
    <row r="1160" spans="1:8" s="13" customFormat="1" ht="10.5" customHeight="1">
      <c r="A1160" s="552"/>
      <c r="B1160" s="237" t="s">
        <v>799</v>
      </c>
      <c r="C1160" s="237"/>
      <c r="D1160" s="236" t="s">
        <v>395</v>
      </c>
      <c r="E1160" s="354">
        <v>1.36</v>
      </c>
      <c r="F1160" s="299">
        <v>4.7749999999999997E-3</v>
      </c>
      <c r="G1160" s="303">
        <f t="shared" si="62"/>
        <v>6.4939999999999998E-3</v>
      </c>
      <c r="H1160" s="230"/>
    </row>
    <row r="1161" spans="1:8" s="13" customFormat="1" ht="10.5" customHeight="1">
      <c r="A1161" s="552"/>
      <c r="B1161" s="305" t="s">
        <v>794</v>
      </c>
      <c r="C1161" s="305"/>
      <c r="D1161" s="306" t="s">
        <v>395</v>
      </c>
      <c r="E1161" s="354">
        <v>3.42</v>
      </c>
      <c r="F1161" s="299">
        <v>3.3500000000000001E-4</v>
      </c>
      <c r="G1161" s="303">
        <f t="shared" si="62"/>
        <v>1.1456999999999999E-3</v>
      </c>
      <c r="H1161" s="357"/>
    </row>
    <row r="1162" spans="1:8" s="13" customFormat="1" ht="10.5" customHeight="1">
      <c r="A1162" s="552"/>
      <c r="B1162" s="237" t="s">
        <v>800</v>
      </c>
      <c r="C1162" s="237"/>
      <c r="D1162" s="236" t="s">
        <v>849</v>
      </c>
      <c r="E1162" s="355">
        <v>16.16</v>
      </c>
      <c r="F1162" s="299">
        <v>2.8649999999999999E-3</v>
      </c>
      <c r="G1162" s="153">
        <f t="shared" si="62"/>
        <v>4.6298399999999997E-2</v>
      </c>
      <c r="H1162" s="230"/>
    </row>
    <row r="1163" spans="1:8" s="13" customFormat="1" ht="10.5" customHeight="1">
      <c r="A1163" s="552"/>
      <c r="B1163" s="305" t="s">
        <v>801</v>
      </c>
      <c r="C1163" s="305"/>
      <c r="D1163" s="306" t="s">
        <v>395</v>
      </c>
      <c r="E1163" s="354">
        <v>3.78</v>
      </c>
      <c r="F1163" s="299">
        <v>2.8649999999999999E-3</v>
      </c>
      <c r="G1163" s="303">
        <f t="shared" si="62"/>
        <v>1.0829699999999999E-2</v>
      </c>
      <c r="H1163" s="357"/>
    </row>
    <row r="1164" spans="1:8" s="13" customFormat="1" ht="10.5" customHeight="1">
      <c r="A1164" s="552"/>
      <c r="B1164" s="237" t="s">
        <v>869</v>
      </c>
      <c r="C1164" s="237"/>
      <c r="D1164" s="236" t="s">
        <v>395</v>
      </c>
      <c r="E1164" s="355">
        <v>1.34</v>
      </c>
      <c r="F1164" s="299">
        <v>2.8649999999999999E-3</v>
      </c>
      <c r="G1164" s="153">
        <f t="shared" si="62"/>
        <v>3.8391000000000002E-3</v>
      </c>
      <c r="H1164" s="357"/>
    </row>
    <row r="1165" spans="1:8" s="13" customFormat="1" ht="10.5" customHeight="1">
      <c r="A1165" s="552"/>
      <c r="B1165" s="237" t="s">
        <v>823</v>
      </c>
      <c r="C1165" s="237"/>
      <c r="D1165" s="236" t="s">
        <v>395</v>
      </c>
      <c r="E1165" s="355">
        <v>2.0299999999999998</v>
      </c>
      <c r="F1165" s="299">
        <v>1.67E-3</v>
      </c>
      <c r="G1165" s="153">
        <f t="shared" si="62"/>
        <v>3.3900999999999996E-3</v>
      </c>
      <c r="H1165" s="230"/>
    </row>
    <row r="1166" spans="1:8" s="13" customFormat="1" ht="10.5" customHeight="1">
      <c r="A1166" s="340" t="s">
        <v>129</v>
      </c>
      <c r="B1166" s="181"/>
      <c r="C1166" s="181"/>
      <c r="D1166" s="182"/>
      <c r="E1166" s="346"/>
      <c r="F1166" s="183"/>
      <c r="G1166" s="160">
        <f>ROUND(SUM(G1146:G1165),2)</f>
        <v>0.22</v>
      </c>
      <c r="H1166" s="233"/>
    </row>
    <row r="1167" spans="1:8" s="14" customFormat="1">
      <c r="A1167" s="8"/>
      <c r="B1167" s="8"/>
      <c r="C1167" s="8"/>
      <c r="D1167" s="338"/>
      <c r="E1167" s="338"/>
      <c r="F1167" s="193"/>
      <c r="G1167" s="338"/>
      <c r="H1167" s="194"/>
    </row>
    <row r="1168" spans="1:8" ht="14.25">
      <c r="A1168" s="569" t="s">
        <v>130</v>
      </c>
      <c r="B1168" s="569"/>
      <c r="C1168" s="569"/>
      <c r="D1168" s="569"/>
      <c r="E1168" s="569"/>
      <c r="F1168" s="569"/>
      <c r="G1168" s="570">
        <f>G1166</f>
        <v>0.22</v>
      </c>
      <c r="H1168" s="570"/>
    </row>
    <row r="1169" spans="1:9" s="15" customFormat="1" ht="14.25" customHeight="1">
      <c r="A1169" s="309"/>
      <c r="B1169" s="309"/>
      <c r="C1169" s="309"/>
      <c r="D1169" s="309"/>
      <c r="E1169" s="245"/>
      <c r="F1169" s="309"/>
      <c r="G1169" s="310"/>
      <c r="H1169" s="310"/>
    </row>
    <row r="1170" spans="1:9" s="15" customFormat="1" ht="14.25" customHeight="1">
      <c r="A1170" s="245"/>
      <c r="B1170" s="245"/>
      <c r="C1170" s="245"/>
      <c r="D1170" s="245"/>
      <c r="E1170" s="245"/>
      <c r="F1170" s="245"/>
      <c r="G1170" s="154"/>
      <c r="H1170" s="246"/>
    </row>
    <row r="1171" spans="1:9" ht="15">
      <c r="A1171" s="553" t="s">
        <v>833</v>
      </c>
      <c r="B1171" s="553"/>
      <c r="C1171" s="553"/>
      <c r="D1171" s="553"/>
      <c r="E1171" s="553"/>
      <c r="F1171" s="553"/>
      <c r="G1171" s="553"/>
      <c r="H1171" s="553"/>
    </row>
    <row r="1172" spans="1:9" ht="34.5" customHeight="1">
      <c r="B1172" s="226" t="s">
        <v>121</v>
      </c>
      <c r="C1172" s="226"/>
      <c r="D1172" s="12" t="s">
        <v>773</v>
      </c>
      <c r="E1172" s="227" t="s">
        <v>774</v>
      </c>
      <c r="F1172" s="221" t="s">
        <v>75</v>
      </c>
      <c r="G1172" s="12" t="s">
        <v>57</v>
      </c>
    </row>
    <row r="1173" spans="1:9">
      <c r="A1173" s="571" t="s">
        <v>831</v>
      </c>
      <c r="B1173" s="572" t="s">
        <v>827</v>
      </c>
      <c r="C1173" s="572"/>
      <c r="D1173" s="229" t="s">
        <v>414</v>
      </c>
      <c r="E1173" s="351">
        <v>0.38</v>
      </c>
      <c r="F1173" s="307">
        <v>28300</v>
      </c>
      <c r="G1173" s="308">
        <f>F1173*E1173</f>
        <v>10754</v>
      </c>
      <c r="I1173" s="319"/>
    </row>
    <row r="1174" spans="1:9">
      <c r="A1174" s="571"/>
      <c r="B1174" s="371" t="s">
        <v>876</v>
      </c>
      <c r="C1174" s="371"/>
      <c r="D1174" s="229" t="s">
        <v>414</v>
      </c>
      <c r="E1174" s="351">
        <v>0.38</v>
      </c>
      <c r="F1174" s="307">
        <v>56600</v>
      </c>
      <c r="G1174" s="308">
        <f>E1174*F1174</f>
        <v>21508</v>
      </c>
      <c r="I1174" s="319"/>
    </row>
    <row r="1175" spans="1:9" ht="10.5" customHeight="1">
      <c r="A1175" s="558"/>
      <c r="B1175" s="572" t="s">
        <v>828</v>
      </c>
      <c r="C1175" s="572"/>
      <c r="D1175" s="229" t="s">
        <v>414</v>
      </c>
      <c r="E1175" s="351">
        <v>0.14000000000000001</v>
      </c>
      <c r="F1175" s="307">
        <v>30</v>
      </c>
      <c r="G1175" s="308">
        <f>F1175*E1175</f>
        <v>4.2</v>
      </c>
    </row>
    <row r="1176" spans="1:9" ht="10.5" customHeight="1">
      <c r="A1176" s="558"/>
      <c r="B1176" s="237" t="s">
        <v>784</v>
      </c>
      <c r="C1176" s="231"/>
      <c r="D1176" s="232" t="s">
        <v>414</v>
      </c>
      <c r="E1176" s="354">
        <v>0.04</v>
      </c>
      <c r="F1176" s="307">
        <v>1000</v>
      </c>
      <c r="G1176" s="308">
        <f t="shared" ref="G1176" si="63">F1176*E1176</f>
        <v>40</v>
      </c>
    </row>
    <row r="1177" spans="1:9" ht="10.5" customHeight="1">
      <c r="A1177" s="339"/>
      <c r="B1177" s="237"/>
      <c r="C1177" s="231"/>
      <c r="D1177" s="232"/>
      <c r="E1177" s="354"/>
      <c r="F1177" s="307"/>
      <c r="G1177" s="308"/>
    </row>
    <row r="1178" spans="1:9">
      <c r="A1178" s="573" t="s">
        <v>832</v>
      </c>
      <c r="B1178" s="573"/>
      <c r="C1178" s="181"/>
      <c r="D1178" s="182"/>
      <c r="E1178" s="346"/>
      <c r="F1178" s="183"/>
      <c r="G1178" s="160">
        <f>ROUND(SUM(G1173:G1177),2)</f>
        <v>32306.2</v>
      </c>
    </row>
    <row r="1179" spans="1:9" s="15" customFormat="1" ht="14.25">
      <c r="A1179" s="245"/>
      <c r="B1179" s="245"/>
      <c r="C1179" s="245"/>
      <c r="D1179" s="245"/>
      <c r="E1179" s="245"/>
      <c r="F1179" s="245"/>
      <c r="G1179" s="154"/>
      <c r="H1179" s="246"/>
    </row>
    <row r="1180" spans="1:9" s="15" customFormat="1" ht="22.5" customHeight="1">
      <c r="A1180" s="245"/>
      <c r="B1180" s="245"/>
      <c r="C1180" s="245"/>
      <c r="D1180" s="245"/>
      <c r="E1180" s="245"/>
      <c r="F1180" s="245"/>
      <c r="G1180" s="154"/>
      <c r="H1180" s="246"/>
    </row>
    <row r="1182" spans="1:9" ht="18">
      <c r="A1182" s="574" t="s">
        <v>131</v>
      </c>
      <c r="B1182" s="574"/>
      <c r="C1182" s="574"/>
      <c r="D1182" s="574"/>
      <c r="E1182" s="574"/>
      <c r="F1182" s="574"/>
      <c r="G1182" s="574"/>
      <c r="H1182" s="574"/>
    </row>
    <row r="1183" spans="1:9" ht="15.75">
      <c r="A1183" s="567" t="s">
        <v>802</v>
      </c>
      <c r="B1183" s="567"/>
      <c r="C1183" s="567"/>
      <c r="D1183" s="567"/>
      <c r="E1183" s="567"/>
      <c r="F1183" s="567"/>
      <c r="G1183" s="568">
        <f>G1116</f>
        <v>3.99</v>
      </c>
      <c r="H1183" s="568"/>
    </row>
    <row r="1184" spans="1:9" ht="15.75">
      <c r="A1184" s="567" t="s">
        <v>883</v>
      </c>
      <c r="B1184" s="567"/>
      <c r="C1184" s="567"/>
      <c r="D1184" s="567"/>
      <c r="E1184" s="567"/>
      <c r="F1184" s="567"/>
      <c r="G1184" s="568">
        <f>'Mat. Prima Alim AGRIC. FAM.'!F368</f>
        <v>0.15</v>
      </c>
      <c r="H1184" s="568"/>
    </row>
    <row r="1185" spans="1:14" ht="15.75">
      <c r="A1185" s="567" t="s">
        <v>803</v>
      </c>
      <c r="B1185" s="567"/>
      <c r="C1185" s="567"/>
      <c r="D1185" s="567"/>
      <c r="E1185" s="567"/>
      <c r="F1185" s="567"/>
      <c r="G1185" s="568">
        <f>H1139</f>
        <v>0.31000000000000005</v>
      </c>
      <c r="H1185" s="568"/>
    </row>
    <row r="1186" spans="1:14" ht="15.75">
      <c r="A1186" s="567" t="s">
        <v>804</v>
      </c>
      <c r="B1186" s="567"/>
      <c r="C1186" s="567"/>
      <c r="D1186" s="567"/>
      <c r="E1186" s="567"/>
      <c r="F1186" s="567"/>
      <c r="G1186" s="568">
        <f>G1168</f>
        <v>0.22</v>
      </c>
      <c r="H1186" s="568"/>
    </row>
    <row r="1188" spans="1:14" ht="15.75">
      <c r="A1188" s="575" t="s">
        <v>809</v>
      </c>
      <c r="B1188" s="575"/>
      <c r="C1188" s="575"/>
      <c r="D1188" s="575"/>
      <c r="E1188" s="575"/>
      <c r="F1188" s="575"/>
      <c r="G1188" s="576">
        <f>G1183+G1184+G1185+G1186</f>
        <v>4.6700000000000008</v>
      </c>
      <c r="H1188" s="576"/>
    </row>
    <row r="1190" spans="1:14" ht="24.75" customHeight="1" thickBot="1"/>
    <row r="1191" spans="1:14" ht="16.5" thickBot="1">
      <c r="A1191" s="247"/>
      <c r="B1191" s="577" t="s">
        <v>805</v>
      </c>
      <c r="C1191" s="578"/>
      <c r="D1191" s="578"/>
      <c r="E1191" s="578"/>
      <c r="F1191" s="578"/>
      <c r="G1191" s="579"/>
      <c r="H1191" s="370"/>
      <c r="I1191" s="370"/>
    </row>
    <row r="1192" spans="1:14" ht="13.5" thickBot="1">
      <c r="A1192" s="248"/>
      <c r="B1192" s="372"/>
      <c r="C1192" s="391" t="s">
        <v>837</v>
      </c>
      <c r="D1192" s="392" t="s">
        <v>836</v>
      </c>
      <c r="E1192" s="392" t="s">
        <v>875</v>
      </c>
      <c r="F1192" s="393" t="s">
        <v>859</v>
      </c>
      <c r="G1192" s="394" t="s">
        <v>860</v>
      </c>
    </row>
    <row r="1193" spans="1:14" ht="12.75">
      <c r="A1193" s="248"/>
      <c r="B1193" s="373" t="s">
        <v>370</v>
      </c>
      <c r="C1193" s="374">
        <v>650</v>
      </c>
      <c r="D1193" s="375">
        <v>650</v>
      </c>
      <c r="E1193" s="376">
        <v>400</v>
      </c>
      <c r="F1193" s="377">
        <f>SUM(C1193:E1193)</f>
        <v>1700</v>
      </c>
      <c r="G1193" s="378">
        <f>F1193*22</f>
        <v>37400</v>
      </c>
      <c r="N1193" s="365"/>
    </row>
    <row r="1194" spans="1:14" ht="12.75">
      <c r="A1194" s="248"/>
      <c r="B1194" s="373" t="s">
        <v>806</v>
      </c>
      <c r="C1194" s="379">
        <v>0</v>
      </c>
      <c r="D1194" s="380">
        <v>0</v>
      </c>
      <c r="E1194" s="381">
        <v>0</v>
      </c>
      <c r="F1194" s="382">
        <v>0</v>
      </c>
      <c r="G1194" s="383">
        <f t="shared" ref="G1194:G1197" si="64">F1194*22</f>
        <v>0</v>
      </c>
      <c r="N1194" s="365"/>
    </row>
    <row r="1195" spans="1:14" ht="12.75">
      <c r="A1195" s="249"/>
      <c r="B1195" s="384"/>
      <c r="C1195" s="379"/>
      <c r="D1195" s="380"/>
      <c r="E1195" s="381"/>
      <c r="F1195" s="382"/>
      <c r="G1195" s="383">
        <f t="shared" si="64"/>
        <v>0</v>
      </c>
    </row>
    <row r="1196" spans="1:14" ht="12.75">
      <c r="A1196" s="248"/>
      <c r="B1196" s="373" t="s">
        <v>807</v>
      </c>
      <c r="C1196" s="379">
        <v>620</v>
      </c>
      <c r="D1196" s="380">
        <v>620</v>
      </c>
      <c r="E1196" s="381">
        <v>0</v>
      </c>
      <c r="F1196" s="382">
        <f>SUM(C1196:E1196)</f>
        <v>1240</v>
      </c>
      <c r="G1196" s="383">
        <f t="shared" si="64"/>
        <v>27280</v>
      </c>
    </row>
    <row r="1197" spans="1:14" ht="13.5" thickBot="1">
      <c r="A1197" s="248"/>
      <c r="B1197" s="385" t="s">
        <v>808</v>
      </c>
      <c r="C1197" s="386">
        <v>0</v>
      </c>
      <c r="D1197" s="387">
        <v>0</v>
      </c>
      <c r="E1197" s="388">
        <v>0</v>
      </c>
      <c r="F1197" s="389">
        <v>0</v>
      </c>
      <c r="G1197" s="390">
        <f t="shared" si="64"/>
        <v>0</v>
      </c>
    </row>
    <row r="1198" spans="1:14" ht="13.5" thickBot="1">
      <c r="A1198" s="250"/>
      <c r="B1198" s="395" t="s">
        <v>858</v>
      </c>
      <c r="C1198" s="396">
        <f>SUM(C1193:C1197)</f>
        <v>1270</v>
      </c>
      <c r="D1198" s="396">
        <f>SUM(D1193:D1197)</f>
        <v>1270</v>
      </c>
      <c r="E1198" s="396">
        <f>SUM(E1193:E1197)</f>
        <v>400</v>
      </c>
      <c r="F1198" s="397">
        <f>SUM(F1193:F1197)</f>
        <v>2940</v>
      </c>
      <c r="G1198" s="398">
        <f>SUM(G1193:G1197)</f>
        <v>64680</v>
      </c>
    </row>
    <row r="1199" spans="1:14" s="15" customFormat="1" ht="12.75">
      <c r="A1199" s="250"/>
      <c r="B1199" s="254"/>
      <c r="C1199" s="255"/>
      <c r="D1199" s="255"/>
      <c r="E1199" s="255"/>
      <c r="F1199" s="255"/>
      <c r="G1199" s="255"/>
      <c r="H1199" s="256"/>
    </row>
    <row r="1200" spans="1:14" ht="22.5" customHeight="1">
      <c r="A1200" s="251"/>
      <c r="B1200" s="564" t="s">
        <v>810</v>
      </c>
      <c r="C1200" s="564"/>
      <c r="D1200" s="564"/>
      <c r="E1200" s="564"/>
      <c r="F1200" s="564"/>
      <c r="G1200" s="564"/>
    </row>
    <row r="1201" spans="1:8" ht="15">
      <c r="A1201" s="251"/>
      <c r="B1201" s="564"/>
      <c r="C1201" s="564"/>
      <c r="D1201" s="564"/>
      <c r="E1201" s="564"/>
      <c r="F1201" s="564"/>
      <c r="G1201" s="564"/>
    </row>
    <row r="1202" spans="1:8" ht="15" customHeight="1">
      <c r="B1202" s="563">
        <f>G1183*G1198</f>
        <v>258073.2</v>
      </c>
      <c r="C1202" s="563"/>
      <c r="D1202" s="563"/>
      <c r="E1202" s="563"/>
      <c r="F1202" s="563"/>
      <c r="G1202" s="563"/>
    </row>
    <row r="1203" spans="1:8" ht="15" customHeight="1">
      <c r="B1203" s="316"/>
      <c r="C1203" s="316"/>
      <c r="D1203" s="316"/>
      <c r="E1203" s="316"/>
      <c r="F1203" s="316"/>
      <c r="G1203" s="316"/>
    </row>
    <row r="1204" spans="1:8" ht="15" customHeight="1">
      <c r="B1204" s="564" t="s">
        <v>882</v>
      </c>
      <c r="C1204" s="564"/>
      <c r="D1204" s="564"/>
      <c r="E1204" s="564"/>
      <c r="F1204" s="564"/>
      <c r="G1204" s="564"/>
    </row>
    <row r="1205" spans="1:8" ht="15" customHeight="1">
      <c r="B1205" s="564"/>
      <c r="C1205" s="564"/>
      <c r="D1205" s="564"/>
      <c r="E1205" s="564"/>
      <c r="F1205" s="564"/>
      <c r="G1205" s="564"/>
    </row>
    <row r="1206" spans="1:8" ht="15" customHeight="1">
      <c r="B1206" s="563">
        <f>G1198*G1184</f>
        <v>9702</v>
      </c>
      <c r="C1206" s="563"/>
      <c r="D1206" s="563"/>
      <c r="E1206" s="563"/>
      <c r="F1206" s="563"/>
      <c r="G1206" s="563"/>
    </row>
    <row r="1207" spans="1:8" ht="15" customHeight="1">
      <c r="B1207" s="316"/>
      <c r="C1207" s="316"/>
      <c r="D1207" s="316"/>
      <c r="E1207" s="316"/>
      <c r="F1207" s="316"/>
      <c r="G1207" s="316"/>
    </row>
    <row r="1208" spans="1:8" ht="18" customHeight="1">
      <c r="A1208" s="251"/>
      <c r="B1208" s="564" t="s">
        <v>811</v>
      </c>
      <c r="C1208" s="564"/>
      <c r="D1208" s="564"/>
      <c r="E1208" s="564"/>
      <c r="F1208" s="564"/>
      <c r="G1208" s="564"/>
      <c r="H1208" s="252"/>
    </row>
    <row r="1209" spans="1:8" ht="15.75" customHeight="1">
      <c r="A1209" s="251"/>
      <c r="B1209" s="564"/>
      <c r="C1209" s="564"/>
      <c r="D1209" s="564"/>
      <c r="E1209" s="564"/>
      <c r="F1209" s="564"/>
      <c r="G1209" s="564"/>
      <c r="H1209" s="8"/>
    </row>
    <row r="1210" spans="1:8" s="15" customFormat="1" ht="15" customHeight="1">
      <c r="A1210" s="251"/>
      <c r="B1210" s="563">
        <f>G1185*G1198</f>
        <v>20050.800000000003</v>
      </c>
      <c r="C1210" s="563"/>
      <c r="D1210" s="563"/>
      <c r="E1210" s="563"/>
      <c r="F1210" s="563"/>
      <c r="G1210" s="563"/>
      <c r="H1210" s="317"/>
    </row>
    <row r="1211" spans="1:8" ht="15.75" customHeight="1">
      <c r="B1211" s="315"/>
      <c r="C1211" s="315"/>
      <c r="D1211" s="315"/>
      <c r="E1211" s="358"/>
      <c r="F1211" s="315"/>
      <c r="G1211" s="315"/>
    </row>
    <row r="1212" spans="1:8" ht="18" customHeight="1">
      <c r="A1212" s="251"/>
      <c r="B1212" s="564" t="s">
        <v>812</v>
      </c>
      <c r="C1212" s="564"/>
      <c r="D1212" s="564"/>
      <c r="E1212" s="564"/>
      <c r="F1212" s="564"/>
      <c r="G1212" s="564"/>
    </row>
    <row r="1213" spans="1:8" ht="15">
      <c r="A1213" s="251"/>
      <c r="B1213" s="564"/>
      <c r="C1213" s="564"/>
      <c r="D1213" s="564"/>
      <c r="E1213" s="564"/>
      <c r="F1213" s="564"/>
      <c r="G1213" s="564"/>
      <c r="H1213" s="8"/>
    </row>
    <row r="1214" spans="1:8" s="15" customFormat="1" ht="15" customHeight="1">
      <c r="A1214" s="251"/>
      <c r="B1214" s="563">
        <f>G1186*G1198</f>
        <v>14229.6</v>
      </c>
      <c r="C1214" s="563"/>
      <c r="D1214" s="563"/>
      <c r="E1214" s="563"/>
      <c r="F1214" s="563"/>
      <c r="G1214" s="563"/>
      <c r="H1214" s="317"/>
    </row>
    <row r="1215" spans="1:8" ht="15" customHeight="1">
      <c r="B1215" s="315"/>
      <c r="C1215" s="315"/>
      <c r="D1215" s="315"/>
      <c r="E1215" s="358"/>
      <c r="F1215" s="315"/>
      <c r="G1215" s="315"/>
    </row>
    <row r="1216" spans="1:8" ht="18" customHeight="1">
      <c r="A1216" s="251"/>
      <c r="B1216" s="565" t="s">
        <v>372</v>
      </c>
      <c r="C1216" s="565"/>
      <c r="D1216" s="565"/>
      <c r="E1216" s="565"/>
      <c r="F1216" s="565"/>
      <c r="G1216" s="565"/>
    </row>
    <row r="1217" spans="1:8" ht="15">
      <c r="A1217" s="251"/>
      <c r="B1217" s="565"/>
      <c r="C1217" s="565"/>
      <c r="D1217" s="565"/>
      <c r="E1217" s="565"/>
      <c r="F1217" s="565"/>
      <c r="G1217" s="565"/>
      <c r="H1217" s="8"/>
    </row>
    <row r="1218" spans="1:8" s="15" customFormat="1" ht="15" customHeight="1">
      <c r="A1218" s="251"/>
      <c r="B1218" s="566">
        <f>G1188*G1198</f>
        <v>302055.60000000003</v>
      </c>
      <c r="C1218" s="566"/>
      <c r="D1218" s="566"/>
      <c r="E1218" s="566"/>
      <c r="F1218" s="566"/>
      <c r="G1218" s="566"/>
      <c r="H1218" s="318"/>
    </row>
    <row r="1219" spans="1:8" ht="15.75" customHeight="1">
      <c r="B1219" s="315"/>
      <c r="C1219" s="315"/>
      <c r="D1219" s="315"/>
      <c r="E1219" s="358"/>
      <c r="F1219" s="315"/>
      <c r="G1219" s="315"/>
      <c r="H1219" s="253"/>
    </row>
    <row r="1220" spans="1:8" ht="18" customHeight="1">
      <c r="B1220" s="565" t="s">
        <v>834</v>
      </c>
      <c r="C1220" s="565"/>
      <c r="D1220" s="565"/>
      <c r="E1220" s="565"/>
      <c r="F1220" s="565"/>
      <c r="G1220" s="565"/>
    </row>
    <row r="1221" spans="1:8">
      <c r="B1221" s="565"/>
      <c r="C1221" s="565"/>
      <c r="D1221" s="565"/>
      <c r="E1221" s="565"/>
      <c r="F1221" s="565"/>
      <c r="G1221" s="565"/>
      <c r="H1221" s="8"/>
    </row>
    <row r="1222" spans="1:8" s="15" customFormat="1" ht="17.25" customHeight="1">
      <c r="B1222" s="566">
        <f>G1178</f>
        <v>32306.2</v>
      </c>
      <c r="C1222" s="566"/>
      <c r="D1222" s="566"/>
      <c r="E1222" s="566"/>
      <c r="F1222" s="566"/>
      <c r="G1222" s="566"/>
      <c r="H1222" s="318"/>
    </row>
    <row r="1223" spans="1:8" ht="9.75" customHeight="1">
      <c r="B1223" s="311"/>
      <c r="C1223" s="311"/>
      <c r="D1223" s="311"/>
      <c r="E1223" s="359"/>
      <c r="F1223" s="311"/>
      <c r="G1223" s="311"/>
      <c r="H1223" s="253"/>
    </row>
    <row r="1224" spans="1:8" ht="18" customHeight="1">
      <c r="B1224" s="562" t="s">
        <v>873</v>
      </c>
      <c r="C1224" s="562"/>
      <c r="D1224" s="562"/>
      <c r="E1224" s="562"/>
      <c r="F1224" s="562"/>
      <c r="G1224" s="562"/>
    </row>
    <row r="1226" spans="1:8" ht="11.25" customHeight="1"/>
    <row r="1236" ht="18.75" customHeight="1"/>
    <row r="1319" ht="19.5" customHeight="1"/>
    <row r="1328" ht="9.75" customHeight="1"/>
    <row r="1408" ht="17.25" customHeight="1"/>
    <row r="1491" ht="17.25" customHeight="1"/>
    <row r="1578" ht="17.25" customHeight="1"/>
    <row r="1661" ht="17.25" customHeight="1"/>
    <row r="1753" ht="17.25" customHeight="1"/>
    <row r="1755" ht="57" customHeight="1"/>
    <row r="1758" ht="45" customHeight="1"/>
    <row r="1759" ht="12.75" customHeight="1"/>
    <row r="1760" ht="10.5" customHeight="1"/>
    <row r="1761" ht="10.5" customHeight="1"/>
    <row r="1762" ht="10.5" customHeight="1"/>
    <row r="1763" ht="10.5" customHeight="1"/>
    <row r="1764" ht="21" customHeight="1"/>
    <row r="1767" ht="10.5" customHeight="1"/>
    <row r="1768" ht="10.5" customHeight="1"/>
    <row r="1769" ht="10.5" customHeight="1"/>
    <row r="1770" ht="10.5" customHeight="1"/>
    <row r="1771" ht="10.5" customHeight="1"/>
    <row r="1772" ht="10.5" customHeight="1"/>
    <row r="1773" ht="10.5" customHeight="1"/>
    <row r="1774" ht="21" customHeight="1"/>
    <row r="1777" ht="12.75" customHeight="1"/>
    <row r="1778" ht="20.25" customHeight="1"/>
    <row r="1779" ht="20.25" customHeight="1"/>
    <row r="1780" ht="15" customHeight="1"/>
    <row r="1781" ht="15" customHeight="1"/>
    <row r="1783" ht="30" customHeight="1"/>
    <row r="1785" ht="10.5" customHeight="1"/>
    <row r="1786" ht="10.5" customHeight="1"/>
    <row r="1787" ht="10.5" customHeight="1"/>
    <row r="1788" ht="10.5" customHeight="1"/>
    <row r="1789" ht="10.5" customHeight="1"/>
    <row r="1790" ht="10.5" customHeight="1"/>
    <row r="1791" ht="10.5" customHeight="1"/>
    <row r="1792" ht="10.5" customHeight="1"/>
    <row r="1793" ht="10.5" customHeight="1"/>
    <row r="1794" ht="10.5" customHeight="1"/>
    <row r="1795" ht="10.5" customHeight="1"/>
    <row r="1796" ht="10.5" customHeight="1"/>
    <row r="1797" ht="10.5" customHeight="1"/>
    <row r="1798" ht="10.5" customHeight="1"/>
    <row r="1799" ht="10.5" customHeight="1"/>
    <row r="1800" ht="10.5" customHeight="1"/>
    <row r="1801" ht="10.5" customHeight="1"/>
    <row r="1802" ht="10.5" customHeight="1"/>
    <row r="1803" ht="10.5" customHeight="1"/>
    <row r="1804" ht="10.5" customHeight="1"/>
    <row r="1805" ht="10.5" customHeight="1"/>
    <row r="1806" ht="21" customHeight="1"/>
    <row r="1808" ht="14.25" customHeight="1"/>
    <row r="1816" ht="51.75" customHeight="1"/>
    <row r="1827" ht="15" customHeight="1"/>
    <row r="1828" ht="15.75" customHeight="1"/>
    <row r="1831" ht="15" customHeight="1"/>
    <row r="1832" ht="15" customHeight="1"/>
    <row r="1835" ht="15" customHeight="1"/>
    <row r="1836" ht="18" customHeight="1"/>
    <row r="1839" ht="15" customHeight="1"/>
    <row r="1840" ht="16.5" customHeight="1"/>
    <row r="1845" ht="9.75" customHeight="1"/>
  </sheetData>
  <sheetProtection selectLockedCells="1" selectUnlockedCells="1"/>
  <mergeCells count="46">
    <mergeCell ref="B1208:G1209"/>
    <mergeCell ref="A1186:F1186"/>
    <mergeCell ref="G1186:H1186"/>
    <mergeCell ref="A1188:F1188"/>
    <mergeCell ref="G1188:H1188"/>
    <mergeCell ref="B1191:G1191"/>
    <mergeCell ref="B1204:G1205"/>
    <mergeCell ref="B1206:G1206"/>
    <mergeCell ref="A1185:F1185"/>
    <mergeCell ref="G1185:H1185"/>
    <mergeCell ref="B1200:G1201"/>
    <mergeCell ref="B1202:G1202"/>
    <mergeCell ref="A1168:F1168"/>
    <mergeCell ref="G1168:H1168"/>
    <mergeCell ref="A1171:H1171"/>
    <mergeCell ref="A1173:A1176"/>
    <mergeCell ref="B1173:C1173"/>
    <mergeCell ref="B1175:C1175"/>
    <mergeCell ref="A1184:F1184"/>
    <mergeCell ref="G1184:H1184"/>
    <mergeCell ref="A1178:B1178"/>
    <mergeCell ref="A1182:H1182"/>
    <mergeCell ref="A1183:F1183"/>
    <mergeCell ref="G1183:H1183"/>
    <mergeCell ref="B1224:G1224"/>
    <mergeCell ref="B1210:G1210"/>
    <mergeCell ref="B1212:G1213"/>
    <mergeCell ref="B1214:G1214"/>
    <mergeCell ref="B1216:G1217"/>
    <mergeCell ref="B1218:G1218"/>
    <mergeCell ref="B1220:G1221"/>
    <mergeCell ref="B1222:G1222"/>
    <mergeCell ref="A1122:A1125"/>
    <mergeCell ref="A1:H1"/>
    <mergeCell ref="A3:H3"/>
    <mergeCell ref="A5:H5"/>
    <mergeCell ref="A1116:F1116"/>
    <mergeCell ref="G1116:H1116"/>
    <mergeCell ref="A1120:H1120"/>
    <mergeCell ref="A1146:A1165"/>
    <mergeCell ref="A1144:H1144"/>
    <mergeCell ref="A1129:A1134"/>
    <mergeCell ref="A1139:F1139"/>
    <mergeCell ref="H1139:H1141"/>
    <mergeCell ref="B1140:F1140"/>
    <mergeCell ref="B1141:F1141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70" firstPageNumber="0" fitToWidth="9" fitToHeight="9" orientation="portrait" r:id="rId1"/>
  <headerFooter alignWithMargins="0"/>
  <ignoredErrors>
    <ignoredError sqref="G1174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DD550-7031-4521-BF95-2F41919A8486}">
  <dimension ref="A1:F368"/>
  <sheetViews>
    <sheetView topLeftCell="A253" workbookViewId="0">
      <selection activeCell="H6" sqref="H6"/>
    </sheetView>
  </sheetViews>
  <sheetFormatPr defaultRowHeight="15.75"/>
  <cols>
    <col min="1" max="1" width="15.85546875" style="405" customWidth="1"/>
    <col min="2" max="2" width="30.5703125" style="405" customWidth="1"/>
    <col min="3" max="3" width="9.140625" style="405"/>
    <col min="4" max="4" width="16.7109375" style="405" customWidth="1"/>
    <col min="5" max="5" width="16.28515625" style="405" customWidth="1"/>
    <col min="6" max="6" width="18.5703125" style="405" customWidth="1"/>
    <col min="7" max="16384" width="9.140625" style="405"/>
  </cols>
  <sheetData>
    <row r="1" spans="1:6">
      <c r="A1" s="580" t="s">
        <v>878</v>
      </c>
      <c r="B1" s="580"/>
      <c r="C1" s="580"/>
      <c r="D1" s="580"/>
      <c r="E1" s="580"/>
      <c r="F1" s="580"/>
    </row>
    <row r="3" spans="1:6" s="410" customFormat="1">
      <c r="A3" s="406" t="s">
        <v>375</v>
      </c>
      <c r="B3" s="406"/>
      <c r="C3" s="407" t="s">
        <v>376</v>
      </c>
      <c r="D3" s="407" t="s">
        <v>91</v>
      </c>
      <c r="E3" s="408" t="s">
        <v>92</v>
      </c>
      <c r="F3" s="409" t="s">
        <v>93</v>
      </c>
    </row>
    <row r="5" spans="1:6" s="416" customFormat="1">
      <c r="A5" s="411"/>
      <c r="B5" s="224" t="s">
        <v>382</v>
      </c>
      <c r="C5" s="412" t="s">
        <v>380</v>
      </c>
      <c r="D5" s="413">
        <v>0.96</v>
      </c>
      <c r="E5" s="414" t="s">
        <v>383</v>
      </c>
      <c r="F5" s="415">
        <f t="shared" ref="F5:F13" si="0">E5*D5</f>
        <v>7.6800000000000002E-3</v>
      </c>
    </row>
    <row r="6" spans="1:6" s="416" customFormat="1">
      <c r="A6" s="411"/>
      <c r="B6" s="224" t="s">
        <v>388</v>
      </c>
      <c r="C6" s="412" t="s">
        <v>380</v>
      </c>
      <c r="D6" s="417">
        <v>2.63</v>
      </c>
      <c r="E6" s="414" t="s">
        <v>389</v>
      </c>
      <c r="F6" s="415">
        <f t="shared" si="0"/>
        <v>2.63E-3</v>
      </c>
    </row>
    <row r="7" spans="1:6" s="416" customFormat="1">
      <c r="A7" s="411"/>
      <c r="B7" s="224" t="s">
        <v>382</v>
      </c>
      <c r="C7" s="412" t="s">
        <v>380</v>
      </c>
      <c r="D7" s="413">
        <v>0.96</v>
      </c>
      <c r="E7" s="414">
        <v>4.9199999999999999E-3</v>
      </c>
      <c r="F7" s="415">
        <f t="shared" si="0"/>
        <v>4.7231999999999994E-3</v>
      </c>
    </row>
    <row r="8" spans="1:6" s="416" customFormat="1">
      <c r="A8" s="411"/>
      <c r="B8" s="418" t="s">
        <v>402</v>
      </c>
      <c r="C8" s="412" t="s">
        <v>380</v>
      </c>
      <c r="D8" s="417">
        <v>0.83</v>
      </c>
      <c r="E8" s="419">
        <v>2.8000000000000001E-2</v>
      </c>
      <c r="F8" s="415">
        <f t="shared" si="0"/>
        <v>2.324E-2</v>
      </c>
    </row>
    <row r="9" spans="1:6" s="416" customFormat="1">
      <c r="A9" s="411"/>
      <c r="B9" s="224" t="s">
        <v>382</v>
      </c>
      <c r="C9" s="412" t="s">
        <v>380</v>
      </c>
      <c r="D9" s="413">
        <v>0.96</v>
      </c>
      <c r="E9" s="414">
        <v>2.5000000000000001E-2</v>
      </c>
      <c r="F9" s="415">
        <f t="shared" si="0"/>
        <v>2.4E-2</v>
      </c>
    </row>
    <row r="10" spans="1:6" s="416" customFormat="1">
      <c r="A10" s="411"/>
      <c r="B10" s="224" t="s">
        <v>403</v>
      </c>
      <c r="C10" s="412" t="s">
        <v>380</v>
      </c>
      <c r="D10" s="413">
        <v>1.25</v>
      </c>
      <c r="E10" s="414" t="s">
        <v>404</v>
      </c>
      <c r="F10" s="415">
        <f t="shared" si="0"/>
        <v>8.7500000000000008E-2</v>
      </c>
    </row>
    <row r="11" spans="1:6" s="416" customFormat="1">
      <c r="A11" s="411"/>
      <c r="B11" s="224" t="s">
        <v>406</v>
      </c>
      <c r="C11" s="412" t="s">
        <v>380</v>
      </c>
      <c r="D11" s="413">
        <v>1.17</v>
      </c>
      <c r="E11" s="414">
        <v>0.15</v>
      </c>
      <c r="F11" s="415">
        <f t="shared" si="0"/>
        <v>0.17549999999999999</v>
      </c>
    </row>
    <row r="12" spans="1:6" s="410" customFormat="1">
      <c r="A12" s="224"/>
      <c r="B12" s="224" t="s">
        <v>410</v>
      </c>
      <c r="C12" s="420" t="s">
        <v>380</v>
      </c>
      <c r="D12" s="421">
        <v>7.37</v>
      </c>
      <c r="E12" s="422">
        <v>2.385E-3</v>
      </c>
      <c r="F12" s="423">
        <f t="shared" si="0"/>
        <v>1.7577450000000001E-2</v>
      </c>
    </row>
    <row r="13" spans="1:6" s="410" customFormat="1">
      <c r="A13" s="424"/>
      <c r="B13" s="424" t="s">
        <v>382</v>
      </c>
      <c r="C13" s="420" t="s">
        <v>380</v>
      </c>
      <c r="D13" s="421">
        <v>0.96</v>
      </c>
      <c r="E13" s="422">
        <v>4.9290899999999997E-3</v>
      </c>
      <c r="F13" s="423">
        <f t="shared" si="0"/>
        <v>4.7319263999999993E-3</v>
      </c>
    </row>
    <row r="14" spans="1:6" s="410" customFormat="1">
      <c r="A14" s="425" t="s">
        <v>371</v>
      </c>
      <c r="B14" s="426"/>
      <c r="C14" s="427"/>
      <c r="D14" s="428"/>
      <c r="E14" s="429"/>
      <c r="F14" s="430">
        <f>SUM(F5:F13)</f>
        <v>0.34758257639999995</v>
      </c>
    </row>
    <row r="15" spans="1:6" s="410" customFormat="1">
      <c r="A15" s="431"/>
      <c r="B15" s="431"/>
      <c r="C15" s="432"/>
      <c r="D15" s="432"/>
      <c r="E15" s="433"/>
      <c r="F15" s="432"/>
    </row>
    <row r="16" spans="1:6" s="410" customFormat="1">
      <c r="A16" s="406" t="s">
        <v>94</v>
      </c>
      <c r="B16" s="406"/>
      <c r="C16" s="407" t="s">
        <v>376</v>
      </c>
      <c r="D16" s="407" t="s">
        <v>91</v>
      </c>
      <c r="E16" s="408" t="s">
        <v>92</v>
      </c>
      <c r="F16" s="409" t="s">
        <v>93</v>
      </c>
    </row>
    <row r="17" spans="1:6" s="416" customFormat="1" ht="22.5" customHeight="1">
      <c r="A17" s="224"/>
      <c r="B17" s="224" t="s">
        <v>388</v>
      </c>
      <c r="C17" s="412" t="s">
        <v>380</v>
      </c>
      <c r="D17" s="417">
        <v>2.63</v>
      </c>
      <c r="E17" s="414" t="s">
        <v>430</v>
      </c>
      <c r="F17" s="415">
        <f t="shared" ref="F17:F24" si="1">E17*D17</f>
        <v>5.2599999999999999E-3</v>
      </c>
    </row>
    <row r="18" spans="1:6" s="416" customFormat="1" ht="22.5" customHeight="1">
      <c r="A18" s="411"/>
      <c r="B18" s="224" t="s">
        <v>431</v>
      </c>
      <c r="C18" s="412" t="s">
        <v>380</v>
      </c>
      <c r="D18" s="413">
        <v>0.72</v>
      </c>
      <c r="E18" s="414">
        <v>0.18</v>
      </c>
      <c r="F18" s="415">
        <f t="shared" si="1"/>
        <v>0.12959999999999999</v>
      </c>
    </row>
    <row r="19" spans="1:6" s="416" customFormat="1" ht="22.5" customHeight="1">
      <c r="A19" s="411"/>
      <c r="B19" s="224" t="s">
        <v>382</v>
      </c>
      <c r="C19" s="412" t="s">
        <v>380</v>
      </c>
      <c r="D19" s="413">
        <v>0.96</v>
      </c>
      <c r="E19" s="414" t="s">
        <v>385</v>
      </c>
      <c r="F19" s="415">
        <f t="shared" si="1"/>
        <v>4.7999999999999996E-3</v>
      </c>
    </row>
    <row r="20" spans="1:6" s="416" customFormat="1">
      <c r="A20" s="411"/>
      <c r="B20" s="224" t="s">
        <v>435</v>
      </c>
      <c r="C20" s="412" t="s">
        <v>380</v>
      </c>
      <c r="D20" s="417">
        <v>0.88</v>
      </c>
      <c r="E20" s="414">
        <v>2.8000000000000001E-2</v>
      </c>
      <c r="F20" s="415">
        <f t="shared" si="1"/>
        <v>2.4640000000000002E-2</v>
      </c>
    </row>
    <row r="21" spans="1:6" s="416" customFormat="1">
      <c r="A21" s="411"/>
      <c r="B21" s="224" t="s">
        <v>403</v>
      </c>
      <c r="C21" s="412" t="s">
        <v>380</v>
      </c>
      <c r="D21" s="413">
        <v>1.25</v>
      </c>
      <c r="E21" s="414">
        <v>7.0000000000000007E-2</v>
      </c>
      <c r="F21" s="415">
        <f t="shared" si="1"/>
        <v>8.7500000000000008E-2</v>
      </c>
    </row>
    <row r="22" spans="1:6" s="416" customFormat="1">
      <c r="A22" s="411"/>
      <c r="B22" s="224" t="s">
        <v>438</v>
      </c>
      <c r="C22" s="412" t="s">
        <v>380</v>
      </c>
      <c r="D22" s="413">
        <v>0.56000000000000005</v>
      </c>
      <c r="E22" s="414" t="s">
        <v>439</v>
      </c>
      <c r="F22" s="415">
        <f t="shared" si="1"/>
        <v>0.14000000000000001</v>
      </c>
    </row>
    <row r="23" spans="1:6" s="416" customFormat="1">
      <c r="A23" s="224"/>
      <c r="B23" s="224" t="s">
        <v>442</v>
      </c>
      <c r="C23" s="420" t="s">
        <v>380</v>
      </c>
      <c r="D23" s="421">
        <v>7.37</v>
      </c>
      <c r="E23" s="422">
        <v>2.385E-3</v>
      </c>
      <c r="F23" s="423">
        <f t="shared" si="1"/>
        <v>1.7577450000000001E-2</v>
      </c>
    </row>
    <row r="24" spans="1:6" s="416" customFormat="1">
      <c r="A24" s="424"/>
      <c r="B24" s="424" t="s">
        <v>382</v>
      </c>
      <c r="C24" s="420" t="s">
        <v>380</v>
      </c>
      <c r="D24" s="421">
        <v>0.96</v>
      </c>
      <c r="E24" s="422">
        <v>4.9290899999999997E-3</v>
      </c>
      <c r="F24" s="423">
        <f t="shared" si="1"/>
        <v>4.7319263999999993E-3</v>
      </c>
    </row>
    <row r="25" spans="1:6" s="410" customFormat="1">
      <c r="A25" s="425" t="s">
        <v>95</v>
      </c>
      <c r="B25" s="426"/>
      <c r="C25" s="427"/>
      <c r="D25" s="428"/>
      <c r="E25" s="429"/>
      <c r="F25" s="430">
        <f>SUM(F17:F24)</f>
        <v>0.41410937639999995</v>
      </c>
    </row>
    <row r="26" spans="1:6" s="410" customFormat="1">
      <c r="A26" s="416"/>
      <c r="B26" s="434"/>
      <c r="C26" s="435"/>
      <c r="D26" s="435"/>
      <c r="E26" s="436"/>
      <c r="F26" s="435"/>
    </row>
    <row r="27" spans="1:6" s="410" customFormat="1">
      <c r="A27" s="406" t="s">
        <v>96</v>
      </c>
      <c r="B27" s="406"/>
      <c r="C27" s="407" t="s">
        <v>376</v>
      </c>
      <c r="D27" s="407" t="s">
        <v>91</v>
      </c>
      <c r="E27" s="408" t="s">
        <v>92</v>
      </c>
      <c r="F27" s="409" t="s">
        <v>93</v>
      </c>
    </row>
    <row r="28" spans="1:6" s="410" customFormat="1">
      <c r="A28" s="411"/>
      <c r="B28" s="437" t="s">
        <v>382</v>
      </c>
      <c r="C28" s="412" t="s">
        <v>380</v>
      </c>
      <c r="D28" s="438">
        <v>0.96</v>
      </c>
      <c r="E28" s="414" t="s">
        <v>446</v>
      </c>
      <c r="F28" s="439">
        <f t="shared" ref="F28:F35" si="2">E28*D28</f>
        <v>5.7599999999999998E-2</v>
      </c>
    </row>
    <row r="29" spans="1:6" s="410" customFormat="1">
      <c r="A29" s="411"/>
      <c r="B29" s="437" t="s">
        <v>449</v>
      </c>
      <c r="C29" s="412" t="s">
        <v>380</v>
      </c>
      <c r="D29" s="438">
        <v>2.11</v>
      </c>
      <c r="E29" s="414">
        <v>0.11</v>
      </c>
      <c r="F29" s="439">
        <f t="shared" si="2"/>
        <v>0.2321</v>
      </c>
    </row>
    <row r="30" spans="1:6" s="416" customFormat="1">
      <c r="A30" s="411"/>
      <c r="B30" s="437" t="s">
        <v>410</v>
      </c>
      <c r="C30" s="412" t="s">
        <v>380</v>
      </c>
      <c r="D30" s="438">
        <v>7.37</v>
      </c>
      <c r="E30" s="414" t="s">
        <v>451</v>
      </c>
      <c r="F30" s="439">
        <f t="shared" si="2"/>
        <v>5.8960000000000002E-3</v>
      </c>
    </row>
    <row r="31" spans="1:6" s="441" customFormat="1">
      <c r="A31" s="411"/>
      <c r="B31" s="437" t="s">
        <v>452</v>
      </c>
      <c r="C31" s="412" t="s">
        <v>380</v>
      </c>
      <c r="D31" s="440">
        <v>1.31</v>
      </c>
      <c r="E31" s="414" t="s">
        <v>391</v>
      </c>
      <c r="F31" s="439">
        <f t="shared" si="2"/>
        <v>6.5500000000000003E-2</v>
      </c>
    </row>
    <row r="32" spans="1:6" s="416" customFormat="1">
      <c r="A32" s="411"/>
      <c r="B32" s="437" t="s">
        <v>382</v>
      </c>
      <c r="C32" s="412" t="s">
        <v>380</v>
      </c>
      <c r="D32" s="438">
        <v>0.96</v>
      </c>
      <c r="E32" s="414">
        <v>5.0000000000000001E-3</v>
      </c>
      <c r="F32" s="439">
        <f t="shared" si="2"/>
        <v>4.7999999999999996E-3</v>
      </c>
    </row>
    <row r="33" spans="1:6" s="416" customFormat="1">
      <c r="A33" s="411"/>
      <c r="B33" s="437" t="s">
        <v>457</v>
      </c>
      <c r="C33" s="412" t="s">
        <v>380</v>
      </c>
      <c r="D33" s="438">
        <v>1.21</v>
      </c>
      <c r="E33" s="414">
        <v>0.15</v>
      </c>
      <c r="F33" s="439">
        <f t="shared" si="2"/>
        <v>0.18149999999999999</v>
      </c>
    </row>
    <row r="34" spans="1:6" s="416" customFormat="1">
      <c r="A34" s="224"/>
      <c r="B34" s="224" t="s">
        <v>410</v>
      </c>
      <c r="C34" s="420" t="s">
        <v>380</v>
      </c>
      <c r="D34" s="421">
        <v>7.37</v>
      </c>
      <c r="E34" s="422">
        <v>2.385E-3</v>
      </c>
      <c r="F34" s="423">
        <f t="shared" si="2"/>
        <v>1.7577450000000001E-2</v>
      </c>
    </row>
    <row r="35" spans="1:6" s="416" customFormat="1">
      <c r="A35" s="424"/>
      <c r="B35" s="424" t="s">
        <v>382</v>
      </c>
      <c r="C35" s="420" t="s">
        <v>380</v>
      </c>
      <c r="D35" s="421">
        <v>0.96</v>
      </c>
      <c r="E35" s="422">
        <v>4.9290899999999997E-3</v>
      </c>
      <c r="F35" s="423">
        <f t="shared" si="2"/>
        <v>4.7319263999999993E-3</v>
      </c>
    </row>
    <row r="36" spans="1:6" s="416" customFormat="1">
      <c r="A36" s="425" t="s">
        <v>97</v>
      </c>
      <c r="B36" s="426"/>
      <c r="C36" s="427"/>
      <c r="D36" s="428"/>
      <c r="E36" s="429"/>
      <c r="F36" s="442">
        <f>SUM(F28:F35)</f>
        <v>0.56970537639999996</v>
      </c>
    </row>
    <row r="37" spans="1:6" s="416" customFormat="1">
      <c r="A37" s="443"/>
      <c r="B37" s="444"/>
      <c r="C37" s="445"/>
      <c r="D37" s="445"/>
      <c r="E37" s="446"/>
      <c r="F37" s="445"/>
    </row>
    <row r="38" spans="1:6" s="410" customFormat="1">
      <c r="A38" s="406" t="s">
        <v>98</v>
      </c>
      <c r="B38" s="406"/>
      <c r="C38" s="407" t="s">
        <v>376</v>
      </c>
      <c r="D38" s="407" t="s">
        <v>91</v>
      </c>
      <c r="E38" s="408" t="s">
        <v>92</v>
      </c>
      <c r="F38" s="409" t="s">
        <v>93</v>
      </c>
    </row>
    <row r="39" spans="1:6" s="410" customFormat="1">
      <c r="A39" s="411"/>
      <c r="B39" s="437" t="s">
        <v>463</v>
      </c>
      <c r="C39" s="412" t="s">
        <v>380</v>
      </c>
      <c r="D39" s="438">
        <v>0.96</v>
      </c>
      <c r="E39" s="414">
        <v>5.0000000000000001E-3</v>
      </c>
      <c r="F39" s="439">
        <f t="shared" ref="F39:F49" si="3">E39*D39</f>
        <v>4.7999999999999996E-3</v>
      </c>
    </row>
    <row r="40" spans="1:6" s="410" customFormat="1">
      <c r="A40" s="411"/>
      <c r="B40" s="437" t="s">
        <v>464</v>
      </c>
      <c r="C40" s="412" t="s">
        <v>380</v>
      </c>
      <c r="D40" s="438">
        <v>1.87</v>
      </c>
      <c r="E40" s="414" t="s">
        <v>393</v>
      </c>
      <c r="F40" s="439">
        <f t="shared" si="3"/>
        <v>3.7400000000000003E-2</v>
      </c>
    </row>
    <row r="41" spans="1:6" s="410" customFormat="1">
      <c r="A41" s="411"/>
      <c r="B41" s="437" t="s">
        <v>388</v>
      </c>
      <c r="C41" s="412" t="s">
        <v>380</v>
      </c>
      <c r="D41" s="440">
        <v>2.63</v>
      </c>
      <c r="E41" s="414" t="s">
        <v>430</v>
      </c>
      <c r="F41" s="439">
        <f t="shared" si="3"/>
        <v>5.2599999999999999E-3</v>
      </c>
    </row>
    <row r="42" spans="1:6" s="410" customFormat="1">
      <c r="A42" s="411"/>
      <c r="B42" s="437" t="s">
        <v>468</v>
      </c>
      <c r="C42" s="412" t="s">
        <v>380</v>
      </c>
      <c r="D42" s="438">
        <v>0.72</v>
      </c>
      <c r="E42" s="414">
        <v>0.14000000000000001</v>
      </c>
      <c r="F42" s="439">
        <f t="shared" si="3"/>
        <v>0.1008</v>
      </c>
    </row>
    <row r="43" spans="1:6" s="410" customFormat="1">
      <c r="A43" s="411"/>
      <c r="B43" s="437" t="s">
        <v>469</v>
      </c>
      <c r="C43" s="412" t="s">
        <v>380</v>
      </c>
      <c r="D43" s="438">
        <v>0.81</v>
      </c>
      <c r="E43" s="414">
        <v>0.03</v>
      </c>
      <c r="F43" s="439">
        <f t="shared" si="3"/>
        <v>2.4300000000000002E-2</v>
      </c>
    </row>
    <row r="44" spans="1:6" s="416" customFormat="1">
      <c r="A44" s="411"/>
      <c r="B44" s="437" t="s">
        <v>472</v>
      </c>
      <c r="C44" s="412" t="s">
        <v>380</v>
      </c>
      <c r="D44" s="440">
        <v>5.72</v>
      </c>
      <c r="E44" s="414">
        <v>0.04</v>
      </c>
      <c r="F44" s="439">
        <f t="shared" si="3"/>
        <v>0.2288</v>
      </c>
    </row>
    <row r="45" spans="1:6" s="416" customFormat="1">
      <c r="A45" s="411"/>
      <c r="B45" s="437" t="s">
        <v>463</v>
      </c>
      <c r="C45" s="412" t="s">
        <v>380</v>
      </c>
      <c r="D45" s="438">
        <v>0.96</v>
      </c>
      <c r="E45" s="414" t="s">
        <v>473</v>
      </c>
      <c r="F45" s="439">
        <f t="shared" si="3"/>
        <v>2.4E-2</v>
      </c>
    </row>
    <row r="46" spans="1:6" s="416" customFormat="1">
      <c r="A46" s="411"/>
      <c r="B46" s="437" t="s">
        <v>474</v>
      </c>
      <c r="C46" s="412" t="s">
        <v>380</v>
      </c>
      <c r="D46" s="438">
        <v>0.77</v>
      </c>
      <c r="E46" s="414" t="s">
        <v>404</v>
      </c>
      <c r="F46" s="439">
        <f t="shared" si="3"/>
        <v>5.3900000000000003E-2</v>
      </c>
    </row>
    <row r="47" spans="1:6" s="416" customFormat="1">
      <c r="A47" s="411"/>
      <c r="B47" s="437" t="s">
        <v>476</v>
      </c>
      <c r="C47" s="412" t="s">
        <v>380</v>
      </c>
      <c r="D47" s="440">
        <v>3.97</v>
      </c>
      <c r="E47" s="414">
        <v>0.15</v>
      </c>
      <c r="F47" s="439">
        <f t="shared" si="3"/>
        <v>0.59550000000000003</v>
      </c>
    </row>
    <row r="48" spans="1:6" s="416" customFormat="1">
      <c r="A48" s="224"/>
      <c r="B48" s="224" t="s">
        <v>410</v>
      </c>
      <c r="C48" s="420" t="s">
        <v>380</v>
      </c>
      <c r="D48" s="421">
        <v>7.37</v>
      </c>
      <c r="E48" s="422">
        <v>2.385E-3</v>
      </c>
      <c r="F48" s="423">
        <f t="shared" si="3"/>
        <v>1.7577450000000001E-2</v>
      </c>
    </row>
    <row r="49" spans="1:6" s="416" customFormat="1">
      <c r="A49" s="424"/>
      <c r="B49" s="424" t="s">
        <v>382</v>
      </c>
      <c r="C49" s="420" t="s">
        <v>380</v>
      </c>
      <c r="D49" s="421">
        <v>0.96</v>
      </c>
      <c r="E49" s="422">
        <v>4.9290899999999997E-3</v>
      </c>
      <c r="F49" s="423">
        <f t="shared" si="3"/>
        <v>4.7319263999999993E-3</v>
      </c>
    </row>
    <row r="50" spans="1:6" s="416" customFormat="1">
      <c r="A50" s="425" t="s">
        <v>99</v>
      </c>
      <c r="B50" s="447"/>
      <c r="C50" s="427"/>
      <c r="D50" s="428"/>
      <c r="E50" s="429"/>
      <c r="F50" s="442">
        <f>SUM(F39:F49)</f>
        <v>1.0970693764000001</v>
      </c>
    </row>
    <row r="51" spans="1:6" s="416" customFormat="1">
      <c r="A51" s="431"/>
      <c r="B51" s="448"/>
      <c r="C51" s="449"/>
      <c r="D51" s="449"/>
      <c r="E51" s="450"/>
      <c r="F51" s="432"/>
    </row>
    <row r="52" spans="1:6" s="416" customFormat="1">
      <c r="A52" s="406" t="s">
        <v>100</v>
      </c>
      <c r="B52" s="406"/>
      <c r="C52" s="407" t="s">
        <v>376</v>
      </c>
      <c r="D52" s="407" t="s">
        <v>91</v>
      </c>
      <c r="E52" s="408" t="s">
        <v>92</v>
      </c>
      <c r="F52" s="409" t="s">
        <v>93</v>
      </c>
    </row>
    <row r="53" spans="1:6" s="416" customFormat="1">
      <c r="A53" s="411"/>
      <c r="B53" s="437" t="s">
        <v>382</v>
      </c>
      <c r="C53" s="412" t="s">
        <v>380</v>
      </c>
      <c r="D53" s="438">
        <v>0.96</v>
      </c>
      <c r="E53" s="414" t="s">
        <v>385</v>
      </c>
      <c r="F53" s="439">
        <f t="shared" ref="F53:F60" si="4">E53*D53</f>
        <v>4.7999999999999996E-3</v>
      </c>
    </row>
    <row r="54" spans="1:6" s="410" customFormat="1">
      <c r="A54" s="411"/>
      <c r="B54" s="437" t="s">
        <v>481</v>
      </c>
      <c r="C54" s="412" t="s">
        <v>380</v>
      </c>
      <c r="D54" s="440">
        <v>3.62</v>
      </c>
      <c r="E54" s="414">
        <v>5.0000000000000001E-3</v>
      </c>
      <c r="F54" s="439">
        <f t="shared" si="4"/>
        <v>1.8100000000000002E-2</v>
      </c>
    </row>
    <row r="55" spans="1:6" s="410" customFormat="1">
      <c r="A55" s="411"/>
      <c r="B55" s="437" t="s">
        <v>482</v>
      </c>
      <c r="C55" s="412" t="s">
        <v>380</v>
      </c>
      <c r="D55" s="438">
        <v>1.39</v>
      </c>
      <c r="E55" s="414">
        <v>5.0000000000000001E-3</v>
      </c>
      <c r="F55" s="439">
        <f t="shared" si="4"/>
        <v>6.9499999999999996E-3</v>
      </c>
    </row>
    <row r="56" spans="1:6" s="410" customFormat="1">
      <c r="A56" s="411"/>
      <c r="B56" s="437" t="s">
        <v>483</v>
      </c>
      <c r="C56" s="412" t="s">
        <v>380</v>
      </c>
      <c r="D56" s="440">
        <v>3.24</v>
      </c>
      <c r="E56" s="414">
        <v>5.0000000000000001E-3</v>
      </c>
      <c r="F56" s="439">
        <f t="shared" si="4"/>
        <v>1.6200000000000003E-2</v>
      </c>
    </row>
    <row r="57" spans="1:6" s="410" customFormat="1">
      <c r="A57" s="411"/>
      <c r="B57" s="437" t="s">
        <v>489</v>
      </c>
      <c r="C57" s="412" t="s">
        <v>380</v>
      </c>
      <c r="D57" s="438">
        <v>0.67</v>
      </c>
      <c r="E57" s="414">
        <v>0.14000000000000001</v>
      </c>
      <c r="F57" s="439">
        <f t="shared" si="4"/>
        <v>9.3800000000000008E-2</v>
      </c>
    </row>
    <row r="58" spans="1:6" s="416" customFormat="1">
      <c r="A58" s="411"/>
      <c r="B58" s="437" t="s">
        <v>495</v>
      </c>
      <c r="C58" s="412" t="s">
        <v>380</v>
      </c>
      <c r="D58" s="440">
        <v>0.88</v>
      </c>
      <c r="E58" s="414">
        <v>4.4999999999999998E-2</v>
      </c>
      <c r="F58" s="439">
        <f t="shared" si="4"/>
        <v>3.9599999999999996E-2</v>
      </c>
    </row>
    <row r="59" spans="1:6" s="416" customFormat="1">
      <c r="A59" s="224"/>
      <c r="B59" s="224" t="s">
        <v>410</v>
      </c>
      <c r="C59" s="420" t="s">
        <v>380</v>
      </c>
      <c r="D59" s="421">
        <v>7.37</v>
      </c>
      <c r="E59" s="422">
        <v>2.385E-3</v>
      </c>
      <c r="F59" s="423">
        <f t="shared" si="4"/>
        <v>1.7577450000000001E-2</v>
      </c>
    </row>
    <row r="60" spans="1:6" s="416" customFormat="1">
      <c r="A60" s="424"/>
      <c r="B60" s="424" t="s">
        <v>382</v>
      </c>
      <c r="C60" s="420" t="s">
        <v>380</v>
      </c>
      <c r="D60" s="421">
        <v>0.96</v>
      </c>
      <c r="E60" s="422">
        <v>4.9290899999999997E-3</v>
      </c>
      <c r="F60" s="423">
        <f t="shared" si="4"/>
        <v>4.7319263999999993E-3</v>
      </c>
    </row>
    <row r="61" spans="1:6" s="416" customFormat="1">
      <c r="A61" s="425" t="s">
        <v>501</v>
      </c>
      <c r="B61" s="426"/>
      <c r="C61" s="427"/>
      <c r="D61" s="428"/>
      <c r="E61" s="429"/>
      <c r="F61" s="442">
        <f>SUM(F53:F60)</f>
        <v>0.20175937640000002</v>
      </c>
    </row>
    <row r="62" spans="1:6" s="416" customFormat="1">
      <c r="A62" s="443"/>
      <c r="B62" s="444"/>
      <c r="C62" s="445"/>
      <c r="D62" s="445"/>
      <c r="E62" s="446"/>
      <c r="F62" s="445"/>
    </row>
    <row r="63" spans="1:6" s="416" customFormat="1">
      <c r="A63" s="406" t="s">
        <v>101</v>
      </c>
      <c r="B63" s="406"/>
      <c r="C63" s="407" t="s">
        <v>376</v>
      </c>
      <c r="D63" s="407" t="s">
        <v>91</v>
      </c>
      <c r="E63" s="408" t="s">
        <v>92</v>
      </c>
      <c r="F63" s="409" t="s">
        <v>93</v>
      </c>
    </row>
    <row r="64" spans="1:6" s="416" customFormat="1">
      <c r="A64" s="411"/>
      <c r="B64" s="437" t="s">
        <v>382</v>
      </c>
      <c r="C64" s="412" t="s">
        <v>380</v>
      </c>
      <c r="D64" s="438">
        <v>0.96</v>
      </c>
      <c r="E64" s="414">
        <v>5.0000000000000001E-3</v>
      </c>
      <c r="F64" s="439">
        <f t="shared" ref="F64:F72" si="5">E64*D64</f>
        <v>4.7999999999999996E-3</v>
      </c>
    </row>
    <row r="65" spans="1:6" s="416" customFormat="1">
      <c r="A65" s="411"/>
      <c r="B65" s="437" t="s">
        <v>503</v>
      </c>
      <c r="C65" s="412" t="s">
        <v>380</v>
      </c>
      <c r="D65" s="438">
        <v>1.87</v>
      </c>
      <c r="E65" s="414" t="s">
        <v>504</v>
      </c>
      <c r="F65" s="439">
        <f t="shared" si="5"/>
        <v>5.6100000000000004E-3</v>
      </c>
    </row>
    <row r="66" spans="1:6" s="416" customFormat="1">
      <c r="A66" s="411"/>
      <c r="B66" s="437" t="s">
        <v>382</v>
      </c>
      <c r="C66" s="412" t="s">
        <v>380</v>
      </c>
      <c r="D66" s="438">
        <v>0.96</v>
      </c>
      <c r="E66" s="414" t="s">
        <v>385</v>
      </c>
      <c r="F66" s="439">
        <f t="shared" si="5"/>
        <v>4.7999999999999996E-3</v>
      </c>
    </row>
    <row r="67" spans="1:6" s="410" customFormat="1">
      <c r="A67" s="411"/>
      <c r="B67" s="437" t="s">
        <v>382</v>
      </c>
      <c r="C67" s="412" t="s">
        <v>380</v>
      </c>
      <c r="D67" s="438">
        <v>0.96</v>
      </c>
      <c r="E67" s="414">
        <v>5.0000000000000001E-3</v>
      </c>
      <c r="F67" s="439">
        <f t="shared" si="5"/>
        <v>4.7999999999999996E-3</v>
      </c>
    </row>
    <row r="68" spans="1:6" s="410" customFormat="1">
      <c r="A68" s="411"/>
      <c r="B68" s="437" t="s">
        <v>510</v>
      </c>
      <c r="C68" s="412" t="s">
        <v>380</v>
      </c>
      <c r="D68" s="438">
        <v>0.77</v>
      </c>
      <c r="E68" s="414">
        <v>0.2</v>
      </c>
      <c r="F68" s="439">
        <f t="shared" si="5"/>
        <v>0.15400000000000003</v>
      </c>
    </row>
    <row r="69" spans="1:6" s="410" customFormat="1">
      <c r="A69" s="411"/>
      <c r="B69" s="437" t="s">
        <v>369</v>
      </c>
      <c r="C69" s="412" t="s">
        <v>380</v>
      </c>
      <c r="D69" s="440">
        <v>2.63</v>
      </c>
      <c r="E69" s="414">
        <v>1E-3</v>
      </c>
      <c r="F69" s="439">
        <f t="shared" si="5"/>
        <v>2.63E-3</v>
      </c>
    </row>
    <row r="70" spans="1:6" s="410" customFormat="1">
      <c r="A70" s="411"/>
      <c r="B70" s="437" t="s">
        <v>512</v>
      </c>
      <c r="C70" s="412" t="s">
        <v>380</v>
      </c>
      <c r="D70" s="440">
        <v>0.66</v>
      </c>
      <c r="E70" s="414">
        <v>0.15</v>
      </c>
      <c r="F70" s="439">
        <f t="shared" si="5"/>
        <v>9.9000000000000005E-2</v>
      </c>
    </row>
    <row r="71" spans="1:6" s="441" customFormat="1">
      <c r="A71" s="224"/>
      <c r="B71" s="224" t="s">
        <v>410</v>
      </c>
      <c r="C71" s="420" t="s">
        <v>380</v>
      </c>
      <c r="D71" s="421">
        <v>7.37</v>
      </c>
      <c r="E71" s="422">
        <v>2.385E-3</v>
      </c>
      <c r="F71" s="423">
        <f t="shared" si="5"/>
        <v>1.7577450000000001E-2</v>
      </c>
    </row>
    <row r="72" spans="1:6" s="416" customFormat="1">
      <c r="A72" s="424"/>
      <c r="B72" s="424" t="s">
        <v>382</v>
      </c>
      <c r="C72" s="420" t="s">
        <v>380</v>
      </c>
      <c r="D72" s="421">
        <v>0.96</v>
      </c>
      <c r="E72" s="422">
        <v>4.9290899999999997E-3</v>
      </c>
      <c r="F72" s="423">
        <f t="shared" si="5"/>
        <v>4.7319263999999993E-3</v>
      </c>
    </row>
    <row r="73" spans="1:6" s="416" customFormat="1">
      <c r="A73" s="425" t="s">
        <v>516</v>
      </c>
      <c r="B73" s="426"/>
      <c r="C73" s="427"/>
      <c r="D73" s="428"/>
      <c r="E73" s="429"/>
      <c r="F73" s="442">
        <f>SUM(F64:F72)</f>
        <v>0.29794937639999997</v>
      </c>
    </row>
    <row r="74" spans="1:6" s="416" customFormat="1">
      <c r="A74" s="431"/>
      <c r="B74" s="431"/>
      <c r="C74" s="432"/>
      <c r="D74" s="432"/>
      <c r="E74" s="433"/>
      <c r="F74" s="432"/>
    </row>
    <row r="75" spans="1:6" s="416" customFormat="1">
      <c r="A75" s="406" t="s">
        <v>102</v>
      </c>
      <c r="B75" s="406"/>
      <c r="C75" s="407" t="s">
        <v>376</v>
      </c>
      <c r="D75" s="407" t="s">
        <v>91</v>
      </c>
      <c r="E75" s="408" t="s">
        <v>92</v>
      </c>
      <c r="F75" s="409" t="s">
        <v>93</v>
      </c>
    </row>
    <row r="76" spans="1:6" s="416" customFormat="1">
      <c r="A76" s="411"/>
      <c r="B76" s="437" t="s">
        <v>463</v>
      </c>
      <c r="C76" s="412" t="s">
        <v>380</v>
      </c>
      <c r="D76" s="438">
        <v>0.96</v>
      </c>
      <c r="E76" s="414" t="s">
        <v>385</v>
      </c>
      <c r="F76" s="451">
        <f t="shared" ref="F76:F86" si="6">E76*D76</f>
        <v>4.7999999999999996E-3</v>
      </c>
    </row>
    <row r="77" spans="1:6" s="416" customFormat="1">
      <c r="A77" s="411"/>
      <c r="B77" s="437" t="s">
        <v>519</v>
      </c>
      <c r="C77" s="412" t="s">
        <v>380</v>
      </c>
      <c r="D77" s="438">
        <v>1.2</v>
      </c>
      <c r="E77" s="414" t="s">
        <v>385</v>
      </c>
      <c r="F77" s="451">
        <f t="shared" si="6"/>
        <v>6.0000000000000001E-3</v>
      </c>
    </row>
    <row r="78" spans="1:6" s="416" customFormat="1">
      <c r="A78" s="411"/>
      <c r="B78" s="437" t="s">
        <v>524</v>
      </c>
      <c r="C78" s="412" t="s">
        <v>380</v>
      </c>
      <c r="D78" s="440">
        <v>4.33</v>
      </c>
      <c r="E78" s="414" t="s">
        <v>451</v>
      </c>
      <c r="F78" s="451">
        <f t="shared" si="6"/>
        <v>3.4640000000000001E-3</v>
      </c>
    </row>
    <row r="79" spans="1:6" s="416" customFormat="1">
      <c r="A79" s="411"/>
      <c r="B79" s="437" t="s">
        <v>525</v>
      </c>
      <c r="C79" s="412" t="s">
        <v>380</v>
      </c>
      <c r="D79" s="438">
        <v>1.25</v>
      </c>
      <c r="E79" s="414">
        <v>0.14000000000000001</v>
      </c>
      <c r="F79" s="451">
        <f t="shared" si="6"/>
        <v>0.17500000000000002</v>
      </c>
    </row>
    <row r="80" spans="1:6" s="416" customFormat="1">
      <c r="A80" s="411"/>
      <c r="B80" s="437" t="s">
        <v>526</v>
      </c>
      <c r="C80" s="412" t="s">
        <v>380</v>
      </c>
      <c r="D80" s="438">
        <v>1.87</v>
      </c>
      <c r="E80" s="414">
        <v>5.0000000000000001E-3</v>
      </c>
      <c r="F80" s="451">
        <f t="shared" si="6"/>
        <v>9.3500000000000007E-3</v>
      </c>
    </row>
    <row r="81" spans="1:6" s="416" customFormat="1">
      <c r="A81" s="411"/>
      <c r="B81" s="437" t="s">
        <v>442</v>
      </c>
      <c r="C81" s="412" t="s">
        <v>380</v>
      </c>
      <c r="D81" s="438">
        <v>7.37</v>
      </c>
      <c r="E81" s="414" t="s">
        <v>389</v>
      </c>
      <c r="F81" s="451">
        <f t="shared" si="6"/>
        <v>7.3700000000000007E-3</v>
      </c>
    </row>
    <row r="82" spans="1:6" s="416" customFormat="1">
      <c r="A82" s="411"/>
      <c r="B82" s="437" t="s">
        <v>528</v>
      </c>
      <c r="C82" s="412" t="s">
        <v>380</v>
      </c>
      <c r="D82" s="438">
        <v>0.37</v>
      </c>
      <c r="E82" s="414" t="s">
        <v>529</v>
      </c>
      <c r="F82" s="451">
        <f t="shared" si="6"/>
        <v>1.4800000000000001E-2</v>
      </c>
    </row>
    <row r="83" spans="1:6" s="416" customFormat="1">
      <c r="A83" s="411"/>
      <c r="B83" s="437" t="s">
        <v>530</v>
      </c>
      <c r="C83" s="412" t="s">
        <v>380</v>
      </c>
      <c r="D83" s="438">
        <v>0.77</v>
      </c>
      <c r="E83" s="414" t="s">
        <v>446</v>
      </c>
      <c r="F83" s="451">
        <f t="shared" si="6"/>
        <v>4.6199999999999998E-2</v>
      </c>
    </row>
    <row r="84" spans="1:6" s="416" customFormat="1">
      <c r="A84" s="411"/>
      <c r="B84" s="437" t="s">
        <v>531</v>
      </c>
      <c r="C84" s="412" t="s">
        <v>380</v>
      </c>
      <c r="D84" s="438">
        <v>0.72</v>
      </c>
      <c r="E84" s="414">
        <v>0.06</v>
      </c>
      <c r="F84" s="451">
        <f t="shared" si="6"/>
        <v>4.3199999999999995E-2</v>
      </c>
    </row>
    <row r="85" spans="1:6" s="410" customFormat="1">
      <c r="A85" s="224"/>
      <c r="B85" s="224" t="s">
        <v>410</v>
      </c>
      <c r="C85" s="420" t="s">
        <v>380</v>
      </c>
      <c r="D85" s="421">
        <v>7.37</v>
      </c>
      <c r="E85" s="422">
        <v>2.385E-3</v>
      </c>
      <c r="F85" s="423">
        <f t="shared" si="6"/>
        <v>1.7577450000000001E-2</v>
      </c>
    </row>
    <row r="86" spans="1:6" s="410" customFormat="1" ht="15.75" customHeight="1">
      <c r="A86" s="424"/>
      <c r="B86" s="424" t="s">
        <v>382</v>
      </c>
      <c r="C86" s="420" t="s">
        <v>380</v>
      </c>
      <c r="D86" s="421">
        <v>0.96</v>
      </c>
      <c r="E86" s="422">
        <v>4.9290899999999997E-3</v>
      </c>
      <c r="F86" s="423">
        <f t="shared" si="6"/>
        <v>4.7319263999999993E-3</v>
      </c>
    </row>
    <row r="87" spans="1:6" s="416" customFormat="1">
      <c r="A87" s="425" t="s">
        <v>103</v>
      </c>
      <c r="B87" s="426"/>
      <c r="C87" s="427"/>
      <c r="D87" s="428"/>
      <c r="E87" s="429"/>
      <c r="F87" s="442">
        <f>SUM(F76:F86)</f>
        <v>0.33249337639999998</v>
      </c>
    </row>
    <row r="88" spans="1:6" s="416" customFormat="1">
      <c r="A88" s="431"/>
      <c r="B88" s="431"/>
      <c r="C88" s="432"/>
      <c r="D88" s="432"/>
      <c r="E88" s="433"/>
      <c r="F88" s="432"/>
    </row>
    <row r="89" spans="1:6" s="416" customFormat="1">
      <c r="A89" s="406" t="s">
        <v>536</v>
      </c>
      <c r="B89" s="406"/>
      <c r="C89" s="407" t="s">
        <v>376</v>
      </c>
      <c r="D89" s="407" t="s">
        <v>91</v>
      </c>
      <c r="E89" s="408" t="s">
        <v>92</v>
      </c>
      <c r="F89" s="409" t="s">
        <v>93</v>
      </c>
    </row>
    <row r="90" spans="1:6" s="416" customFormat="1">
      <c r="A90" s="224"/>
      <c r="B90" s="437" t="s">
        <v>388</v>
      </c>
      <c r="C90" s="412" t="s">
        <v>380</v>
      </c>
      <c r="D90" s="440">
        <v>2.63</v>
      </c>
      <c r="E90" s="414" t="s">
        <v>389</v>
      </c>
      <c r="F90" s="451">
        <f t="shared" ref="F90:F96" si="7">E90*D90</f>
        <v>2.63E-3</v>
      </c>
    </row>
    <row r="91" spans="1:6" s="416" customFormat="1">
      <c r="A91" s="411"/>
      <c r="B91" s="437" t="s">
        <v>384</v>
      </c>
      <c r="C91" s="412" t="s">
        <v>380</v>
      </c>
      <c r="D91" s="440">
        <v>3.21</v>
      </c>
      <c r="E91" s="414" t="s">
        <v>385</v>
      </c>
      <c r="F91" s="451">
        <f t="shared" si="7"/>
        <v>1.6050000000000002E-2</v>
      </c>
    </row>
    <row r="92" spans="1:6" s="416" customFormat="1">
      <c r="A92" s="411"/>
      <c r="B92" s="437" t="s">
        <v>544</v>
      </c>
      <c r="C92" s="412" t="s">
        <v>380</v>
      </c>
      <c r="D92" s="438">
        <v>0.99</v>
      </c>
      <c r="E92" s="414">
        <v>0.05</v>
      </c>
      <c r="F92" s="451">
        <f t="shared" si="7"/>
        <v>4.9500000000000002E-2</v>
      </c>
    </row>
    <row r="93" spans="1:6" s="416" customFormat="1">
      <c r="A93" s="411"/>
      <c r="B93" s="437" t="s">
        <v>403</v>
      </c>
      <c r="C93" s="412" t="s">
        <v>380</v>
      </c>
      <c r="D93" s="413">
        <v>1.25</v>
      </c>
      <c r="E93" s="414">
        <v>7.0000000000000007E-2</v>
      </c>
      <c r="F93" s="451">
        <f t="shared" si="7"/>
        <v>8.7500000000000008E-2</v>
      </c>
    </row>
    <row r="94" spans="1:6" s="416" customFormat="1">
      <c r="A94" s="411"/>
      <c r="B94" s="437" t="s">
        <v>547</v>
      </c>
      <c r="C94" s="412" t="s">
        <v>380</v>
      </c>
      <c r="D94" s="440">
        <v>1.06</v>
      </c>
      <c r="E94" s="414">
        <v>0.15</v>
      </c>
      <c r="F94" s="451">
        <f t="shared" si="7"/>
        <v>0.159</v>
      </c>
    </row>
    <row r="95" spans="1:6" s="410" customFormat="1">
      <c r="A95" s="224"/>
      <c r="B95" s="224" t="s">
        <v>410</v>
      </c>
      <c r="C95" s="420" t="s">
        <v>380</v>
      </c>
      <c r="D95" s="421">
        <v>7.37</v>
      </c>
      <c r="E95" s="422">
        <v>2.385E-3</v>
      </c>
      <c r="F95" s="423">
        <f t="shared" si="7"/>
        <v>1.7577450000000001E-2</v>
      </c>
    </row>
    <row r="96" spans="1:6" s="410" customFormat="1">
      <c r="A96" s="424"/>
      <c r="B96" s="424" t="s">
        <v>463</v>
      </c>
      <c r="C96" s="420" t="s">
        <v>380</v>
      </c>
      <c r="D96" s="421">
        <v>0.96</v>
      </c>
      <c r="E96" s="422">
        <v>4.9290899999999997E-3</v>
      </c>
      <c r="F96" s="423">
        <f t="shared" si="7"/>
        <v>4.7319263999999993E-3</v>
      </c>
    </row>
    <row r="97" spans="1:6" s="410" customFormat="1" ht="22.5" customHeight="1">
      <c r="A97" s="425" t="s">
        <v>104</v>
      </c>
      <c r="B97" s="426"/>
      <c r="C97" s="427"/>
      <c r="D97" s="428"/>
      <c r="E97" s="429"/>
      <c r="F97" s="442">
        <f>SUM(F90:F96)</f>
        <v>0.33698937639999998</v>
      </c>
    </row>
    <row r="98" spans="1:6" s="410" customFormat="1" ht="22.5" customHeight="1">
      <c r="A98" s="431"/>
      <c r="B98" s="431"/>
      <c r="C98" s="432"/>
      <c r="D98" s="432"/>
      <c r="E98" s="450"/>
      <c r="F98" s="432"/>
    </row>
    <row r="99" spans="1:6" s="410" customFormat="1" ht="22.5" customHeight="1">
      <c r="A99" s="406" t="s">
        <v>550</v>
      </c>
      <c r="B99" s="406"/>
      <c r="C99" s="407" t="s">
        <v>376</v>
      </c>
      <c r="D99" s="407" t="s">
        <v>91</v>
      </c>
      <c r="E99" s="408" t="s">
        <v>92</v>
      </c>
      <c r="F99" s="409" t="s">
        <v>93</v>
      </c>
    </row>
    <row r="100" spans="1:6" s="441" customFormat="1">
      <c r="A100" s="411"/>
      <c r="B100" s="437" t="s">
        <v>553</v>
      </c>
      <c r="C100" s="412" t="s">
        <v>380</v>
      </c>
      <c r="D100" s="440">
        <v>1.54</v>
      </c>
      <c r="E100" s="414" t="s">
        <v>430</v>
      </c>
      <c r="F100" s="439">
        <f t="shared" ref="F100:F107" si="8">E100*D100</f>
        <v>3.0800000000000003E-3</v>
      </c>
    </row>
    <row r="101" spans="1:6" s="416" customFormat="1">
      <c r="A101" s="411"/>
      <c r="B101" s="437" t="s">
        <v>554</v>
      </c>
      <c r="C101" s="412" t="s">
        <v>380</v>
      </c>
      <c r="D101" s="438">
        <v>1.2</v>
      </c>
      <c r="E101" s="414">
        <v>0.02</v>
      </c>
      <c r="F101" s="439">
        <f t="shared" si="8"/>
        <v>2.4E-2</v>
      </c>
    </row>
    <row r="102" spans="1:6" s="416" customFormat="1">
      <c r="A102" s="411"/>
      <c r="B102" s="437" t="s">
        <v>463</v>
      </c>
      <c r="C102" s="412" t="s">
        <v>380</v>
      </c>
      <c r="D102" s="438">
        <v>0.96</v>
      </c>
      <c r="E102" s="414" t="s">
        <v>385</v>
      </c>
      <c r="F102" s="439">
        <f t="shared" si="8"/>
        <v>4.7999999999999996E-3</v>
      </c>
    </row>
    <row r="103" spans="1:6" s="416" customFormat="1">
      <c r="A103" s="411"/>
      <c r="B103" s="437" t="s">
        <v>561</v>
      </c>
      <c r="C103" s="412" t="s">
        <v>380</v>
      </c>
      <c r="D103" s="440">
        <v>0.88</v>
      </c>
      <c r="E103" s="414">
        <v>2.8000000000000001E-2</v>
      </c>
      <c r="F103" s="439">
        <f t="shared" si="8"/>
        <v>2.4640000000000002E-2</v>
      </c>
    </row>
    <row r="104" spans="1:6" s="416" customFormat="1">
      <c r="A104" s="411"/>
      <c r="B104" s="437" t="s">
        <v>403</v>
      </c>
      <c r="C104" s="412" t="s">
        <v>380</v>
      </c>
      <c r="D104" s="413">
        <v>1.25</v>
      </c>
      <c r="E104" s="414" t="s">
        <v>404</v>
      </c>
      <c r="F104" s="415">
        <f t="shared" si="8"/>
        <v>8.7500000000000008E-2</v>
      </c>
    </row>
    <row r="105" spans="1:6" s="416" customFormat="1">
      <c r="A105" s="411"/>
      <c r="B105" s="437" t="s">
        <v>406</v>
      </c>
      <c r="C105" s="412" t="s">
        <v>380</v>
      </c>
      <c r="D105" s="452">
        <v>1.17</v>
      </c>
      <c r="E105" s="414">
        <v>0.15</v>
      </c>
      <c r="F105" s="439">
        <f t="shared" si="8"/>
        <v>0.17549999999999999</v>
      </c>
    </row>
    <row r="106" spans="1:6" s="416" customFormat="1">
      <c r="A106" s="224"/>
      <c r="B106" s="224" t="s">
        <v>410</v>
      </c>
      <c r="C106" s="420" t="s">
        <v>380</v>
      </c>
      <c r="D106" s="421">
        <v>7.37</v>
      </c>
      <c r="E106" s="422">
        <v>2.385E-3</v>
      </c>
      <c r="F106" s="423">
        <f t="shared" si="8"/>
        <v>1.7577450000000001E-2</v>
      </c>
    </row>
    <row r="107" spans="1:6" s="416" customFormat="1">
      <c r="A107" s="424"/>
      <c r="B107" s="424" t="s">
        <v>382</v>
      </c>
      <c r="C107" s="420" t="s">
        <v>380</v>
      </c>
      <c r="D107" s="421">
        <v>0.96</v>
      </c>
      <c r="E107" s="422">
        <v>4.9290899999999997E-3</v>
      </c>
      <c r="F107" s="423">
        <f t="shared" si="8"/>
        <v>4.7319263999999993E-3</v>
      </c>
    </row>
    <row r="108" spans="1:6" s="410" customFormat="1">
      <c r="A108" s="425" t="s">
        <v>564</v>
      </c>
      <c r="B108" s="426"/>
      <c r="C108" s="427"/>
      <c r="D108" s="428"/>
      <c r="E108" s="429"/>
      <c r="F108" s="442">
        <f>SUM(F100:F107)</f>
        <v>0.3418293764</v>
      </c>
    </row>
    <row r="109" spans="1:6" s="410" customFormat="1">
      <c r="A109" s="448"/>
      <c r="B109" s="431"/>
      <c r="C109" s="449"/>
      <c r="D109" s="432"/>
      <c r="E109" s="433"/>
      <c r="F109" s="432"/>
    </row>
    <row r="110" spans="1:6" s="410" customFormat="1">
      <c r="A110" s="406" t="s">
        <v>105</v>
      </c>
      <c r="B110" s="406"/>
      <c r="C110" s="407" t="s">
        <v>376</v>
      </c>
      <c r="D110" s="407" t="s">
        <v>91</v>
      </c>
      <c r="E110" s="408" t="s">
        <v>92</v>
      </c>
      <c r="F110" s="409" t="s">
        <v>93</v>
      </c>
    </row>
    <row r="111" spans="1:6" s="410" customFormat="1" ht="15.75" customHeight="1">
      <c r="A111" s="411"/>
      <c r="B111" s="437" t="s">
        <v>463</v>
      </c>
      <c r="C111" s="412" t="s">
        <v>380</v>
      </c>
      <c r="D111" s="438">
        <v>0.96</v>
      </c>
      <c r="E111" s="414" t="s">
        <v>385</v>
      </c>
      <c r="F111" s="439">
        <f t="shared" ref="F111:F119" si="9">E111*D111</f>
        <v>4.7999999999999996E-3</v>
      </c>
    </row>
    <row r="112" spans="1:6" s="416" customFormat="1">
      <c r="A112" s="411"/>
      <c r="B112" s="437" t="s">
        <v>503</v>
      </c>
      <c r="C112" s="412" t="s">
        <v>380</v>
      </c>
      <c r="D112" s="438">
        <v>1.87</v>
      </c>
      <c r="E112" s="414" t="s">
        <v>393</v>
      </c>
      <c r="F112" s="439">
        <f t="shared" si="9"/>
        <v>3.7400000000000003E-2</v>
      </c>
    </row>
    <row r="113" spans="1:6" s="416" customFormat="1">
      <c r="A113" s="411"/>
      <c r="B113" s="437" t="s">
        <v>388</v>
      </c>
      <c r="C113" s="412" t="s">
        <v>380</v>
      </c>
      <c r="D113" s="440">
        <v>2.63</v>
      </c>
      <c r="E113" s="414">
        <v>2E-3</v>
      </c>
      <c r="F113" s="439">
        <f t="shared" si="9"/>
        <v>5.2599999999999999E-3</v>
      </c>
    </row>
    <row r="114" spans="1:6" s="416" customFormat="1">
      <c r="A114" s="411"/>
      <c r="B114" s="437" t="s">
        <v>568</v>
      </c>
      <c r="C114" s="412" t="s">
        <v>380</v>
      </c>
      <c r="D114" s="438">
        <v>0.77</v>
      </c>
      <c r="E114" s="414">
        <v>0.13</v>
      </c>
      <c r="F114" s="439">
        <f t="shared" si="9"/>
        <v>0.10010000000000001</v>
      </c>
    </row>
    <row r="115" spans="1:6" s="416" customFormat="1">
      <c r="A115" s="411"/>
      <c r="B115" s="437" t="s">
        <v>402</v>
      </c>
      <c r="C115" s="412" t="s">
        <v>380</v>
      </c>
      <c r="D115" s="440">
        <v>0.83</v>
      </c>
      <c r="E115" s="414">
        <v>2.8000000000000001E-2</v>
      </c>
      <c r="F115" s="439">
        <f t="shared" si="9"/>
        <v>2.324E-2</v>
      </c>
    </row>
    <row r="116" spans="1:6" s="416" customFormat="1">
      <c r="A116" s="411"/>
      <c r="B116" s="437" t="s">
        <v>570</v>
      </c>
      <c r="C116" s="412" t="s">
        <v>380</v>
      </c>
      <c r="D116" s="413">
        <v>1.25</v>
      </c>
      <c r="E116" s="414">
        <v>7.0000000000000007E-2</v>
      </c>
      <c r="F116" s="439">
        <f t="shared" si="9"/>
        <v>8.7500000000000008E-2</v>
      </c>
    </row>
    <row r="117" spans="1:6" s="416" customFormat="1">
      <c r="A117" s="411"/>
      <c r="B117" s="437" t="s">
        <v>573</v>
      </c>
      <c r="C117" s="412" t="s">
        <v>380</v>
      </c>
      <c r="D117" s="440">
        <v>2.12</v>
      </c>
      <c r="E117" s="414">
        <v>0.15</v>
      </c>
      <c r="F117" s="439">
        <f t="shared" si="9"/>
        <v>0.318</v>
      </c>
    </row>
    <row r="118" spans="1:6" s="416" customFormat="1">
      <c r="A118" s="224"/>
      <c r="B118" s="224" t="s">
        <v>442</v>
      </c>
      <c r="C118" s="420" t="s">
        <v>380</v>
      </c>
      <c r="D118" s="421">
        <v>7.37</v>
      </c>
      <c r="E118" s="422">
        <v>2.385E-3</v>
      </c>
      <c r="F118" s="423">
        <f t="shared" si="9"/>
        <v>1.7577450000000001E-2</v>
      </c>
    </row>
    <row r="119" spans="1:6" s="416" customFormat="1">
      <c r="A119" s="424"/>
      <c r="B119" s="424" t="s">
        <v>382</v>
      </c>
      <c r="C119" s="420" t="s">
        <v>380</v>
      </c>
      <c r="D119" s="421">
        <v>0.96</v>
      </c>
      <c r="E119" s="422">
        <v>4.9290899999999997E-3</v>
      </c>
      <c r="F119" s="423">
        <f t="shared" si="9"/>
        <v>4.7319263999999993E-3</v>
      </c>
    </row>
    <row r="120" spans="1:6" s="416" customFormat="1">
      <c r="A120" s="425" t="s">
        <v>106</v>
      </c>
      <c r="B120" s="426"/>
      <c r="C120" s="427"/>
      <c r="D120" s="428"/>
      <c r="E120" s="429"/>
      <c r="F120" s="442">
        <f>SUM(F111:F119)</f>
        <v>0.5986093764</v>
      </c>
    </row>
    <row r="121" spans="1:6" s="416" customFormat="1">
      <c r="B121" s="434"/>
      <c r="C121" s="453"/>
      <c r="D121" s="454"/>
      <c r="E121" s="455"/>
      <c r="F121" s="435"/>
    </row>
    <row r="122" spans="1:6" s="416" customFormat="1">
      <c r="A122" s="406" t="s">
        <v>107</v>
      </c>
      <c r="B122" s="406"/>
      <c r="C122" s="407" t="s">
        <v>376</v>
      </c>
      <c r="D122" s="407" t="s">
        <v>91</v>
      </c>
      <c r="E122" s="408" t="s">
        <v>92</v>
      </c>
      <c r="F122" s="409" t="s">
        <v>93</v>
      </c>
    </row>
    <row r="123" spans="1:6" s="410" customFormat="1">
      <c r="A123" s="411"/>
      <c r="B123" s="437" t="s">
        <v>463</v>
      </c>
      <c r="C123" s="412" t="s">
        <v>380</v>
      </c>
      <c r="D123" s="438">
        <v>0.96</v>
      </c>
      <c r="E123" s="414">
        <v>5.0000000000000001E-3</v>
      </c>
      <c r="F123" s="439">
        <f t="shared" ref="F123:F131" si="10">E123*D123</f>
        <v>4.7999999999999996E-3</v>
      </c>
    </row>
    <row r="124" spans="1:6" s="410" customFormat="1">
      <c r="A124" s="411"/>
      <c r="B124" s="437" t="s">
        <v>579</v>
      </c>
      <c r="C124" s="412" t="s">
        <v>380</v>
      </c>
      <c r="D124" s="438">
        <v>2.3199999999999998</v>
      </c>
      <c r="E124" s="414" t="s">
        <v>529</v>
      </c>
      <c r="F124" s="439">
        <f t="shared" si="10"/>
        <v>9.2799999999999994E-2</v>
      </c>
    </row>
    <row r="125" spans="1:6" s="410" customFormat="1">
      <c r="A125" s="411"/>
      <c r="B125" s="437" t="s">
        <v>464</v>
      </c>
      <c r="C125" s="412" t="s">
        <v>380</v>
      </c>
      <c r="D125" s="438">
        <v>1.87</v>
      </c>
      <c r="E125" s="414">
        <v>0.05</v>
      </c>
      <c r="F125" s="439">
        <f t="shared" si="10"/>
        <v>9.3500000000000014E-2</v>
      </c>
    </row>
    <row r="126" spans="1:6" s="431" customFormat="1">
      <c r="A126" s="411"/>
      <c r="B126" s="437" t="s">
        <v>561</v>
      </c>
      <c r="C126" s="412" t="s">
        <v>380</v>
      </c>
      <c r="D126" s="440">
        <v>0.88</v>
      </c>
      <c r="E126" s="414">
        <v>2.8000000000000001E-2</v>
      </c>
      <c r="F126" s="439">
        <f t="shared" si="10"/>
        <v>2.4640000000000002E-2</v>
      </c>
    </row>
    <row r="127" spans="1:6" s="441" customFormat="1">
      <c r="A127" s="411"/>
      <c r="B127" s="437" t="s">
        <v>403</v>
      </c>
      <c r="C127" s="412" t="s">
        <v>380</v>
      </c>
      <c r="D127" s="413">
        <v>1.25</v>
      </c>
      <c r="E127" s="414">
        <v>0.06</v>
      </c>
      <c r="F127" s="415">
        <f t="shared" si="10"/>
        <v>7.4999999999999997E-2</v>
      </c>
    </row>
    <row r="128" spans="1:6" s="416" customFormat="1">
      <c r="A128" s="411"/>
      <c r="B128" s="437" t="s">
        <v>582</v>
      </c>
      <c r="C128" s="412" t="s">
        <v>380</v>
      </c>
      <c r="D128" s="438">
        <v>0.96</v>
      </c>
      <c r="E128" s="414">
        <v>0.03</v>
      </c>
      <c r="F128" s="439">
        <f t="shared" si="10"/>
        <v>2.8799999999999999E-2</v>
      </c>
    </row>
    <row r="129" spans="1:6" s="416" customFormat="1">
      <c r="A129" s="411"/>
      <c r="B129" s="437" t="s">
        <v>584</v>
      </c>
      <c r="C129" s="412" t="s">
        <v>380</v>
      </c>
      <c r="D129" s="438">
        <v>1.21</v>
      </c>
      <c r="E129" s="414">
        <v>0.15</v>
      </c>
      <c r="F129" s="439">
        <f t="shared" si="10"/>
        <v>0.18149999999999999</v>
      </c>
    </row>
    <row r="130" spans="1:6" s="416" customFormat="1">
      <c r="A130" s="224"/>
      <c r="B130" s="224" t="s">
        <v>410</v>
      </c>
      <c r="C130" s="420" t="s">
        <v>380</v>
      </c>
      <c r="D130" s="421">
        <v>7.37</v>
      </c>
      <c r="E130" s="422">
        <v>2.385E-3</v>
      </c>
      <c r="F130" s="423">
        <f t="shared" si="10"/>
        <v>1.7577450000000001E-2</v>
      </c>
    </row>
    <row r="131" spans="1:6" s="416" customFormat="1">
      <c r="A131" s="424"/>
      <c r="B131" s="424" t="s">
        <v>382</v>
      </c>
      <c r="C131" s="420" t="s">
        <v>380</v>
      </c>
      <c r="D131" s="421">
        <v>0.96</v>
      </c>
      <c r="E131" s="422">
        <v>4.9290899999999997E-3</v>
      </c>
      <c r="F131" s="423">
        <f t="shared" si="10"/>
        <v>4.7319263999999993E-3</v>
      </c>
    </row>
    <row r="132" spans="1:6" s="416" customFormat="1">
      <c r="A132" s="425" t="s">
        <v>108</v>
      </c>
      <c r="B132" s="426"/>
      <c r="C132" s="427"/>
      <c r="D132" s="428"/>
      <c r="E132" s="429"/>
      <c r="F132" s="442">
        <f>SUM(F123:F131)</f>
        <v>0.5233493763999999</v>
      </c>
    </row>
    <row r="133" spans="1:6" s="416" customFormat="1" ht="10.5" customHeight="1">
      <c r="A133" s="443"/>
      <c r="B133" s="444"/>
      <c r="C133" s="445"/>
      <c r="D133" s="445"/>
      <c r="E133" s="446"/>
      <c r="F133" s="445"/>
    </row>
    <row r="134" spans="1:6" s="416" customFormat="1">
      <c r="A134" s="406" t="s">
        <v>109</v>
      </c>
      <c r="B134" s="406"/>
      <c r="C134" s="407" t="s">
        <v>376</v>
      </c>
      <c r="D134" s="407" t="s">
        <v>91</v>
      </c>
      <c r="E134" s="408" t="s">
        <v>92</v>
      </c>
      <c r="F134" s="409" t="s">
        <v>93</v>
      </c>
    </row>
    <row r="135" spans="1:6" s="416" customFormat="1">
      <c r="A135" s="411"/>
      <c r="B135" s="437" t="s">
        <v>588</v>
      </c>
      <c r="C135" s="412" t="s">
        <v>380</v>
      </c>
      <c r="D135" s="440">
        <v>1.67</v>
      </c>
      <c r="E135" s="414" t="s">
        <v>389</v>
      </c>
      <c r="F135" s="439">
        <f t="shared" ref="F135:F143" si="11">E135*D135</f>
        <v>1.67E-3</v>
      </c>
    </row>
    <row r="136" spans="1:6" s="416" customFormat="1">
      <c r="A136" s="411"/>
      <c r="B136" s="437" t="s">
        <v>382</v>
      </c>
      <c r="C136" s="412" t="s">
        <v>380</v>
      </c>
      <c r="D136" s="438">
        <v>0.96</v>
      </c>
      <c r="E136" s="414">
        <v>4.9199999999999999E-3</v>
      </c>
      <c r="F136" s="439">
        <f t="shared" si="11"/>
        <v>4.7231999999999994E-3</v>
      </c>
    </row>
    <row r="137" spans="1:6" s="416" customFormat="1">
      <c r="A137" s="411"/>
      <c r="B137" s="437" t="s">
        <v>503</v>
      </c>
      <c r="C137" s="412" t="s">
        <v>380</v>
      </c>
      <c r="D137" s="438">
        <v>1.87</v>
      </c>
      <c r="E137" s="414" t="s">
        <v>385</v>
      </c>
      <c r="F137" s="439">
        <f t="shared" si="11"/>
        <v>9.3500000000000007E-3</v>
      </c>
    </row>
    <row r="138" spans="1:6" s="416" customFormat="1">
      <c r="A138" s="411"/>
      <c r="B138" s="437" t="s">
        <v>388</v>
      </c>
      <c r="C138" s="412" t="s">
        <v>380</v>
      </c>
      <c r="D138" s="440">
        <v>2.63</v>
      </c>
      <c r="E138" s="414">
        <v>5.0000000000000001E-3</v>
      </c>
      <c r="F138" s="439">
        <f t="shared" si="11"/>
        <v>1.315E-2</v>
      </c>
    </row>
    <row r="139" spans="1:6" s="410" customFormat="1" ht="16.5" customHeight="1">
      <c r="A139" s="411"/>
      <c r="B139" s="437" t="s">
        <v>590</v>
      </c>
      <c r="C139" s="412" t="s">
        <v>380</v>
      </c>
      <c r="D139" s="438">
        <v>0.63</v>
      </c>
      <c r="E139" s="414">
        <v>0.11</v>
      </c>
      <c r="F139" s="439">
        <f t="shared" si="11"/>
        <v>6.93E-2</v>
      </c>
    </row>
    <row r="140" spans="1:6" s="410" customFormat="1">
      <c r="A140" s="411"/>
      <c r="B140" s="437" t="s">
        <v>435</v>
      </c>
      <c r="C140" s="412" t="s">
        <v>380</v>
      </c>
      <c r="D140" s="440">
        <v>0.88</v>
      </c>
      <c r="E140" s="414">
        <v>2.8000000000000001E-2</v>
      </c>
      <c r="F140" s="439">
        <f t="shared" si="11"/>
        <v>2.4640000000000002E-2</v>
      </c>
    </row>
    <row r="141" spans="1:6" s="410" customFormat="1">
      <c r="A141" s="411"/>
      <c r="B141" s="437" t="s">
        <v>592</v>
      </c>
      <c r="C141" s="412" t="s">
        <v>380</v>
      </c>
      <c r="D141" s="438">
        <v>2.0499999999999998</v>
      </c>
      <c r="E141" s="414">
        <v>9.1999999999999998E-2</v>
      </c>
      <c r="F141" s="439">
        <f t="shared" si="11"/>
        <v>0.18859999999999999</v>
      </c>
    </row>
    <row r="142" spans="1:6" s="416" customFormat="1">
      <c r="A142" s="224"/>
      <c r="B142" s="224" t="s">
        <v>410</v>
      </c>
      <c r="C142" s="420" t="s">
        <v>380</v>
      </c>
      <c r="D142" s="421">
        <v>7.37</v>
      </c>
      <c r="E142" s="422">
        <v>2.385E-3</v>
      </c>
      <c r="F142" s="423">
        <f t="shared" si="11"/>
        <v>1.7577450000000001E-2</v>
      </c>
    </row>
    <row r="143" spans="1:6" s="416" customFormat="1">
      <c r="A143" s="424"/>
      <c r="B143" s="424" t="s">
        <v>463</v>
      </c>
      <c r="C143" s="420" t="s">
        <v>380</v>
      </c>
      <c r="D143" s="421">
        <v>0.96</v>
      </c>
      <c r="E143" s="422">
        <v>4.9290899999999997E-3</v>
      </c>
      <c r="F143" s="423">
        <f t="shared" si="11"/>
        <v>4.7319263999999993E-3</v>
      </c>
    </row>
    <row r="144" spans="1:6" s="416" customFormat="1">
      <c r="A144" s="425" t="s">
        <v>110</v>
      </c>
      <c r="B144" s="426"/>
      <c r="C144" s="427"/>
      <c r="D144" s="428"/>
      <c r="E144" s="429"/>
      <c r="F144" s="442">
        <f>SUM(F135:F143)</f>
        <v>0.33374257639999994</v>
      </c>
    </row>
    <row r="145" spans="1:6" s="416" customFormat="1">
      <c r="A145" s="431"/>
      <c r="B145" s="448"/>
      <c r="C145" s="449"/>
      <c r="D145" s="449"/>
      <c r="E145" s="450"/>
      <c r="F145" s="449"/>
    </row>
    <row r="146" spans="1:6" s="416" customFormat="1">
      <c r="A146" s="406" t="s">
        <v>111</v>
      </c>
      <c r="B146" s="406"/>
      <c r="C146" s="407" t="s">
        <v>376</v>
      </c>
      <c r="D146" s="407" t="s">
        <v>91</v>
      </c>
      <c r="E146" s="408" t="s">
        <v>92</v>
      </c>
      <c r="F146" s="409" t="s">
        <v>93</v>
      </c>
    </row>
    <row r="147" spans="1:6" s="416" customFormat="1">
      <c r="A147" s="411"/>
      <c r="B147" s="437" t="s">
        <v>382</v>
      </c>
      <c r="C147" s="412" t="s">
        <v>380</v>
      </c>
      <c r="D147" s="438">
        <v>0.96</v>
      </c>
      <c r="E147" s="414">
        <v>4.9199999999999999E-3</v>
      </c>
      <c r="F147" s="439">
        <f t="shared" ref="F147:F154" si="12">E147*D147</f>
        <v>4.7231999999999994E-3</v>
      </c>
    </row>
    <row r="148" spans="1:6" s="416" customFormat="1">
      <c r="A148" s="411"/>
      <c r="B148" s="437" t="s">
        <v>468</v>
      </c>
      <c r="C148" s="412" t="s">
        <v>380</v>
      </c>
      <c r="D148" s="438">
        <v>0.72</v>
      </c>
      <c r="E148" s="414">
        <v>0.17</v>
      </c>
      <c r="F148" s="439">
        <f t="shared" si="12"/>
        <v>0.12240000000000001</v>
      </c>
    </row>
    <row r="149" spans="1:6" s="410" customFormat="1">
      <c r="A149" s="411"/>
      <c r="B149" s="437" t="s">
        <v>599</v>
      </c>
      <c r="C149" s="412" t="s">
        <v>380</v>
      </c>
      <c r="D149" s="440">
        <v>0.88</v>
      </c>
      <c r="E149" s="414">
        <v>3.5000000000000003E-2</v>
      </c>
      <c r="F149" s="439">
        <f>E149*D149</f>
        <v>3.0800000000000004E-2</v>
      </c>
    </row>
    <row r="150" spans="1:6" s="410" customFormat="1">
      <c r="A150" s="411"/>
      <c r="B150" s="437" t="s">
        <v>403</v>
      </c>
      <c r="C150" s="412" t="s">
        <v>380</v>
      </c>
      <c r="D150" s="413">
        <v>1.25</v>
      </c>
      <c r="E150" s="414" t="s">
        <v>404</v>
      </c>
      <c r="F150" s="415">
        <f>E150*D150</f>
        <v>8.7500000000000008E-2</v>
      </c>
    </row>
    <row r="151" spans="1:6" s="410" customFormat="1">
      <c r="A151" s="411"/>
      <c r="B151" s="437" t="s">
        <v>582</v>
      </c>
      <c r="C151" s="412" t="s">
        <v>380</v>
      </c>
      <c r="D151" s="438">
        <v>0.96</v>
      </c>
      <c r="E151" s="414">
        <v>0.03</v>
      </c>
      <c r="F151" s="439">
        <f t="shared" si="12"/>
        <v>2.8799999999999999E-2</v>
      </c>
    </row>
    <row r="152" spans="1:6" s="410" customFormat="1">
      <c r="A152" s="411"/>
      <c r="B152" s="437" t="s">
        <v>511</v>
      </c>
      <c r="C152" s="412" t="s">
        <v>380</v>
      </c>
      <c r="D152" s="440">
        <v>0.66</v>
      </c>
      <c r="E152" s="414">
        <v>0.15</v>
      </c>
      <c r="F152" s="439">
        <f t="shared" si="12"/>
        <v>9.9000000000000005E-2</v>
      </c>
    </row>
    <row r="153" spans="1:6" s="410" customFormat="1">
      <c r="A153" s="224"/>
      <c r="B153" s="224" t="s">
        <v>410</v>
      </c>
      <c r="C153" s="420" t="s">
        <v>380</v>
      </c>
      <c r="D153" s="421">
        <v>7.37</v>
      </c>
      <c r="E153" s="422">
        <v>2.385E-3</v>
      </c>
      <c r="F153" s="423">
        <f t="shared" si="12"/>
        <v>1.7577450000000001E-2</v>
      </c>
    </row>
    <row r="154" spans="1:6" s="410" customFormat="1">
      <c r="A154" s="424"/>
      <c r="B154" s="424" t="s">
        <v>382</v>
      </c>
      <c r="C154" s="420" t="s">
        <v>380</v>
      </c>
      <c r="D154" s="421">
        <v>0.96</v>
      </c>
      <c r="E154" s="422">
        <v>4.9290899999999997E-3</v>
      </c>
      <c r="F154" s="423">
        <f t="shared" si="12"/>
        <v>4.7319263999999993E-3</v>
      </c>
    </row>
    <row r="155" spans="1:6" s="416" customFormat="1">
      <c r="A155" s="425" t="s">
        <v>112</v>
      </c>
      <c r="B155" s="426"/>
      <c r="C155" s="427"/>
      <c r="D155" s="428"/>
      <c r="E155" s="429"/>
      <c r="F155" s="442">
        <f>SUM(F147:F154)</f>
        <v>0.39553257639999995</v>
      </c>
    </row>
    <row r="156" spans="1:6" s="416" customFormat="1">
      <c r="A156" s="431"/>
      <c r="B156" s="431"/>
      <c r="C156" s="432"/>
      <c r="D156" s="432"/>
      <c r="E156" s="433"/>
      <c r="F156" s="432"/>
    </row>
    <row r="157" spans="1:6" s="416" customFormat="1">
      <c r="A157" s="406" t="s">
        <v>113</v>
      </c>
      <c r="B157" s="406"/>
      <c r="C157" s="407" t="s">
        <v>376</v>
      </c>
      <c r="D157" s="407" t="s">
        <v>91</v>
      </c>
      <c r="E157" s="408" t="s">
        <v>92</v>
      </c>
      <c r="F157" s="409" t="s">
        <v>93</v>
      </c>
    </row>
    <row r="158" spans="1:6" s="416" customFormat="1">
      <c r="A158" s="411"/>
      <c r="B158" s="437" t="s">
        <v>382</v>
      </c>
      <c r="C158" s="412" t="s">
        <v>380</v>
      </c>
      <c r="D158" s="438">
        <v>0.96</v>
      </c>
      <c r="E158" s="414" t="s">
        <v>385</v>
      </c>
      <c r="F158" s="439">
        <f t="shared" ref="F158:F169" si="13">E158*D158</f>
        <v>4.7999999999999996E-3</v>
      </c>
    </row>
    <row r="159" spans="1:6" s="416" customFormat="1">
      <c r="A159" s="411"/>
      <c r="B159" s="437" t="s">
        <v>503</v>
      </c>
      <c r="C159" s="412" t="s">
        <v>380</v>
      </c>
      <c r="D159" s="438">
        <v>1.87</v>
      </c>
      <c r="E159" s="414" t="s">
        <v>504</v>
      </c>
      <c r="F159" s="439">
        <f t="shared" si="13"/>
        <v>5.6100000000000004E-3</v>
      </c>
    </row>
    <row r="160" spans="1:6" s="416" customFormat="1">
      <c r="A160" s="411"/>
      <c r="B160" s="437" t="s">
        <v>603</v>
      </c>
      <c r="C160" s="412" t="s">
        <v>380</v>
      </c>
      <c r="D160" s="438">
        <v>1.2</v>
      </c>
      <c r="E160" s="414">
        <v>0.02</v>
      </c>
      <c r="F160" s="439">
        <f t="shared" si="13"/>
        <v>2.4E-2</v>
      </c>
    </row>
    <row r="161" spans="1:6" s="416" customFormat="1">
      <c r="A161" s="411"/>
      <c r="B161" s="437" t="s">
        <v>410</v>
      </c>
      <c r="C161" s="412" t="s">
        <v>380</v>
      </c>
      <c r="D161" s="438">
        <v>7.37</v>
      </c>
      <c r="E161" s="414">
        <v>5.0000000000000001E-3</v>
      </c>
      <c r="F161" s="439">
        <f t="shared" si="13"/>
        <v>3.6850000000000001E-2</v>
      </c>
    </row>
    <row r="162" spans="1:6" s="416" customFormat="1">
      <c r="A162" s="411"/>
      <c r="B162" s="437" t="s">
        <v>452</v>
      </c>
      <c r="C162" s="412" t="s">
        <v>380</v>
      </c>
      <c r="D162" s="440">
        <v>1.31</v>
      </c>
      <c r="E162" s="414">
        <v>0.1</v>
      </c>
      <c r="F162" s="439">
        <f t="shared" si="13"/>
        <v>0.13100000000000001</v>
      </c>
    </row>
    <row r="163" spans="1:6" s="416" customFormat="1">
      <c r="A163" s="411"/>
      <c r="B163" s="437" t="s">
        <v>410</v>
      </c>
      <c r="C163" s="412" t="s">
        <v>380</v>
      </c>
      <c r="D163" s="438">
        <v>7.37</v>
      </c>
      <c r="E163" s="414" t="s">
        <v>606</v>
      </c>
      <c r="F163" s="439">
        <f t="shared" si="13"/>
        <v>4.4219999999999997E-3</v>
      </c>
    </row>
    <row r="164" spans="1:6" s="416" customFormat="1">
      <c r="A164" s="411"/>
      <c r="B164" s="437" t="s">
        <v>369</v>
      </c>
      <c r="C164" s="412" t="s">
        <v>380</v>
      </c>
      <c r="D164" s="440">
        <v>2.63</v>
      </c>
      <c r="E164" s="414" t="s">
        <v>389</v>
      </c>
      <c r="F164" s="439">
        <f t="shared" si="13"/>
        <v>2.63E-3</v>
      </c>
    </row>
    <row r="165" spans="1:6" s="416" customFormat="1">
      <c r="A165" s="411"/>
      <c r="B165" s="437" t="s">
        <v>607</v>
      </c>
      <c r="C165" s="412" t="s">
        <v>380</v>
      </c>
      <c r="D165" s="438">
        <v>0.67</v>
      </c>
      <c r="E165" s="414">
        <v>0.17</v>
      </c>
      <c r="F165" s="439">
        <f t="shared" si="13"/>
        <v>0.11390000000000002</v>
      </c>
    </row>
    <row r="166" spans="1:6" s="416" customFormat="1">
      <c r="A166" s="411"/>
      <c r="B166" s="437" t="s">
        <v>382</v>
      </c>
      <c r="C166" s="412" t="s">
        <v>380</v>
      </c>
      <c r="D166" s="438">
        <v>0.96</v>
      </c>
      <c r="E166" s="414" t="s">
        <v>385</v>
      </c>
      <c r="F166" s="439">
        <f t="shared" si="13"/>
        <v>4.7999999999999996E-3</v>
      </c>
    </row>
    <row r="167" spans="1:6" s="410" customFormat="1">
      <c r="A167" s="411"/>
      <c r="B167" s="437" t="s">
        <v>609</v>
      </c>
      <c r="C167" s="412" t="s">
        <v>380</v>
      </c>
      <c r="D167" s="438">
        <v>0.78</v>
      </c>
      <c r="E167" s="414" t="s">
        <v>610</v>
      </c>
      <c r="F167" s="439">
        <f t="shared" si="13"/>
        <v>0.18720000000000001</v>
      </c>
    </row>
    <row r="168" spans="1:6" s="410" customFormat="1">
      <c r="A168" s="224"/>
      <c r="B168" s="224" t="s">
        <v>442</v>
      </c>
      <c r="C168" s="420" t="s">
        <v>380</v>
      </c>
      <c r="D168" s="421">
        <v>7.37</v>
      </c>
      <c r="E168" s="422">
        <v>2.385E-3</v>
      </c>
      <c r="F168" s="423">
        <f t="shared" si="13"/>
        <v>1.7577450000000001E-2</v>
      </c>
    </row>
    <row r="169" spans="1:6" s="410" customFormat="1">
      <c r="A169" s="424"/>
      <c r="B169" s="424" t="s">
        <v>382</v>
      </c>
      <c r="C169" s="420" t="s">
        <v>380</v>
      </c>
      <c r="D169" s="421">
        <v>0.96</v>
      </c>
      <c r="E169" s="422">
        <v>4.9290899999999997E-3</v>
      </c>
      <c r="F169" s="423">
        <f t="shared" si="13"/>
        <v>4.7319263999999993E-3</v>
      </c>
    </row>
    <row r="170" spans="1:6" s="416" customFormat="1">
      <c r="A170" s="425" t="s">
        <v>114</v>
      </c>
      <c r="B170" s="426"/>
      <c r="C170" s="427"/>
      <c r="D170" s="428"/>
      <c r="E170" s="429"/>
      <c r="F170" s="442">
        <f>SUM(F158:F169)</f>
        <v>0.53752137639999997</v>
      </c>
    </row>
    <row r="171" spans="1:6" s="416" customFormat="1">
      <c r="A171" s="431"/>
      <c r="B171" s="448"/>
      <c r="C171" s="449"/>
      <c r="D171" s="449"/>
      <c r="E171" s="450"/>
      <c r="F171" s="432"/>
    </row>
    <row r="172" spans="1:6" s="416" customFormat="1">
      <c r="A172" s="406" t="s">
        <v>115</v>
      </c>
      <c r="B172" s="406"/>
      <c r="C172" s="407" t="s">
        <v>376</v>
      </c>
      <c r="D172" s="407" t="s">
        <v>91</v>
      </c>
      <c r="E172" s="408" t="s">
        <v>92</v>
      </c>
      <c r="F172" s="409" t="s">
        <v>93</v>
      </c>
    </row>
    <row r="173" spans="1:6" s="416" customFormat="1">
      <c r="A173" s="411"/>
      <c r="B173" s="437" t="s">
        <v>382</v>
      </c>
      <c r="C173" s="412" t="s">
        <v>380</v>
      </c>
      <c r="D173" s="438">
        <v>0.96</v>
      </c>
      <c r="E173" s="414">
        <v>5.0000000000000001E-3</v>
      </c>
      <c r="F173" s="451">
        <f t="shared" ref="F173:F183" si="14">E173*D173</f>
        <v>4.7999999999999996E-3</v>
      </c>
    </row>
    <row r="174" spans="1:6" s="416" customFormat="1">
      <c r="A174" s="411"/>
      <c r="B174" s="437" t="s">
        <v>568</v>
      </c>
      <c r="C174" s="412" t="s">
        <v>380</v>
      </c>
      <c r="D174" s="438">
        <v>0.77</v>
      </c>
      <c r="E174" s="414">
        <v>0.05</v>
      </c>
      <c r="F174" s="451">
        <f t="shared" si="14"/>
        <v>3.8500000000000006E-2</v>
      </c>
    </row>
    <row r="175" spans="1:6" s="416" customFormat="1">
      <c r="A175" s="411"/>
      <c r="B175" s="437" t="s">
        <v>503</v>
      </c>
      <c r="C175" s="412" t="s">
        <v>380</v>
      </c>
      <c r="D175" s="438">
        <v>1.87</v>
      </c>
      <c r="E175" s="414">
        <v>0.05</v>
      </c>
      <c r="F175" s="451">
        <f t="shared" si="14"/>
        <v>9.3500000000000014E-2</v>
      </c>
    </row>
    <row r="176" spans="1:6" s="416" customFormat="1">
      <c r="A176" s="411"/>
      <c r="B176" s="437" t="s">
        <v>588</v>
      </c>
      <c r="C176" s="412" t="s">
        <v>380</v>
      </c>
      <c r="D176" s="440">
        <v>1.67</v>
      </c>
      <c r="E176" s="414" t="s">
        <v>504</v>
      </c>
      <c r="F176" s="451">
        <f t="shared" si="14"/>
        <v>5.0099999999999997E-3</v>
      </c>
    </row>
    <row r="177" spans="1:6" s="416" customFormat="1">
      <c r="A177" s="411"/>
      <c r="B177" s="437" t="s">
        <v>382</v>
      </c>
      <c r="C177" s="412" t="s">
        <v>380</v>
      </c>
      <c r="D177" s="438">
        <v>0.96</v>
      </c>
      <c r="E177" s="414">
        <v>4.9199999999999999E-3</v>
      </c>
      <c r="F177" s="451">
        <f t="shared" si="14"/>
        <v>4.7231999999999994E-3</v>
      </c>
    </row>
    <row r="178" spans="1:6" s="416" customFormat="1">
      <c r="A178" s="411"/>
      <c r="B178" s="437" t="s">
        <v>464</v>
      </c>
      <c r="C178" s="412" t="s">
        <v>380</v>
      </c>
      <c r="D178" s="438">
        <v>1.87</v>
      </c>
      <c r="E178" s="414" t="s">
        <v>391</v>
      </c>
      <c r="F178" s="451">
        <f t="shared" si="14"/>
        <v>9.3500000000000014E-2</v>
      </c>
    </row>
    <row r="179" spans="1:6" s="416" customFormat="1">
      <c r="A179" s="411"/>
      <c r="B179" s="437" t="s">
        <v>619</v>
      </c>
      <c r="C179" s="412" t="s">
        <v>380</v>
      </c>
      <c r="D179" s="438">
        <v>1.79</v>
      </c>
      <c r="E179" s="414">
        <v>4.4999999999999998E-2</v>
      </c>
      <c r="F179" s="451">
        <f t="shared" si="14"/>
        <v>8.0549999999999997E-2</v>
      </c>
    </row>
    <row r="180" spans="1:6" s="410" customFormat="1">
      <c r="A180" s="411"/>
      <c r="B180" s="437" t="s">
        <v>620</v>
      </c>
      <c r="C180" s="412" t="s">
        <v>380</v>
      </c>
      <c r="D180" s="438">
        <v>0.96</v>
      </c>
      <c r="E180" s="414">
        <v>3.5000000000000003E-2</v>
      </c>
      <c r="F180" s="451">
        <f t="shared" si="14"/>
        <v>3.3600000000000005E-2</v>
      </c>
    </row>
    <row r="181" spans="1:6" s="410" customFormat="1">
      <c r="A181" s="411"/>
      <c r="B181" s="437" t="s">
        <v>622</v>
      </c>
      <c r="C181" s="412" t="s">
        <v>380</v>
      </c>
      <c r="D181" s="438">
        <v>1.6</v>
      </c>
      <c r="E181" s="414">
        <v>0.24</v>
      </c>
      <c r="F181" s="451">
        <f t="shared" si="14"/>
        <v>0.38400000000000001</v>
      </c>
    </row>
    <row r="182" spans="1:6" s="410" customFormat="1">
      <c r="A182" s="224"/>
      <c r="B182" s="224" t="s">
        <v>410</v>
      </c>
      <c r="C182" s="420" t="s">
        <v>380</v>
      </c>
      <c r="D182" s="421">
        <v>7.37</v>
      </c>
      <c r="E182" s="422">
        <v>2.385E-3</v>
      </c>
      <c r="F182" s="423">
        <f t="shared" si="14"/>
        <v>1.7577450000000001E-2</v>
      </c>
    </row>
    <row r="183" spans="1:6" s="410" customFormat="1">
      <c r="A183" s="424"/>
      <c r="B183" s="424" t="s">
        <v>382</v>
      </c>
      <c r="C183" s="420" t="s">
        <v>380</v>
      </c>
      <c r="D183" s="421">
        <v>0.96</v>
      </c>
      <c r="E183" s="422">
        <v>4.9290899999999997E-3</v>
      </c>
      <c r="F183" s="423">
        <f t="shared" si="14"/>
        <v>4.7319263999999993E-3</v>
      </c>
    </row>
    <row r="184" spans="1:6" s="416" customFormat="1">
      <c r="A184" s="425" t="s">
        <v>623</v>
      </c>
      <c r="B184" s="426"/>
      <c r="C184" s="427"/>
      <c r="D184" s="428"/>
      <c r="E184" s="429"/>
      <c r="F184" s="442">
        <f>SUM(F173:F183)</f>
        <v>0.76049257640000012</v>
      </c>
    </row>
    <row r="185" spans="1:6" s="416" customFormat="1">
      <c r="A185" s="431"/>
      <c r="B185" s="448"/>
      <c r="C185" s="449"/>
      <c r="D185" s="449"/>
      <c r="E185" s="450"/>
      <c r="F185" s="432"/>
    </row>
    <row r="186" spans="1:6" s="416" customFormat="1">
      <c r="A186" s="406" t="s">
        <v>116</v>
      </c>
      <c r="B186" s="406"/>
      <c r="C186" s="407" t="s">
        <v>376</v>
      </c>
      <c r="D186" s="407" t="s">
        <v>91</v>
      </c>
      <c r="E186" s="408" t="s">
        <v>92</v>
      </c>
      <c r="F186" s="409" t="s">
        <v>93</v>
      </c>
    </row>
    <row r="187" spans="1:6" s="416" customFormat="1">
      <c r="A187" s="411"/>
      <c r="B187" s="437" t="s">
        <v>463</v>
      </c>
      <c r="C187" s="412" t="s">
        <v>380</v>
      </c>
      <c r="D187" s="438">
        <v>0.96</v>
      </c>
      <c r="E187" s="414" t="s">
        <v>385</v>
      </c>
      <c r="F187" s="439">
        <f>E187*D187</f>
        <v>4.7999999999999996E-3</v>
      </c>
    </row>
    <row r="188" spans="1:6" s="416" customFormat="1">
      <c r="A188" s="411"/>
      <c r="B188" s="437" t="s">
        <v>628</v>
      </c>
      <c r="C188" s="412" t="s">
        <v>380</v>
      </c>
      <c r="D188" s="438">
        <v>0.37</v>
      </c>
      <c r="E188" s="414">
        <v>0.06</v>
      </c>
      <c r="F188" s="439">
        <f t="shared" ref="F188:F192" si="15">E188*D188</f>
        <v>2.2199999999999998E-2</v>
      </c>
    </row>
    <row r="189" spans="1:6" s="416" customFormat="1">
      <c r="A189" s="411"/>
      <c r="B189" s="437" t="s">
        <v>629</v>
      </c>
      <c r="C189" s="412" t="s">
        <v>380</v>
      </c>
      <c r="D189" s="438">
        <v>1.1599999999999999</v>
      </c>
      <c r="E189" s="414">
        <v>0.06</v>
      </c>
      <c r="F189" s="439">
        <f t="shared" si="15"/>
        <v>6.9599999999999995E-2</v>
      </c>
    </row>
    <row r="190" spans="1:6" s="416" customFormat="1">
      <c r="A190" s="411"/>
      <c r="B190" s="437" t="s">
        <v>476</v>
      </c>
      <c r="C190" s="412" t="s">
        <v>380</v>
      </c>
      <c r="D190" s="440">
        <v>3.97</v>
      </c>
      <c r="E190" s="414">
        <v>0.15</v>
      </c>
      <c r="F190" s="439">
        <f t="shared" si="15"/>
        <v>0.59550000000000003</v>
      </c>
    </row>
    <row r="191" spans="1:6" s="410" customFormat="1">
      <c r="A191" s="224"/>
      <c r="B191" s="224" t="s">
        <v>442</v>
      </c>
      <c r="C191" s="420" t="s">
        <v>380</v>
      </c>
      <c r="D191" s="421">
        <v>7.37</v>
      </c>
      <c r="E191" s="422">
        <v>2.385E-3</v>
      </c>
      <c r="F191" s="423">
        <f t="shared" si="15"/>
        <v>1.7577450000000001E-2</v>
      </c>
    </row>
    <row r="192" spans="1:6" s="410" customFormat="1">
      <c r="A192" s="424"/>
      <c r="B192" s="424" t="s">
        <v>382</v>
      </c>
      <c r="C192" s="420" t="s">
        <v>380</v>
      </c>
      <c r="D192" s="421">
        <v>0.96</v>
      </c>
      <c r="E192" s="422">
        <v>4.9290899999999997E-3</v>
      </c>
      <c r="F192" s="423">
        <f t="shared" si="15"/>
        <v>4.7319263999999993E-3</v>
      </c>
    </row>
    <row r="193" spans="1:6" s="410" customFormat="1">
      <c r="A193" s="425" t="s">
        <v>631</v>
      </c>
      <c r="B193" s="426"/>
      <c r="C193" s="427"/>
      <c r="D193" s="428"/>
      <c r="E193" s="429"/>
      <c r="F193" s="442">
        <f>SUM(F187:F192)</f>
        <v>0.71440937640000002</v>
      </c>
    </row>
    <row r="194" spans="1:6" s="410" customFormat="1">
      <c r="A194" s="431"/>
      <c r="B194" s="431"/>
      <c r="C194" s="432"/>
      <c r="D194" s="432"/>
      <c r="E194" s="433"/>
      <c r="F194" s="432"/>
    </row>
    <row r="195" spans="1:6" s="410" customFormat="1">
      <c r="A195" s="406" t="s">
        <v>117</v>
      </c>
      <c r="B195" s="406"/>
      <c r="C195" s="407" t="s">
        <v>376</v>
      </c>
      <c r="D195" s="407" t="s">
        <v>91</v>
      </c>
      <c r="E195" s="408" t="s">
        <v>92</v>
      </c>
      <c r="F195" s="409" t="s">
        <v>93</v>
      </c>
    </row>
    <row r="196" spans="1:6" s="431" customFormat="1">
      <c r="A196" s="411"/>
      <c r="B196" s="224" t="s">
        <v>634</v>
      </c>
      <c r="C196" s="412" t="s">
        <v>380</v>
      </c>
      <c r="D196" s="438">
        <v>0.96</v>
      </c>
      <c r="E196" s="414" t="s">
        <v>385</v>
      </c>
      <c r="F196" s="439">
        <f t="shared" ref="F196:F203" si="16">E196*D196</f>
        <v>4.7999999999999996E-3</v>
      </c>
    </row>
    <row r="197" spans="1:6" s="416" customFormat="1">
      <c r="A197" s="411"/>
      <c r="B197" s="224" t="s">
        <v>638</v>
      </c>
      <c r="C197" s="412" t="s">
        <v>380</v>
      </c>
      <c r="D197" s="438">
        <v>2.35</v>
      </c>
      <c r="E197" s="414">
        <v>8.5000000000000006E-2</v>
      </c>
      <c r="F197" s="439">
        <f t="shared" si="16"/>
        <v>0.19975000000000001</v>
      </c>
    </row>
    <row r="198" spans="1:6" s="416" customFormat="1">
      <c r="A198" s="411"/>
      <c r="B198" s="224" t="s">
        <v>468</v>
      </c>
      <c r="C198" s="412" t="s">
        <v>380</v>
      </c>
      <c r="D198" s="438">
        <v>0.72</v>
      </c>
      <c r="E198" s="414">
        <v>8.5000000000000006E-2</v>
      </c>
      <c r="F198" s="439">
        <f t="shared" si="16"/>
        <v>6.1200000000000004E-2</v>
      </c>
    </row>
    <row r="199" spans="1:6" s="416" customFormat="1">
      <c r="A199" s="411"/>
      <c r="B199" s="224" t="s">
        <v>642</v>
      </c>
      <c r="C199" s="412" t="s">
        <v>380</v>
      </c>
      <c r="D199" s="440">
        <v>0.88</v>
      </c>
      <c r="E199" s="414">
        <v>2.8000000000000001E-2</v>
      </c>
      <c r="F199" s="439">
        <f t="shared" si="16"/>
        <v>2.4640000000000002E-2</v>
      </c>
    </row>
    <row r="200" spans="1:6" s="416" customFormat="1">
      <c r="A200" s="411"/>
      <c r="B200" s="224" t="s">
        <v>570</v>
      </c>
      <c r="C200" s="412" t="s">
        <v>380</v>
      </c>
      <c r="D200" s="438">
        <v>1.34</v>
      </c>
      <c r="E200" s="414">
        <v>7.0000000000000007E-2</v>
      </c>
      <c r="F200" s="439">
        <f t="shared" si="16"/>
        <v>9.3800000000000008E-2</v>
      </c>
    </row>
    <row r="201" spans="1:6" s="416" customFormat="1">
      <c r="A201" s="411"/>
      <c r="B201" s="224" t="s">
        <v>405</v>
      </c>
      <c r="C201" s="412" t="s">
        <v>380</v>
      </c>
      <c r="D201" s="438">
        <v>1.17</v>
      </c>
      <c r="E201" s="414">
        <v>0.15</v>
      </c>
      <c r="F201" s="439">
        <f t="shared" si="16"/>
        <v>0.17549999999999999</v>
      </c>
    </row>
    <row r="202" spans="1:6" s="416" customFormat="1">
      <c r="A202" s="224"/>
      <c r="B202" s="224" t="s">
        <v>410</v>
      </c>
      <c r="C202" s="420" t="s">
        <v>380</v>
      </c>
      <c r="D202" s="421">
        <v>7.37</v>
      </c>
      <c r="E202" s="422">
        <v>2.385E-3</v>
      </c>
      <c r="F202" s="423">
        <f t="shared" si="16"/>
        <v>1.7577450000000001E-2</v>
      </c>
    </row>
    <row r="203" spans="1:6" s="416" customFormat="1">
      <c r="A203" s="424"/>
      <c r="B203" s="424" t="s">
        <v>382</v>
      </c>
      <c r="C203" s="420" t="s">
        <v>380</v>
      </c>
      <c r="D203" s="421">
        <v>0.96</v>
      </c>
      <c r="E203" s="422">
        <v>4.9290899999999997E-3</v>
      </c>
      <c r="F203" s="423">
        <f t="shared" si="16"/>
        <v>4.7319263999999993E-3</v>
      </c>
    </row>
    <row r="204" spans="1:6" s="416" customFormat="1">
      <c r="A204" s="425" t="s">
        <v>643</v>
      </c>
      <c r="B204" s="426"/>
      <c r="C204" s="427"/>
      <c r="D204" s="428"/>
      <c r="E204" s="429"/>
      <c r="F204" s="442">
        <f>SUM(F196:F203)</f>
        <v>0.58199937639999999</v>
      </c>
    </row>
    <row r="205" spans="1:6" s="416" customFormat="1">
      <c r="C205" s="435"/>
      <c r="D205" s="435"/>
      <c r="E205" s="456"/>
      <c r="F205" s="435"/>
    </row>
    <row r="206" spans="1:6" s="416" customFormat="1">
      <c r="A206" s="406" t="s">
        <v>118</v>
      </c>
      <c r="B206" s="406"/>
      <c r="C206" s="407" t="s">
        <v>376</v>
      </c>
      <c r="D206" s="407" t="s">
        <v>91</v>
      </c>
      <c r="E206" s="408" t="s">
        <v>92</v>
      </c>
      <c r="F206" s="409" t="s">
        <v>93</v>
      </c>
    </row>
    <row r="207" spans="1:6" s="410" customFormat="1">
      <c r="A207" s="411"/>
      <c r="B207" s="224" t="s">
        <v>463</v>
      </c>
      <c r="C207" s="412" t="s">
        <v>380</v>
      </c>
      <c r="D207" s="438">
        <v>0.96</v>
      </c>
      <c r="E207" s="414">
        <v>5.0000000000000001E-3</v>
      </c>
      <c r="F207" s="451">
        <f t="shared" ref="F207:F216" si="17">E207*D207</f>
        <v>4.7999999999999996E-3</v>
      </c>
    </row>
    <row r="208" spans="1:6" s="410" customFormat="1">
      <c r="A208" s="411"/>
      <c r="B208" s="224" t="s">
        <v>647</v>
      </c>
      <c r="C208" s="412" t="s">
        <v>380</v>
      </c>
      <c r="D208" s="438">
        <v>7.37</v>
      </c>
      <c r="E208" s="414" t="s">
        <v>430</v>
      </c>
      <c r="F208" s="451">
        <f t="shared" si="17"/>
        <v>1.4740000000000001E-2</v>
      </c>
    </row>
    <row r="209" spans="1:6" s="410" customFormat="1">
      <c r="A209" s="411"/>
      <c r="B209" s="224" t="s">
        <v>648</v>
      </c>
      <c r="C209" s="412" t="s">
        <v>380</v>
      </c>
      <c r="D209" s="438">
        <v>0.37</v>
      </c>
      <c r="E209" s="414" t="s">
        <v>391</v>
      </c>
      <c r="F209" s="451">
        <f t="shared" si="17"/>
        <v>1.8499999999999999E-2</v>
      </c>
    </row>
    <row r="210" spans="1:6" s="410" customFormat="1">
      <c r="A210" s="411"/>
      <c r="B210" s="224" t="s">
        <v>649</v>
      </c>
      <c r="C210" s="412" t="s">
        <v>380</v>
      </c>
      <c r="D210" s="440">
        <v>2.63</v>
      </c>
      <c r="E210" s="414" t="s">
        <v>389</v>
      </c>
      <c r="F210" s="451">
        <f t="shared" si="17"/>
        <v>2.63E-3</v>
      </c>
    </row>
    <row r="211" spans="1:6" s="410" customFormat="1">
      <c r="A211" s="411"/>
      <c r="B211" s="224" t="s">
        <v>650</v>
      </c>
      <c r="C211" s="412" t="s">
        <v>380</v>
      </c>
      <c r="D211" s="438">
        <v>0.96</v>
      </c>
      <c r="E211" s="414" t="s">
        <v>385</v>
      </c>
      <c r="F211" s="451">
        <f t="shared" si="17"/>
        <v>4.7999999999999996E-3</v>
      </c>
    </row>
    <row r="212" spans="1:6" s="431" customFormat="1">
      <c r="A212" s="411"/>
      <c r="B212" s="224" t="s">
        <v>652</v>
      </c>
      <c r="C212" s="412" t="s">
        <v>380</v>
      </c>
      <c r="D212" s="438">
        <v>0.83</v>
      </c>
      <c r="E212" s="414">
        <v>2.8000000000000001E-2</v>
      </c>
      <c r="F212" s="457">
        <f>E212*D212</f>
        <v>2.324E-2</v>
      </c>
    </row>
    <row r="213" spans="1:6" s="441" customFormat="1">
      <c r="A213" s="411"/>
      <c r="B213" s="224" t="s">
        <v>469</v>
      </c>
      <c r="C213" s="412" t="s">
        <v>380</v>
      </c>
      <c r="D213" s="438">
        <v>0.81</v>
      </c>
      <c r="E213" s="414">
        <v>0.04</v>
      </c>
      <c r="F213" s="451">
        <f t="shared" si="17"/>
        <v>3.2400000000000005E-2</v>
      </c>
    </row>
    <row r="214" spans="1:6" s="416" customFormat="1">
      <c r="A214" s="411"/>
      <c r="B214" s="224" t="s">
        <v>653</v>
      </c>
      <c r="C214" s="412" t="s">
        <v>380</v>
      </c>
      <c r="D214" s="440">
        <v>0.66</v>
      </c>
      <c r="E214" s="414">
        <v>0.15</v>
      </c>
      <c r="F214" s="451">
        <f t="shared" si="17"/>
        <v>9.9000000000000005E-2</v>
      </c>
    </row>
    <row r="215" spans="1:6" s="416" customFormat="1">
      <c r="A215" s="224"/>
      <c r="B215" s="224" t="s">
        <v>442</v>
      </c>
      <c r="C215" s="420" t="s">
        <v>380</v>
      </c>
      <c r="D215" s="421">
        <v>7.37</v>
      </c>
      <c r="E215" s="422">
        <v>2.385E-3</v>
      </c>
      <c r="F215" s="423">
        <f t="shared" si="17"/>
        <v>1.7577450000000001E-2</v>
      </c>
    </row>
    <row r="216" spans="1:6" s="416" customFormat="1">
      <c r="A216" s="424"/>
      <c r="B216" s="424" t="s">
        <v>382</v>
      </c>
      <c r="C216" s="420" t="s">
        <v>380</v>
      </c>
      <c r="D216" s="421">
        <v>0.96</v>
      </c>
      <c r="E216" s="422">
        <v>4.9290899999999997E-3</v>
      </c>
      <c r="F216" s="423">
        <f t="shared" si="17"/>
        <v>4.7319263999999993E-3</v>
      </c>
    </row>
    <row r="217" spans="1:6" s="416" customFormat="1">
      <c r="A217" s="425" t="s">
        <v>656</v>
      </c>
      <c r="B217" s="426"/>
      <c r="C217" s="427"/>
      <c r="D217" s="428"/>
      <c r="E217" s="429"/>
      <c r="F217" s="442">
        <f>SUM(F207:F216)</f>
        <v>0.22241937640000001</v>
      </c>
    </row>
    <row r="218" spans="1:6" s="416" customFormat="1">
      <c r="A218" s="458"/>
      <c r="B218" s="459"/>
      <c r="C218" s="460"/>
      <c r="D218" s="460"/>
      <c r="E218" s="461"/>
      <c r="F218" s="460"/>
    </row>
    <row r="219" spans="1:6" s="416" customFormat="1">
      <c r="A219" s="406" t="s">
        <v>119</v>
      </c>
      <c r="B219" s="406"/>
      <c r="C219" s="407" t="s">
        <v>376</v>
      </c>
      <c r="D219" s="407" t="s">
        <v>91</v>
      </c>
      <c r="E219" s="408" t="s">
        <v>92</v>
      </c>
      <c r="F219" s="409" t="s">
        <v>93</v>
      </c>
    </row>
    <row r="220" spans="1:6" s="416" customFormat="1">
      <c r="A220" s="411"/>
      <c r="B220" s="224" t="s">
        <v>382</v>
      </c>
      <c r="C220" s="412" t="s">
        <v>380</v>
      </c>
      <c r="D220" s="438">
        <v>0.96</v>
      </c>
      <c r="E220" s="414" t="s">
        <v>393</v>
      </c>
      <c r="F220" s="439">
        <f t="shared" ref="F220:F230" si="18">E220*D220</f>
        <v>1.9199999999999998E-2</v>
      </c>
    </row>
    <row r="221" spans="1:6" s="416" customFormat="1">
      <c r="A221" s="411"/>
      <c r="B221" s="224" t="s">
        <v>659</v>
      </c>
      <c r="C221" s="412" t="s">
        <v>380</v>
      </c>
      <c r="D221" s="438">
        <v>1.39</v>
      </c>
      <c r="E221" s="414">
        <v>5.0000000000000001E-3</v>
      </c>
      <c r="F221" s="439">
        <f t="shared" si="18"/>
        <v>6.9499999999999996E-3</v>
      </c>
    </row>
    <row r="222" spans="1:6" s="416" customFormat="1">
      <c r="A222" s="411"/>
      <c r="B222" s="224" t="s">
        <v>503</v>
      </c>
      <c r="C222" s="412" t="s">
        <v>380</v>
      </c>
      <c r="D222" s="438">
        <v>1.87</v>
      </c>
      <c r="E222" s="414">
        <v>0.03</v>
      </c>
      <c r="F222" s="439">
        <f t="shared" si="18"/>
        <v>5.6100000000000004E-2</v>
      </c>
    </row>
    <row r="223" spans="1:6" s="416" customFormat="1">
      <c r="A223" s="411"/>
      <c r="B223" s="224" t="s">
        <v>662</v>
      </c>
      <c r="C223" s="412" t="s">
        <v>380</v>
      </c>
      <c r="D223" s="438">
        <v>0.67</v>
      </c>
      <c r="E223" s="414">
        <v>0.13</v>
      </c>
      <c r="F223" s="439">
        <f t="shared" si="18"/>
        <v>8.7100000000000011E-2</v>
      </c>
    </row>
    <row r="224" spans="1:6" s="416" customFormat="1">
      <c r="A224" s="411"/>
      <c r="B224" s="224" t="s">
        <v>663</v>
      </c>
      <c r="C224" s="412" t="s">
        <v>380</v>
      </c>
      <c r="D224" s="438">
        <v>0.96</v>
      </c>
      <c r="E224" s="414" t="s">
        <v>385</v>
      </c>
      <c r="F224" s="439">
        <f t="shared" si="18"/>
        <v>4.7999999999999996E-3</v>
      </c>
    </row>
    <row r="225" spans="1:6" s="410" customFormat="1">
      <c r="A225" s="411"/>
      <c r="B225" s="224" t="s">
        <v>403</v>
      </c>
      <c r="C225" s="412" t="s">
        <v>380</v>
      </c>
      <c r="D225" s="438">
        <v>1.25</v>
      </c>
      <c r="E225" s="414" t="s">
        <v>666</v>
      </c>
      <c r="F225" s="439">
        <f>E225*D225</f>
        <v>3.7499999999999999E-2</v>
      </c>
    </row>
    <row r="226" spans="1:6" s="410" customFormat="1">
      <c r="A226" s="411"/>
      <c r="B226" s="224" t="s">
        <v>667</v>
      </c>
      <c r="C226" s="412" t="s">
        <v>380</v>
      </c>
      <c r="D226" s="438">
        <v>0.99</v>
      </c>
      <c r="E226" s="414">
        <v>0.05</v>
      </c>
      <c r="F226" s="439">
        <f t="shared" si="18"/>
        <v>4.9500000000000002E-2</v>
      </c>
    </row>
    <row r="227" spans="1:6" s="410" customFormat="1">
      <c r="A227" s="411"/>
      <c r="B227" s="224" t="s">
        <v>852</v>
      </c>
      <c r="C227" s="412" t="s">
        <v>380</v>
      </c>
      <c r="D227" s="438">
        <v>2.37</v>
      </c>
      <c r="E227" s="414" t="s">
        <v>668</v>
      </c>
      <c r="F227" s="439">
        <f t="shared" si="18"/>
        <v>0.21329999999999999</v>
      </c>
    </row>
    <row r="228" spans="1:6" s="410" customFormat="1">
      <c r="A228" s="411"/>
      <c r="B228" s="224" t="s">
        <v>670</v>
      </c>
      <c r="C228" s="412" t="s">
        <v>380</v>
      </c>
      <c r="D228" s="438">
        <v>1.21</v>
      </c>
      <c r="E228" s="414">
        <v>0.15</v>
      </c>
      <c r="F228" s="439">
        <f t="shared" si="18"/>
        <v>0.18149999999999999</v>
      </c>
    </row>
    <row r="229" spans="1:6" s="441" customFormat="1">
      <c r="A229" s="224"/>
      <c r="B229" s="224" t="s">
        <v>410</v>
      </c>
      <c r="C229" s="420" t="s">
        <v>380</v>
      </c>
      <c r="D229" s="421">
        <v>7.37</v>
      </c>
      <c r="E229" s="422">
        <v>2.385E-3</v>
      </c>
      <c r="F229" s="423">
        <f t="shared" si="18"/>
        <v>1.7577450000000001E-2</v>
      </c>
    </row>
    <row r="230" spans="1:6" s="416" customFormat="1">
      <c r="A230" s="424"/>
      <c r="B230" s="424" t="s">
        <v>382</v>
      </c>
      <c r="C230" s="420" t="s">
        <v>380</v>
      </c>
      <c r="D230" s="421">
        <v>0.96</v>
      </c>
      <c r="E230" s="422">
        <v>4.9290899999999997E-3</v>
      </c>
      <c r="F230" s="423">
        <f t="shared" si="18"/>
        <v>4.7319263999999993E-3</v>
      </c>
    </row>
    <row r="231" spans="1:6" s="416" customFormat="1">
      <c r="A231" s="425" t="s">
        <v>674</v>
      </c>
      <c r="B231" s="426"/>
      <c r="C231" s="427"/>
      <c r="D231" s="428"/>
      <c r="E231" s="429"/>
      <c r="F231" s="442">
        <f>SUM(F220:F230)</f>
        <v>0.6782593764</v>
      </c>
    </row>
    <row r="232" spans="1:6" s="416" customFormat="1" ht="19.5" customHeight="1">
      <c r="B232" s="434"/>
      <c r="C232" s="453"/>
      <c r="D232" s="453"/>
      <c r="E232" s="455"/>
      <c r="F232" s="453"/>
    </row>
    <row r="233" spans="1:6" s="416" customFormat="1">
      <c r="A233" s="406" t="s">
        <v>120</v>
      </c>
      <c r="B233" s="406"/>
      <c r="C233" s="407" t="s">
        <v>376</v>
      </c>
      <c r="D233" s="407" t="s">
        <v>91</v>
      </c>
      <c r="E233" s="408" t="s">
        <v>92</v>
      </c>
      <c r="F233" s="409" t="s">
        <v>93</v>
      </c>
    </row>
    <row r="234" spans="1:6" s="416" customFormat="1">
      <c r="A234" s="411"/>
      <c r="B234" s="224" t="s">
        <v>677</v>
      </c>
      <c r="C234" s="412" t="s">
        <v>380</v>
      </c>
      <c r="D234" s="440">
        <v>1.54</v>
      </c>
      <c r="E234" s="414" t="s">
        <v>430</v>
      </c>
      <c r="F234" s="451">
        <f t="shared" ref="F234:F246" si="19">E234*D234</f>
        <v>3.0800000000000003E-3</v>
      </c>
    </row>
    <row r="235" spans="1:6" s="416" customFormat="1">
      <c r="A235" s="411"/>
      <c r="B235" s="224" t="s">
        <v>634</v>
      </c>
      <c r="C235" s="412" t="s">
        <v>380</v>
      </c>
      <c r="D235" s="438">
        <v>0.96</v>
      </c>
      <c r="E235" s="414">
        <v>4.9199999999999999E-3</v>
      </c>
      <c r="F235" s="451">
        <f t="shared" si="19"/>
        <v>4.7231999999999994E-3</v>
      </c>
    </row>
    <row r="236" spans="1:6" s="416" customFormat="1">
      <c r="A236" s="411"/>
      <c r="B236" s="224" t="s">
        <v>678</v>
      </c>
      <c r="C236" s="412" t="s">
        <v>380</v>
      </c>
      <c r="D236" s="438">
        <v>0.77</v>
      </c>
      <c r="E236" s="414" t="s">
        <v>393</v>
      </c>
      <c r="F236" s="451">
        <f t="shared" si="19"/>
        <v>1.54E-2</v>
      </c>
    </row>
    <row r="237" spans="1:6" s="416" customFormat="1">
      <c r="A237" s="411"/>
      <c r="B237" s="224" t="s">
        <v>679</v>
      </c>
      <c r="C237" s="412" t="s">
        <v>380</v>
      </c>
      <c r="D237" s="438">
        <v>1.39</v>
      </c>
      <c r="E237" s="414">
        <v>4.9199999999999999E-3</v>
      </c>
      <c r="F237" s="451">
        <f t="shared" si="19"/>
        <v>6.838799999999999E-3</v>
      </c>
    </row>
    <row r="238" spans="1:6" s="416" customFormat="1">
      <c r="A238" s="411"/>
      <c r="B238" s="224" t="s">
        <v>519</v>
      </c>
      <c r="C238" s="412" t="s">
        <v>380</v>
      </c>
      <c r="D238" s="438">
        <v>1.2</v>
      </c>
      <c r="E238" s="414">
        <v>0.02</v>
      </c>
      <c r="F238" s="451">
        <f t="shared" si="19"/>
        <v>2.4E-2</v>
      </c>
    </row>
    <row r="239" spans="1:6" s="416" customFormat="1">
      <c r="A239" s="411"/>
      <c r="B239" s="224" t="s">
        <v>464</v>
      </c>
      <c r="C239" s="412" t="s">
        <v>380</v>
      </c>
      <c r="D239" s="438">
        <v>1.87</v>
      </c>
      <c r="E239" s="414">
        <v>0.05</v>
      </c>
      <c r="F239" s="451">
        <f t="shared" si="19"/>
        <v>9.3500000000000014E-2</v>
      </c>
    </row>
    <row r="240" spans="1:6" s="416" customFormat="1">
      <c r="A240" s="411"/>
      <c r="B240" s="224" t="s">
        <v>677</v>
      </c>
      <c r="C240" s="412" t="s">
        <v>380</v>
      </c>
      <c r="D240" s="440">
        <v>1.54</v>
      </c>
      <c r="E240" s="414" t="s">
        <v>681</v>
      </c>
      <c r="F240" s="451">
        <f t="shared" si="19"/>
        <v>1.3860000000000001E-3</v>
      </c>
    </row>
    <row r="241" spans="1:6" s="416" customFormat="1">
      <c r="A241" s="411"/>
      <c r="B241" s="224" t="s">
        <v>464</v>
      </c>
      <c r="C241" s="412" t="s">
        <v>380</v>
      </c>
      <c r="D241" s="438">
        <v>1.87</v>
      </c>
      <c r="E241" s="414">
        <v>0.05</v>
      </c>
      <c r="F241" s="451">
        <f>E241*D241</f>
        <v>9.3500000000000014E-2</v>
      </c>
    </row>
    <row r="242" spans="1:6" s="410" customFormat="1">
      <c r="A242" s="411"/>
      <c r="B242" s="224" t="s">
        <v>634</v>
      </c>
      <c r="C242" s="412" t="s">
        <v>380</v>
      </c>
      <c r="D242" s="438">
        <v>0.96</v>
      </c>
      <c r="E242" s="414">
        <v>0.02</v>
      </c>
      <c r="F242" s="451">
        <f t="shared" si="19"/>
        <v>1.9199999999999998E-2</v>
      </c>
    </row>
    <row r="243" spans="1:6" s="410" customFormat="1">
      <c r="A243" s="411"/>
      <c r="B243" s="224" t="s">
        <v>685</v>
      </c>
      <c r="C243" s="412" t="s">
        <v>380</v>
      </c>
      <c r="D243" s="438">
        <v>0.63</v>
      </c>
      <c r="E243" s="414">
        <v>0.1</v>
      </c>
      <c r="F243" s="451">
        <f t="shared" si="19"/>
        <v>6.3E-2</v>
      </c>
    </row>
    <row r="244" spans="1:6" s="410" customFormat="1">
      <c r="A244" s="411"/>
      <c r="B244" s="224" t="s">
        <v>687</v>
      </c>
      <c r="C244" s="412" t="s">
        <v>380</v>
      </c>
      <c r="D244" s="440">
        <v>1.06</v>
      </c>
      <c r="E244" s="414">
        <v>0.15</v>
      </c>
      <c r="F244" s="451">
        <f t="shared" si="19"/>
        <v>0.159</v>
      </c>
    </row>
    <row r="245" spans="1:6" s="410" customFormat="1">
      <c r="A245" s="224"/>
      <c r="B245" s="224" t="s">
        <v>410</v>
      </c>
      <c r="C245" s="420" t="s">
        <v>380</v>
      </c>
      <c r="D245" s="421">
        <v>7.37</v>
      </c>
      <c r="E245" s="422">
        <v>2.385E-3</v>
      </c>
      <c r="F245" s="423">
        <f t="shared" si="19"/>
        <v>1.7577450000000001E-2</v>
      </c>
    </row>
    <row r="246" spans="1:6" s="410" customFormat="1">
      <c r="A246" s="424"/>
      <c r="B246" s="424" t="s">
        <v>382</v>
      </c>
      <c r="C246" s="420" t="s">
        <v>380</v>
      </c>
      <c r="D246" s="421">
        <v>0.96</v>
      </c>
      <c r="E246" s="422">
        <v>4.9290899999999997E-3</v>
      </c>
      <c r="F246" s="423">
        <f t="shared" si="19"/>
        <v>4.7319263999999993E-3</v>
      </c>
    </row>
    <row r="247" spans="1:6" s="416" customFormat="1">
      <c r="A247" s="425" t="s">
        <v>689</v>
      </c>
      <c r="B247" s="426"/>
      <c r="C247" s="427"/>
      <c r="D247" s="428"/>
      <c r="E247" s="429"/>
      <c r="F247" s="442">
        <f>SUM(F234:F246)</f>
        <v>0.50593737640000003</v>
      </c>
    </row>
    <row r="248" spans="1:6" s="416" customFormat="1">
      <c r="A248" s="458"/>
      <c r="B248" s="459"/>
      <c r="C248" s="460"/>
      <c r="D248" s="460"/>
      <c r="E248" s="461"/>
      <c r="F248" s="460"/>
    </row>
    <row r="249" spans="1:6" s="416" customFormat="1">
      <c r="A249" s="406" t="s">
        <v>690</v>
      </c>
      <c r="B249" s="406"/>
      <c r="C249" s="407" t="s">
        <v>376</v>
      </c>
      <c r="D249" s="407" t="s">
        <v>91</v>
      </c>
      <c r="E249" s="408" t="s">
        <v>92</v>
      </c>
      <c r="F249" s="409" t="s">
        <v>93</v>
      </c>
    </row>
    <row r="250" spans="1:6" s="416" customFormat="1">
      <c r="A250" s="411"/>
      <c r="B250" s="224" t="s">
        <v>524</v>
      </c>
      <c r="C250" s="412" t="s">
        <v>380</v>
      </c>
      <c r="D250" s="440">
        <v>4.33</v>
      </c>
      <c r="E250" s="414" t="s">
        <v>389</v>
      </c>
      <c r="F250" s="439">
        <f t="shared" ref="F250:F256" si="20">E250*D250</f>
        <v>4.3300000000000005E-3</v>
      </c>
    </row>
    <row r="251" spans="1:6" s="416" customFormat="1">
      <c r="A251" s="411"/>
      <c r="B251" s="224" t="s">
        <v>693</v>
      </c>
      <c r="C251" s="412" t="s">
        <v>380</v>
      </c>
      <c r="D251" s="440">
        <v>4.8600000000000003</v>
      </c>
      <c r="E251" s="414" t="s">
        <v>389</v>
      </c>
      <c r="F251" s="439">
        <f t="shared" si="20"/>
        <v>4.8600000000000006E-3</v>
      </c>
    </row>
    <row r="252" spans="1:6" s="416" customFormat="1">
      <c r="A252" s="411"/>
      <c r="B252" s="224" t="s">
        <v>388</v>
      </c>
      <c r="C252" s="412" t="s">
        <v>380</v>
      </c>
      <c r="D252" s="440">
        <v>2.63</v>
      </c>
      <c r="E252" s="414" t="s">
        <v>430</v>
      </c>
      <c r="F252" s="439">
        <f t="shared" si="20"/>
        <v>5.2599999999999999E-3</v>
      </c>
    </row>
    <row r="253" spans="1:6" s="416" customFormat="1">
      <c r="A253" s="411"/>
      <c r="B253" s="224" t="s">
        <v>694</v>
      </c>
      <c r="C253" s="412" t="s">
        <v>380</v>
      </c>
      <c r="D253" s="438">
        <v>2.11</v>
      </c>
      <c r="E253" s="414">
        <v>0.11</v>
      </c>
      <c r="F253" s="439">
        <f t="shared" si="20"/>
        <v>0.2321</v>
      </c>
    </row>
    <row r="254" spans="1:6" s="416" customFormat="1">
      <c r="A254" s="411"/>
      <c r="B254" s="224" t="s">
        <v>382</v>
      </c>
      <c r="C254" s="412" t="s">
        <v>380</v>
      </c>
      <c r="D254" s="438">
        <v>0.96</v>
      </c>
      <c r="E254" s="414">
        <v>5.0000000000000001E-3</v>
      </c>
      <c r="F254" s="439">
        <f t="shared" si="20"/>
        <v>4.7999999999999996E-3</v>
      </c>
    </row>
    <row r="255" spans="1:6" s="410" customFormat="1">
      <c r="A255" s="224"/>
      <c r="B255" s="224" t="s">
        <v>410</v>
      </c>
      <c r="C255" s="420" t="s">
        <v>380</v>
      </c>
      <c r="D255" s="421">
        <v>7.37</v>
      </c>
      <c r="E255" s="422">
        <v>2.385E-3</v>
      </c>
      <c r="F255" s="423">
        <f t="shared" si="20"/>
        <v>1.7577450000000001E-2</v>
      </c>
    </row>
    <row r="256" spans="1:6" s="410" customFormat="1">
      <c r="A256" s="424"/>
      <c r="B256" s="424" t="s">
        <v>382</v>
      </c>
      <c r="C256" s="420" t="s">
        <v>380</v>
      </c>
      <c r="D256" s="421">
        <v>0.96</v>
      </c>
      <c r="E256" s="422">
        <v>4.9290899999999997E-3</v>
      </c>
      <c r="F256" s="423">
        <f t="shared" si="20"/>
        <v>4.7319263999999993E-3</v>
      </c>
    </row>
    <row r="257" spans="1:6" s="410" customFormat="1">
      <c r="A257" s="425" t="s">
        <v>700</v>
      </c>
      <c r="B257" s="426"/>
      <c r="C257" s="427"/>
      <c r="D257" s="428"/>
      <c r="E257" s="429"/>
      <c r="F257" s="442">
        <f>SUM(F250:F256)</f>
        <v>0.27365937639999999</v>
      </c>
    </row>
    <row r="258" spans="1:6" s="410" customFormat="1">
      <c r="A258" s="458"/>
      <c r="B258" s="459"/>
      <c r="C258" s="460"/>
      <c r="D258" s="460"/>
      <c r="E258" s="461"/>
      <c r="F258" s="460"/>
    </row>
    <row r="259" spans="1:6" s="416" customFormat="1">
      <c r="A259" s="406" t="s">
        <v>701</v>
      </c>
      <c r="B259" s="406"/>
      <c r="C259" s="407" t="s">
        <v>376</v>
      </c>
      <c r="D259" s="407" t="s">
        <v>91</v>
      </c>
      <c r="E259" s="408" t="s">
        <v>92</v>
      </c>
      <c r="F259" s="409" t="s">
        <v>93</v>
      </c>
    </row>
    <row r="260" spans="1:6" s="416" customFormat="1">
      <c r="A260" s="411"/>
      <c r="B260" s="224" t="s">
        <v>388</v>
      </c>
      <c r="C260" s="412" t="s">
        <v>380</v>
      </c>
      <c r="D260" s="440">
        <v>2.63</v>
      </c>
      <c r="E260" s="414" t="s">
        <v>430</v>
      </c>
      <c r="F260" s="439">
        <f t="shared" ref="F260:F268" si="21">E260*D260</f>
        <v>5.2599999999999999E-3</v>
      </c>
    </row>
    <row r="261" spans="1:6" s="416" customFormat="1">
      <c r="A261" s="411"/>
      <c r="B261" s="224" t="s">
        <v>382</v>
      </c>
      <c r="C261" s="412" t="s">
        <v>380</v>
      </c>
      <c r="D261" s="438">
        <v>0.96</v>
      </c>
      <c r="E261" s="414">
        <v>5.0000000000000001E-3</v>
      </c>
      <c r="F261" s="439">
        <f t="shared" si="21"/>
        <v>4.7999999999999996E-3</v>
      </c>
    </row>
    <row r="262" spans="1:6" s="416" customFormat="1">
      <c r="A262" s="411"/>
      <c r="B262" s="224" t="s">
        <v>503</v>
      </c>
      <c r="C262" s="412" t="s">
        <v>380</v>
      </c>
      <c r="D262" s="438">
        <v>1.87</v>
      </c>
      <c r="E262" s="414">
        <v>5.0000000000000001E-3</v>
      </c>
      <c r="F262" s="439">
        <f t="shared" si="21"/>
        <v>9.3500000000000007E-3</v>
      </c>
    </row>
    <row r="263" spans="1:6" s="416" customFormat="1">
      <c r="A263" s="411"/>
      <c r="B263" s="224" t="s">
        <v>410</v>
      </c>
      <c r="C263" s="412" t="s">
        <v>380</v>
      </c>
      <c r="D263" s="438">
        <v>7.37</v>
      </c>
      <c r="E263" s="414" t="s">
        <v>389</v>
      </c>
      <c r="F263" s="439">
        <f t="shared" si="21"/>
        <v>7.3700000000000007E-3</v>
      </c>
    </row>
    <row r="264" spans="1:6" s="416" customFormat="1">
      <c r="A264" s="411"/>
      <c r="B264" s="224" t="s">
        <v>435</v>
      </c>
      <c r="C264" s="412" t="s">
        <v>380</v>
      </c>
      <c r="D264" s="440">
        <v>0.88</v>
      </c>
      <c r="E264" s="414">
        <v>2.8000000000000001E-2</v>
      </c>
      <c r="F264" s="439">
        <f t="shared" si="21"/>
        <v>2.4640000000000002E-2</v>
      </c>
    </row>
    <row r="265" spans="1:6" s="416" customFormat="1" ht="17.25" customHeight="1">
      <c r="A265" s="411"/>
      <c r="B265" s="224" t="s">
        <v>469</v>
      </c>
      <c r="C265" s="412" t="s">
        <v>380</v>
      </c>
      <c r="D265" s="438">
        <v>0.81</v>
      </c>
      <c r="E265" s="414" t="s">
        <v>706</v>
      </c>
      <c r="F265" s="439">
        <f t="shared" si="21"/>
        <v>6.480000000000001E-2</v>
      </c>
    </row>
    <row r="266" spans="1:6" s="416" customFormat="1">
      <c r="A266" s="411"/>
      <c r="B266" s="224" t="s">
        <v>609</v>
      </c>
      <c r="C266" s="412" t="s">
        <v>380</v>
      </c>
      <c r="D266" s="438">
        <v>0.78</v>
      </c>
      <c r="E266" s="414" t="s">
        <v>610</v>
      </c>
      <c r="F266" s="439">
        <f t="shared" si="21"/>
        <v>0.18720000000000001</v>
      </c>
    </row>
    <row r="267" spans="1:6" s="416" customFormat="1">
      <c r="A267" s="224"/>
      <c r="B267" s="224" t="s">
        <v>410</v>
      </c>
      <c r="C267" s="420" t="s">
        <v>380</v>
      </c>
      <c r="D267" s="421">
        <v>7.37</v>
      </c>
      <c r="E267" s="422">
        <v>2.385E-3</v>
      </c>
      <c r="F267" s="423">
        <f t="shared" si="21"/>
        <v>1.7577450000000001E-2</v>
      </c>
    </row>
    <row r="268" spans="1:6" s="416" customFormat="1">
      <c r="A268" s="424"/>
      <c r="B268" s="424" t="s">
        <v>382</v>
      </c>
      <c r="C268" s="420" t="s">
        <v>380</v>
      </c>
      <c r="D268" s="421">
        <v>0.96</v>
      </c>
      <c r="E268" s="422">
        <v>4.9290899999999997E-3</v>
      </c>
      <c r="F268" s="423">
        <f t="shared" si="21"/>
        <v>4.7319263999999993E-3</v>
      </c>
    </row>
    <row r="269" spans="1:6" s="410" customFormat="1">
      <c r="A269" s="425" t="s">
        <v>707</v>
      </c>
      <c r="B269" s="426"/>
      <c r="C269" s="427"/>
      <c r="D269" s="428"/>
      <c r="E269" s="429"/>
      <c r="F269" s="442">
        <f>SUM(F260:F268)</f>
        <v>0.32572937639999999</v>
      </c>
    </row>
    <row r="270" spans="1:6" s="410" customFormat="1">
      <c r="A270" s="458"/>
      <c r="B270" s="459"/>
      <c r="C270" s="460"/>
      <c r="D270" s="460"/>
      <c r="E270" s="462"/>
      <c r="F270" s="460"/>
    </row>
    <row r="271" spans="1:6" s="410" customFormat="1">
      <c r="A271" s="406" t="s">
        <v>708</v>
      </c>
      <c r="B271" s="406"/>
      <c r="C271" s="407" t="s">
        <v>376</v>
      </c>
      <c r="D271" s="407" t="s">
        <v>91</v>
      </c>
      <c r="E271" s="408" t="s">
        <v>92</v>
      </c>
      <c r="F271" s="409" t="s">
        <v>93</v>
      </c>
    </row>
    <row r="272" spans="1:6" s="410" customFormat="1">
      <c r="A272" s="411"/>
      <c r="B272" s="224" t="s">
        <v>710</v>
      </c>
      <c r="C272" s="412" t="s">
        <v>380</v>
      </c>
      <c r="D272" s="440">
        <v>3.29</v>
      </c>
      <c r="E272" s="414" t="s">
        <v>389</v>
      </c>
      <c r="F272" s="451">
        <f t="shared" ref="F272:F280" si="22">E272*D272</f>
        <v>3.29E-3</v>
      </c>
    </row>
    <row r="273" spans="1:6" s="410" customFormat="1">
      <c r="A273" s="411"/>
      <c r="B273" s="224" t="s">
        <v>524</v>
      </c>
      <c r="C273" s="412" t="s">
        <v>380</v>
      </c>
      <c r="D273" s="440">
        <v>4.33</v>
      </c>
      <c r="E273" s="414" t="s">
        <v>711</v>
      </c>
      <c r="F273" s="451">
        <f t="shared" si="22"/>
        <v>3.0309999999999998E-3</v>
      </c>
    </row>
    <row r="274" spans="1:6" s="410" customFormat="1">
      <c r="A274" s="411"/>
      <c r="B274" s="224" t="s">
        <v>712</v>
      </c>
      <c r="C274" s="412" t="s">
        <v>380</v>
      </c>
      <c r="D274" s="440">
        <v>1.67</v>
      </c>
      <c r="E274" s="414" t="s">
        <v>389</v>
      </c>
      <c r="F274" s="451">
        <f t="shared" si="22"/>
        <v>1.67E-3</v>
      </c>
    </row>
    <row r="275" spans="1:6" s="416" customFormat="1">
      <c r="A275" s="411"/>
      <c r="B275" s="224" t="s">
        <v>410</v>
      </c>
      <c r="C275" s="412" t="s">
        <v>380</v>
      </c>
      <c r="D275" s="438">
        <v>7.37</v>
      </c>
      <c r="E275" s="414" t="s">
        <v>389</v>
      </c>
      <c r="F275" s="451">
        <f t="shared" si="22"/>
        <v>7.3700000000000007E-3</v>
      </c>
    </row>
    <row r="276" spans="1:6" s="416" customFormat="1">
      <c r="A276" s="411"/>
      <c r="B276" s="224" t="s">
        <v>714</v>
      </c>
      <c r="C276" s="412" t="s">
        <v>380</v>
      </c>
      <c r="D276" s="440">
        <v>6.18</v>
      </c>
      <c r="E276" s="414">
        <v>0.19</v>
      </c>
      <c r="F276" s="451">
        <f t="shared" si="22"/>
        <v>1.1741999999999999</v>
      </c>
    </row>
    <row r="277" spans="1:6" s="416" customFormat="1">
      <c r="A277" s="411"/>
      <c r="B277" s="224" t="s">
        <v>382</v>
      </c>
      <c r="C277" s="412" t="s">
        <v>380</v>
      </c>
      <c r="D277" s="438">
        <v>0.96</v>
      </c>
      <c r="E277" s="414" t="s">
        <v>473</v>
      </c>
      <c r="F277" s="451">
        <f t="shared" si="22"/>
        <v>2.4E-2</v>
      </c>
    </row>
    <row r="278" spans="1:6" s="416" customFormat="1">
      <c r="A278" s="411"/>
      <c r="B278" s="224" t="s">
        <v>403</v>
      </c>
      <c r="C278" s="412" t="s">
        <v>380</v>
      </c>
      <c r="D278" s="438">
        <v>1.25</v>
      </c>
      <c r="E278" s="414" t="s">
        <v>716</v>
      </c>
      <c r="F278" s="451">
        <f t="shared" si="22"/>
        <v>4.3750000000000004E-2</v>
      </c>
    </row>
    <row r="279" spans="1:6" s="416" customFormat="1">
      <c r="A279" s="224"/>
      <c r="B279" s="224" t="s">
        <v>410</v>
      </c>
      <c r="C279" s="420" t="s">
        <v>380</v>
      </c>
      <c r="D279" s="421">
        <v>7.37</v>
      </c>
      <c r="E279" s="422">
        <v>2.385E-3</v>
      </c>
      <c r="F279" s="423">
        <f t="shared" si="22"/>
        <v>1.7577450000000001E-2</v>
      </c>
    </row>
    <row r="280" spans="1:6" s="416" customFormat="1">
      <c r="A280" s="424"/>
      <c r="B280" s="424" t="s">
        <v>463</v>
      </c>
      <c r="C280" s="420" t="s">
        <v>380</v>
      </c>
      <c r="D280" s="421">
        <v>0.96</v>
      </c>
      <c r="E280" s="422">
        <v>4.9290899999999997E-3</v>
      </c>
      <c r="F280" s="423">
        <f t="shared" si="22"/>
        <v>4.7319263999999993E-3</v>
      </c>
    </row>
    <row r="281" spans="1:6" s="416" customFormat="1">
      <c r="A281" s="425" t="s">
        <v>720</v>
      </c>
      <c r="B281" s="426"/>
      <c r="C281" s="427"/>
      <c r="D281" s="428"/>
      <c r="E281" s="429"/>
      <c r="F281" s="442">
        <f>SUM(F272:F280)</f>
        <v>1.2796203764</v>
      </c>
    </row>
    <row r="282" spans="1:6" s="416" customFormat="1">
      <c r="C282" s="435"/>
      <c r="D282" s="435"/>
      <c r="E282" s="436"/>
      <c r="F282" s="435"/>
    </row>
    <row r="283" spans="1:6" s="416" customFormat="1">
      <c r="A283" s="406" t="s">
        <v>721</v>
      </c>
      <c r="B283" s="406"/>
      <c r="C283" s="407" t="s">
        <v>376</v>
      </c>
      <c r="D283" s="407" t="s">
        <v>91</v>
      </c>
      <c r="E283" s="408" t="s">
        <v>92</v>
      </c>
      <c r="F283" s="409" t="s">
        <v>93</v>
      </c>
    </row>
    <row r="284" spans="1:6" s="410" customFormat="1">
      <c r="A284" s="411"/>
      <c r="B284" s="224" t="s">
        <v>724</v>
      </c>
      <c r="C284" s="412" t="s">
        <v>380</v>
      </c>
      <c r="D284" s="440">
        <v>2.63</v>
      </c>
      <c r="E284" s="414" t="s">
        <v>389</v>
      </c>
      <c r="F284" s="457">
        <f t="shared" ref="F284:F290" si="23">E284*D284</f>
        <v>2.63E-3</v>
      </c>
    </row>
    <row r="285" spans="1:6" s="410" customFormat="1">
      <c r="A285" s="411"/>
      <c r="B285" s="224" t="s">
        <v>634</v>
      </c>
      <c r="C285" s="412" t="s">
        <v>380</v>
      </c>
      <c r="D285" s="438">
        <v>0.96</v>
      </c>
      <c r="E285" s="414" t="s">
        <v>385</v>
      </c>
      <c r="F285" s="457">
        <f t="shared" si="23"/>
        <v>4.7999999999999996E-3</v>
      </c>
    </row>
    <row r="286" spans="1:6" s="410" customFormat="1">
      <c r="A286" s="411"/>
      <c r="B286" s="224" t="s">
        <v>678</v>
      </c>
      <c r="C286" s="412" t="s">
        <v>380</v>
      </c>
      <c r="D286" s="438">
        <v>0.77</v>
      </c>
      <c r="E286" s="414">
        <v>0.13</v>
      </c>
      <c r="F286" s="457">
        <f t="shared" si="23"/>
        <v>0.10010000000000001</v>
      </c>
    </row>
    <row r="287" spans="1:6" s="410" customFormat="1">
      <c r="A287" s="411"/>
      <c r="B287" s="224" t="s">
        <v>382</v>
      </c>
      <c r="C287" s="412" t="s">
        <v>380</v>
      </c>
      <c r="D287" s="438">
        <v>0.96</v>
      </c>
      <c r="E287" s="414">
        <v>5.0000000000000001E-3</v>
      </c>
      <c r="F287" s="439">
        <f>E287*D287</f>
        <v>4.7999999999999996E-3</v>
      </c>
    </row>
    <row r="288" spans="1:6" s="441" customFormat="1">
      <c r="A288" s="411"/>
      <c r="B288" s="224" t="s">
        <v>476</v>
      </c>
      <c r="C288" s="412" t="s">
        <v>380</v>
      </c>
      <c r="D288" s="440">
        <v>3.97</v>
      </c>
      <c r="E288" s="414">
        <v>0.15</v>
      </c>
      <c r="F288" s="457">
        <f t="shared" si="23"/>
        <v>0.59550000000000003</v>
      </c>
    </row>
    <row r="289" spans="1:6" s="416" customFormat="1">
      <c r="A289" s="224"/>
      <c r="B289" s="224" t="s">
        <v>410</v>
      </c>
      <c r="C289" s="420" t="s">
        <v>380</v>
      </c>
      <c r="D289" s="421">
        <v>7.37</v>
      </c>
      <c r="E289" s="422">
        <v>2.385E-3</v>
      </c>
      <c r="F289" s="423">
        <f t="shared" si="23"/>
        <v>1.7577450000000001E-2</v>
      </c>
    </row>
    <row r="290" spans="1:6" s="416" customFormat="1">
      <c r="A290" s="424"/>
      <c r="B290" s="424" t="s">
        <v>382</v>
      </c>
      <c r="C290" s="420" t="s">
        <v>380</v>
      </c>
      <c r="D290" s="421">
        <v>0.96</v>
      </c>
      <c r="E290" s="422">
        <v>4.9290899999999997E-3</v>
      </c>
      <c r="F290" s="423">
        <f t="shared" si="23"/>
        <v>4.7319263999999993E-3</v>
      </c>
    </row>
    <row r="291" spans="1:6" s="416" customFormat="1">
      <c r="A291" s="425" t="s">
        <v>727</v>
      </c>
      <c r="B291" s="426"/>
      <c r="C291" s="427"/>
      <c r="D291" s="428"/>
      <c r="E291" s="429"/>
      <c r="F291" s="430">
        <f>SUM(F284:F290)</f>
        <v>0.73013937640000004</v>
      </c>
    </row>
    <row r="292" spans="1:6" s="416" customFormat="1" ht="18" customHeight="1">
      <c r="C292" s="435"/>
      <c r="D292" s="435"/>
      <c r="E292" s="455"/>
      <c r="F292" s="453"/>
    </row>
    <row r="293" spans="1:6" s="416" customFormat="1">
      <c r="A293" s="406" t="s">
        <v>728</v>
      </c>
      <c r="B293" s="406"/>
      <c r="C293" s="407" t="s">
        <v>376</v>
      </c>
      <c r="D293" s="407" t="s">
        <v>91</v>
      </c>
      <c r="E293" s="408" t="s">
        <v>92</v>
      </c>
      <c r="F293" s="409" t="s">
        <v>93</v>
      </c>
    </row>
    <row r="294" spans="1:6" s="416" customFormat="1">
      <c r="A294" s="411"/>
      <c r="B294" s="224" t="s">
        <v>382</v>
      </c>
      <c r="C294" s="412" t="s">
        <v>380</v>
      </c>
      <c r="D294" s="438">
        <v>0.96</v>
      </c>
      <c r="E294" s="414" t="s">
        <v>393</v>
      </c>
      <c r="F294" s="457">
        <f t="shared" ref="F294:F297" si="24">E294*D294</f>
        <v>1.9199999999999998E-2</v>
      </c>
    </row>
    <row r="295" spans="1:6" s="416" customFormat="1">
      <c r="A295" s="411"/>
      <c r="B295" s="224" t="s">
        <v>730</v>
      </c>
      <c r="C295" s="412" t="s">
        <v>380</v>
      </c>
      <c r="D295" s="438">
        <v>1.2</v>
      </c>
      <c r="E295" s="414">
        <v>0.02</v>
      </c>
      <c r="F295" s="457">
        <f t="shared" si="24"/>
        <v>2.4E-2</v>
      </c>
    </row>
    <row r="296" spans="1:6" s="410" customFormat="1">
      <c r="A296" s="411"/>
      <c r="B296" s="224" t="s">
        <v>435</v>
      </c>
      <c r="C296" s="412" t="s">
        <v>380</v>
      </c>
      <c r="D296" s="440">
        <v>0.88</v>
      </c>
      <c r="E296" s="414">
        <v>2.8000000000000001E-2</v>
      </c>
      <c r="F296" s="457">
        <f t="shared" si="24"/>
        <v>2.4640000000000002E-2</v>
      </c>
    </row>
    <row r="297" spans="1:6" s="410" customFormat="1">
      <c r="A297" s="411"/>
      <c r="B297" s="224" t="s">
        <v>403</v>
      </c>
      <c r="C297" s="412" t="s">
        <v>380</v>
      </c>
      <c r="D297" s="438">
        <v>1.25</v>
      </c>
      <c r="E297" s="414">
        <v>7.0000000000000007E-2</v>
      </c>
      <c r="F297" s="457">
        <f t="shared" si="24"/>
        <v>8.7500000000000008E-2</v>
      </c>
    </row>
    <row r="298" spans="1:6" s="410" customFormat="1">
      <c r="A298" s="411"/>
      <c r="B298" s="224" t="s">
        <v>511</v>
      </c>
      <c r="C298" s="412" t="s">
        <v>380</v>
      </c>
      <c r="D298" s="440">
        <v>0.66</v>
      </c>
      <c r="E298" s="414">
        <v>0.15</v>
      </c>
      <c r="F298" s="451">
        <f>E298*D298</f>
        <v>9.9000000000000005E-2</v>
      </c>
    </row>
    <row r="299" spans="1:6" s="410" customFormat="1">
      <c r="A299" s="224"/>
      <c r="B299" s="224" t="s">
        <v>410</v>
      </c>
      <c r="C299" s="420" t="s">
        <v>380</v>
      </c>
      <c r="D299" s="421">
        <v>7.37</v>
      </c>
      <c r="E299" s="422">
        <v>2.385E-3</v>
      </c>
      <c r="F299" s="423">
        <f t="shared" ref="F299:F300" si="25">E299*D299</f>
        <v>1.7577450000000001E-2</v>
      </c>
    </row>
    <row r="300" spans="1:6" s="410" customFormat="1">
      <c r="A300" s="424"/>
      <c r="B300" s="424" t="s">
        <v>382</v>
      </c>
      <c r="C300" s="420" t="s">
        <v>380</v>
      </c>
      <c r="D300" s="421">
        <v>0.96</v>
      </c>
      <c r="E300" s="422">
        <v>4.9290899999999997E-3</v>
      </c>
      <c r="F300" s="423">
        <f t="shared" si="25"/>
        <v>4.7319263999999993E-3</v>
      </c>
    </row>
    <row r="301" spans="1:6" s="416" customFormat="1">
      <c r="A301" s="425" t="s">
        <v>735</v>
      </c>
      <c r="B301" s="426"/>
      <c r="C301" s="427"/>
      <c r="D301" s="428"/>
      <c r="E301" s="429"/>
      <c r="F301" s="430">
        <f>SUM(F294:F300)</f>
        <v>0.27664937639999998</v>
      </c>
    </row>
    <row r="302" spans="1:6" s="416" customFormat="1">
      <c r="A302" s="458"/>
      <c r="B302" s="459"/>
      <c r="C302" s="460"/>
      <c r="D302" s="460"/>
      <c r="E302" s="461"/>
      <c r="F302" s="460"/>
    </row>
    <row r="303" spans="1:6" s="416" customFormat="1">
      <c r="A303" s="406" t="s">
        <v>736</v>
      </c>
      <c r="B303" s="406"/>
      <c r="C303" s="407" t="s">
        <v>376</v>
      </c>
      <c r="D303" s="407" t="s">
        <v>91</v>
      </c>
      <c r="E303" s="408" t="s">
        <v>92</v>
      </c>
      <c r="F303" s="409" t="s">
        <v>93</v>
      </c>
    </row>
    <row r="304" spans="1:6" s="416" customFormat="1">
      <c r="A304" s="411"/>
      <c r="B304" s="224" t="s">
        <v>382</v>
      </c>
      <c r="C304" s="412" t="s">
        <v>380</v>
      </c>
      <c r="D304" s="438">
        <v>0.96</v>
      </c>
      <c r="E304" s="414">
        <v>5.0000000000000001E-3</v>
      </c>
      <c r="F304" s="415">
        <f t="shared" ref="F304:F313" si="26">E304*D304</f>
        <v>4.7999999999999996E-3</v>
      </c>
    </row>
    <row r="305" spans="1:6" s="416" customFormat="1">
      <c r="A305" s="411"/>
      <c r="B305" s="224" t="s">
        <v>503</v>
      </c>
      <c r="C305" s="412" t="s">
        <v>380</v>
      </c>
      <c r="D305" s="438">
        <v>1.87</v>
      </c>
      <c r="E305" s="414">
        <v>5.0000000000000001E-3</v>
      </c>
      <c r="F305" s="415">
        <f t="shared" si="26"/>
        <v>9.3500000000000007E-3</v>
      </c>
    </row>
    <row r="306" spans="1:6" s="416" customFormat="1">
      <c r="A306" s="411"/>
      <c r="B306" s="437" t="s">
        <v>463</v>
      </c>
      <c r="C306" s="412" t="s">
        <v>380</v>
      </c>
      <c r="D306" s="438">
        <v>0.96</v>
      </c>
      <c r="E306" s="414" t="s">
        <v>385</v>
      </c>
      <c r="F306" s="439">
        <f>E306*D306</f>
        <v>4.7999999999999996E-3</v>
      </c>
    </row>
    <row r="307" spans="1:6" s="416" customFormat="1">
      <c r="A307" s="411"/>
      <c r="B307" s="224" t="s">
        <v>619</v>
      </c>
      <c r="C307" s="412" t="s">
        <v>380</v>
      </c>
      <c r="D307" s="438">
        <v>1.79</v>
      </c>
      <c r="E307" s="414">
        <v>0.06</v>
      </c>
      <c r="F307" s="415">
        <f t="shared" si="26"/>
        <v>0.1074</v>
      </c>
    </row>
    <row r="308" spans="1:6" s="410" customFormat="1">
      <c r="A308" s="411"/>
      <c r="B308" s="224" t="s">
        <v>382</v>
      </c>
      <c r="C308" s="412" t="s">
        <v>380</v>
      </c>
      <c r="D308" s="438">
        <v>0.96</v>
      </c>
      <c r="E308" s="414" t="s">
        <v>666</v>
      </c>
      <c r="F308" s="415">
        <f t="shared" si="26"/>
        <v>2.8799999999999999E-2</v>
      </c>
    </row>
    <row r="309" spans="1:6" s="410" customFormat="1">
      <c r="A309" s="411"/>
      <c r="B309" s="224" t="s">
        <v>739</v>
      </c>
      <c r="C309" s="412" t="s">
        <v>380</v>
      </c>
      <c r="D309" s="438">
        <v>1.39</v>
      </c>
      <c r="E309" s="414" t="s">
        <v>473</v>
      </c>
      <c r="F309" s="415">
        <f t="shared" si="26"/>
        <v>3.4749999999999996E-2</v>
      </c>
    </row>
    <row r="310" spans="1:6" s="410" customFormat="1">
      <c r="A310" s="411"/>
      <c r="B310" s="224" t="s">
        <v>570</v>
      </c>
      <c r="C310" s="412" t="s">
        <v>380</v>
      </c>
      <c r="D310" s="438">
        <v>1.25</v>
      </c>
      <c r="E310" s="414" t="s">
        <v>529</v>
      </c>
      <c r="F310" s="415">
        <f t="shared" si="26"/>
        <v>0.05</v>
      </c>
    </row>
    <row r="311" spans="1:6" s="410" customFormat="1">
      <c r="A311" s="411"/>
      <c r="B311" s="224" t="s">
        <v>741</v>
      </c>
      <c r="C311" s="412" t="s">
        <v>380</v>
      </c>
      <c r="D311" s="438">
        <v>1.21</v>
      </c>
      <c r="E311" s="414">
        <v>0.15</v>
      </c>
      <c r="F311" s="415">
        <f t="shared" si="26"/>
        <v>0.18149999999999999</v>
      </c>
    </row>
    <row r="312" spans="1:6" s="410" customFormat="1">
      <c r="A312" s="224"/>
      <c r="B312" s="224" t="s">
        <v>410</v>
      </c>
      <c r="C312" s="420" t="s">
        <v>380</v>
      </c>
      <c r="D312" s="421">
        <v>19.170000000000002</v>
      </c>
      <c r="E312" s="422">
        <v>2.385E-3</v>
      </c>
      <c r="F312" s="423">
        <f t="shared" si="26"/>
        <v>4.5720450000000003E-2</v>
      </c>
    </row>
    <row r="313" spans="1:6" s="410" customFormat="1">
      <c r="A313" s="424"/>
      <c r="B313" s="424" t="s">
        <v>382</v>
      </c>
      <c r="C313" s="420" t="s">
        <v>380</v>
      </c>
      <c r="D313" s="421">
        <v>0.96</v>
      </c>
      <c r="E313" s="422">
        <v>4.9290899999999997E-3</v>
      </c>
      <c r="F313" s="423">
        <f t="shared" si="26"/>
        <v>4.7319263999999993E-3</v>
      </c>
    </row>
    <row r="314" spans="1:6" s="416" customFormat="1">
      <c r="A314" s="425" t="s">
        <v>742</v>
      </c>
      <c r="B314" s="426"/>
      <c r="C314" s="427"/>
      <c r="D314" s="428"/>
      <c r="E314" s="429"/>
      <c r="F314" s="430">
        <f>SUM(F304:F313)</f>
        <v>0.4718523764</v>
      </c>
    </row>
    <row r="315" spans="1:6" s="416" customFormat="1">
      <c r="C315" s="435"/>
      <c r="D315" s="435"/>
      <c r="E315" s="436"/>
      <c r="F315" s="435"/>
    </row>
    <row r="316" spans="1:6" s="416" customFormat="1">
      <c r="A316" s="406" t="s">
        <v>743</v>
      </c>
      <c r="B316" s="406"/>
      <c r="C316" s="407" t="s">
        <v>376</v>
      </c>
      <c r="D316" s="407" t="s">
        <v>91</v>
      </c>
      <c r="E316" s="408" t="s">
        <v>92</v>
      </c>
      <c r="F316" s="409" t="s">
        <v>93</v>
      </c>
    </row>
    <row r="317" spans="1:6" s="416" customFormat="1">
      <c r="A317" s="411"/>
      <c r="B317" s="224" t="s">
        <v>634</v>
      </c>
      <c r="C317" s="412" t="s">
        <v>380</v>
      </c>
      <c r="D317" s="438">
        <v>0.96</v>
      </c>
      <c r="E317" s="414" t="s">
        <v>385</v>
      </c>
      <c r="F317" s="439">
        <f>E317*D317</f>
        <v>4.7999999999999996E-3</v>
      </c>
    </row>
    <row r="318" spans="1:6" s="416" customFormat="1">
      <c r="A318" s="411"/>
      <c r="B318" s="437" t="s">
        <v>382</v>
      </c>
      <c r="C318" s="412" t="s">
        <v>380</v>
      </c>
      <c r="D318" s="438">
        <v>0.96</v>
      </c>
      <c r="E318" s="414" t="s">
        <v>385</v>
      </c>
      <c r="F318" s="439">
        <f>E318*D318</f>
        <v>4.7999999999999996E-3</v>
      </c>
    </row>
    <row r="319" spans="1:6" s="416" customFormat="1">
      <c r="A319" s="411"/>
      <c r="B319" s="224" t="s">
        <v>410</v>
      </c>
      <c r="C319" s="412" t="s">
        <v>380</v>
      </c>
      <c r="D319" s="438">
        <v>7.37</v>
      </c>
      <c r="E319" s="414" t="s">
        <v>430</v>
      </c>
      <c r="F319" s="457">
        <f t="shared" ref="F319:F326" si="27">E319*D319</f>
        <v>1.4740000000000001E-2</v>
      </c>
    </row>
    <row r="320" spans="1:6" s="416" customFormat="1">
      <c r="A320" s="411"/>
      <c r="B320" s="224" t="s">
        <v>746</v>
      </c>
      <c r="C320" s="412" t="s">
        <v>380</v>
      </c>
      <c r="D320" s="440">
        <v>1.29</v>
      </c>
      <c r="E320" s="414" t="s">
        <v>389</v>
      </c>
      <c r="F320" s="457">
        <f t="shared" si="27"/>
        <v>1.2900000000000001E-3</v>
      </c>
    </row>
    <row r="321" spans="1:6" s="416" customFormat="1">
      <c r="A321" s="411"/>
      <c r="B321" s="224" t="s">
        <v>382</v>
      </c>
      <c r="C321" s="412" t="s">
        <v>380</v>
      </c>
      <c r="D321" s="438">
        <v>0.96</v>
      </c>
      <c r="E321" s="414">
        <v>5.0000000000000001E-3</v>
      </c>
      <c r="F321" s="457">
        <f t="shared" si="27"/>
        <v>4.7999999999999996E-3</v>
      </c>
    </row>
    <row r="322" spans="1:6" s="416" customFormat="1">
      <c r="A322" s="411"/>
      <c r="B322" s="224" t="s">
        <v>568</v>
      </c>
      <c r="C322" s="412" t="s">
        <v>380</v>
      </c>
      <c r="D322" s="438">
        <v>0.77</v>
      </c>
      <c r="E322" s="414">
        <v>0.06</v>
      </c>
      <c r="F322" s="457">
        <f t="shared" si="27"/>
        <v>4.6199999999999998E-2</v>
      </c>
    </row>
    <row r="323" spans="1:6" s="416" customFormat="1">
      <c r="A323" s="411"/>
      <c r="B323" s="224" t="s">
        <v>503</v>
      </c>
      <c r="C323" s="412" t="s">
        <v>380</v>
      </c>
      <c r="D323" s="438">
        <v>1.87</v>
      </c>
      <c r="E323" s="414" t="s">
        <v>393</v>
      </c>
      <c r="F323" s="457">
        <f t="shared" si="27"/>
        <v>3.7400000000000003E-2</v>
      </c>
    </row>
    <row r="324" spans="1:6" s="410" customFormat="1">
      <c r="A324" s="411"/>
      <c r="B324" s="224" t="s">
        <v>438</v>
      </c>
      <c r="C324" s="412" t="s">
        <v>380</v>
      </c>
      <c r="D324" s="438">
        <v>0.56000000000000005</v>
      </c>
      <c r="E324" s="414">
        <v>0.28000000000000003</v>
      </c>
      <c r="F324" s="457">
        <f t="shared" si="27"/>
        <v>0.15680000000000002</v>
      </c>
    </row>
    <row r="325" spans="1:6" s="410" customFormat="1">
      <c r="A325" s="224"/>
      <c r="B325" s="224" t="s">
        <v>410</v>
      </c>
      <c r="C325" s="420" t="s">
        <v>380</v>
      </c>
      <c r="D325" s="421">
        <v>7.37</v>
      </c>
      <c r="E325" s="422">
        <v>2.385E-3</v>
      </c>
      <c r="F325" s="423">
        <f t="shared" si="27"/>
        <v>1.7577450000000001E-2</v>
      </c>
    </row>
    <row r="326" spans="1:6" s="410" customFormat="1">
      <c r="A326" s="424"/>
      <c r="B326" s="424" t="s">
        <v>382</v>
      </c>
      <c r="C326" s="420" t="s">
        <v>380</v>
      </c>
      <c r="D326" s="421">
        <v>0.96</v>
      </c>
      <c r="E326" s="422">
        <v>4.9290899999999997E-3</v>
      </c>
      <c r="F326" s="423">
        <f t="shared" si="27"/>
        <v>4.7319263999999993E-3</v>
      </c>
    </row>
    <row r="327" spans="1:6" s="416" customFormat="1">
      <c r="A327" s="425" t="s">
        <v>748</v>
      </c>
      <c r="B327" s="426"/>
      <c r="C327" s="427"/>
      <c r="D327" s="428"/>
      <c r="E327" s="429"/>
      <c r="F327" s="430">
        <f>SUM(F317:F326)</f>
        <v>0.29313937639999998</v>
      </c>
    </row>
    <row r="328" spans="1:6" s="416" customFormat="1">
      <c r="B328" s="434"/>
      <c r="C328" s="453"/>
      <c r="D328" s="453"/>
      <c r="E328" s="455"/>
      <c r="F328" s="453"/>
    </row>
    <row r="329" spans="1:6" s="416" customFormat="1">
      <c r="A329" s="406" t="s">
        <v>749</v>
      </c>
      <c r="B329" s="406"/>
      <c r="C329" s="407" t="s">
        <v>376</v>
      </c>
      <c r="D329" s="407" t="s">
        <v>91</v>
      </c>
      <c r="E329" s="408" t="s">
        <v>92</v>
      </c>
      <c r="F329" s="409" t="s">
        <v>93</v>
      </c>
    </row>
    <row r="330" spans="1:6" s="416" customFormat="1">
      <c r="A330" s="411"/>
      <c r="B330" s="224" t="s">
        <v>677</v>
      </c>
      <c r="C330" s="412" t="s">
        <v>380</v>
      </c>
      <c r="D330" s="440">
        <v>1.54</v>
      </c>
      <c r="E330" s="414" t="s">
        <v>430</v>
      </c>
      <c r="F330" s="451">
        <f t="shared" ref="F330:F342" si="28">E330*D330</f>
        <v>3.0800000000000003E-3</v>
      </c>
    </row>
    <row r="331" spans="1:6" s="416" customFormat="1">
      <c r="A331" s="411"/>
      <c r="B331" s="224" t="s">
        <v>634</v>
      </c>
      <c r="C331" s="412" t="s">
        <v>380</v>
      </c>
      <c r="D331" s="438">
        <v>0.96</v>
      </c>
      <c r="E331" s="414">
        <v>4.9199999999999999E-3</v>
      </c>
      <c r="F331" s="451">
        <f t="shared" si="28"/>
        <v>4.7231999999999994E-3</v>
      </c>
    </row>
    <row r="332" spans="1:6" s="416" customFormat="1">
      <c r="A332" s="411"/>
      <c r="B332" s="224" t="s">
        <v>678</v>
      </c>
      <c r="C332" s="412" t="s">
        <v>380</v>
      </c>
      <c r="D332" s="438">
        <v>0.77</v>
      </c>
      <c r="E332" s="414" t="s">
        <v>393</v>
      </c>
      <c r="F332" s="451">
        <f t="shared" si="28"/>
        <v>1.54E-2</v>
      </c>
    </row>
    <row r="333" spans="1:6" s="416" customFormat="1">
      <c r="A333" s="411"/>
      <c r="B333" s="224" t="s">
        <v>679</v>
      </c>
      <c r="C333" s="412" t="s">
        <v>380</v>
      </c>
      <c r="D333" s="438">
        <v>1.39</v>
      </c>
      <c r="E333" s="414">
        <v>4.9199999999999999E-3</v>
      </c>
      <c r="F333" s="451">
        <f t="shared" si="28"/>
        <v>6.838799999999999E-3</v>
      </c>
    </row>
    <row r="334" spans="1:6" s="416" customFormat="1">
      <c r="A334" s="411"/>
      <c r="B334" s="224" t="s">
        <v>519</v>
      </c>
      <c r="C334" s="412" t="s">
        <v>380</v>
      </c>
      <c r="D334" s="438">
        <v>1.2</v>
      </c>
      <c r="E334" s="414">
        <v>0.02</v>
      </c>
      <c r="F334" s="451">
        <f t="shared" si="28"/>
        <v>2.4E-2</v>
      </c>
    </row>
    <row r="335" spans="1:6" s="416" customFormat="1">
      <c r="A335" s="411"/>
      <c r="B335" s="224" t="s">
        <v>464</v>
      </c>
      <c r="C335" s="412" t="s">
        <v>380</v>
      </c>
      <c r="D335" s="438">
        <v>1.87</v>
      </c>
      <c r="E335" s="414">
        <v>0.05</v>
      </c>
      <c r="F335" s="451">
        <f t="shared" si="28"/>
        <v>9.3500000000000014E-2</v>
      </c>
    </row>
    <row r="336" spans="1:6" s="416" customFormat="1">
      <c r="A336" s="411"/>
      <c r="B336" s="224" t="s">
        <v>553</v>
      </c>
      <c r="C336" s="412" t="s">
        <v>380</v>
      </c>
      <c r="D336" s="440">
        <v>1.54</v>
      </c>
      <c r="E336" s="414" t="s">
        <v>681</v>
      </c>
      <c r="F336" s="457">
        <f t="shared" si="28"/>
        <v>1.3860000000000001E-3</v>
      </c>
    </row>
    <row r="337" spans="1:6" s="416" customFormat="1">
      <c r="A337" s="411"/>
      <c r="B337" s="224" t="s">
        <v>495</v>
      </c>
      <c r="C337" s="412" t="s">
        <v>380</v>
      </c>
      <c r="D337" s="440">
        <v>0.88</v>
      </c>
      <c r="E337" s="414">
        <v>4.4999999999999998E-2</v>
      </c>
      <c r="F337" s="457">
        <f t="shared" si="28"/>
        <v>3.9599999999999996E-2</v>
      </c>
    </row>
    <row r="338" spans="1:6" s="416" customFormat="1">
      <c r="A338" s="411"/>
      <c r="B338" s="224" t="s">
        <v>561</v>
      </c>
      <c r="C338" s="412" t="s">
        <v>380</v>
      </c>
      <c r="D338" s="440">
        <v>0.88</v>
      </c>
      <c r="E338" s="414">
        <v>2.8000000000000001E-2</v>
      </c>
      <c r="F338" s="457">
        <f t="shared" si="28"/>
        <v>2.4640000000000002E-2</v>
      </c>
    </row>
    <row r="339" spans="1:6" s="416" customFormat="1">
      <c r="A339" s="411"/>
      <c r="B339" s="224" t="s">
        <v>402</v>
      </c>
      <c r="C339" s="412" t="s">
        <v>380</v>
      </c>
      <c r="D339" s="440">
        <v>0.83</v>
      </c>
      <c r="E339" s="414">
        <v>2.8E-3</v>
      </c>
      <c r="F339" s="457">
        <f t="shared" si="28"/>
        <v>2.3239999999999997E-3</v>
      </c>
    </row>
    <row r="340" spans="1:6" s="410" customFormat="1">
      <c r="A340" s="411"/>
      <c r="B340" s="224" t="s">
        <v>741</v>
      </c>
      <c r="C340" s="412" t="s">
        <v>380</v>
      </c>
      <c r="D340" s="438">
        <v>1.21</v>
      </c>
      <c r="E340" s="414">
        <v>0.15</v>
      </c>
      <c r="F340" s="457">
        <f t="shared" si="28"/>
        <v>0.18149999999999999</v>
      </c>
    </row>
    <row r="341" spans="1:6" s="410" customFormat="1">
      <c r="A341" s="224"/>
      <c r="B341" s="224" t="s">
        <v>410</v>
      </c>
      <c r="C341" s="420" t="s">
        <v>380</v>
      </c>
      <c r="D341" s="421">
        <v>7.37</v>
      </c>
      <c r="E341" s="422">
        <v>2.385E-3</v>
      </c>
      <c r="F341" s="423">
        <f t="shared" si="28"/>
        <v>1.7577450000000001E-2</v>
      </c>
    </row>
    <row r="342" spans="1:6" s="410" customFormat="1">
      <c r="A342" s="424"/>
      <c r="B342" s="424" t="s">
        <v>463</v>
      </c>
      <c r="C342" s="420" t="s">
        <v>380</v>
      </c>
      <c r="D342" s="421">
        <v>0.96</v>
      </c>
      <c r="E342" s="422">
        <v>4.9290899999999997E-3</v>
      </c>
      <c r="F342" s="423">
        <f t="shared" si="28"/>
        <v>4.7319263999999993E-3</v>
      </c>
    </row>
    <row r="343" spans="1:6" s="416" customFormat="1">
      <c r="A343" s="425" t="s">
        <v>755</v>
      </c>
      <c r="B343" s="426"/>
      <c r="C343" s="427"/>
      <c r="D343" s="428"/>
      <c r="E343" s="429"/>
      <c r="F343" s="430">
        <f>SUM(F330:F342)</f>
        <v>0.41930137639999998</v>
      </c>
    </row>
    <row r="344" spans="1:6" s="441" customFormat="1">
      <c r="A344" s="416"/>
      <c r="B344" s="434"/>
      <c r="C344" s="453"/>
      <c r="D344" s="453"/>
      <c r="E344" s="455"/>
      <c r="F344" s="435"/>
    </row>
    <row r="345" spans="1:6" s="416" customFormat="1">
      <c r="A345" s="406" t="s">
        <v>756</v>
      </c>
      <c r="B345" s="406"/>
      <c r="C345" s="407" t="s">
        <v>376</v>
      </c>
      <c r="D345" s="407" t="s">
        <v>91</v>
      </c>
      <c r="E345" s="408" t="s">
        <v>92</v>
      </c>
      <c r="F345" s="409" t="s">
        <v>93</v>
      </c>
    </row>
    <row r="346" spans="1:6" s="416" customFormat="1">
      <c r="A346" s="411"/>
      <c r="B346" s="224" t="s">
        <v>760</v>
      </c>
      <c r="C346" s="412" t="s">
        <v>380</v>
      </c>
      <c r="D346" s="438">
        <v>1.25</v>
      </c>
      <c r="E346" s="414">
        <v>0.13</v>
      </c>
      <c r="F346" s="457">
        <f t="shared" ref="F346:F353" si="29">E346*D346</f>
        <v>0.16250000000000001</v>
      </c>
    </row>
    <row r="347" spans="1:6" s="416" customFormat="1">
      <c r="A347" s="411"/>
      <c r="B347" s="224" t="s">
        <v>463</v>
      </c>
      <c r="C347" s="412" t="s">
        <v>380</v>
      </c>
      <c r="D347" s="438">
        <v>0.96</v>
      </c>
      <c r="E347" s="414">
        <v>4.9199999999999999E-3</v>
      </c>
      <c r="F347" s="457">
        <f t="shared" si="29"/>
        <v>4.7231999999999994E-3</v>
      </c>
    </row>
    <row r="348" spans="1:6" s="416" customFormat="1">
      <c r="A348" s="411"/>
      <c r="B348" s="224" t="s">
        <v>464</v>
      </c>
      <c r="C348" s="412" t="s">
        <v>380</v>
      </c>
      <c r="D348" s="438">
        <v>1.87</v>
      </c>
      <c r="E348" s="414">
        <v>4.9199999999999999E-3</v>
      </c>
      <c r="F348" s="457">
        <f t="shared" si="29"/>
        <v>9.2004000000000009E-3</v>
      </c>
    </row>
    <row r="349" spans="1:6" s="416" customFormat="1">
      <c r="A349" s="411"/>
      <c r="B349" s="224" t="s">
        <v>763</v>
      </c>
      <c r="C349" s="412" t="s">
        <v>380</v>
      </c>
      <c r="D349" s="438">
        <v>1.1599999999999999</v>
      </c>
      <c r="E349" s="414">
        <v>0.08</v>
      </c>
      <c r="F349" s="457">
        <f t="shared" si="29"/>
        <v>9.2799999999999994E-2</v>
      </c>
    </row>
    <row r="350" spans="1:6" s="416" customFormat="1">
      <c r="A350" s="411"/>
      <c r="B350" s="224" t="s">
        <v>764</v>
      </c>
      <c r="C350" s="412" t="s">
        <v>380</v>
      </c>
      <c r="D350" s="440">
        <v>3.24</v>
      </c>
      <c r="E350" s="414">
        <v>0.01</v>
      </c>
      <c r="F350" s="457">
        <f t="shared" si="29"/>
        <v>3.2400000000000005E-2</v>
      </c>
    </row>
    <row r="351" spans="1:6" s="410" customFormat="1">
      <c r="A351" s="411"/>
      <c r="B351" s="224" t="s">
        <v>406</v>
      </c>
      <c r="C351" s="412" t="s">
        <v>380</v>
      </c>
      <c r="D351" s="438">
        <v>1.17</v>
      </c>
      <c r="E351" s="414">
        <v>0.15</v>
      </c>
      <c r="F351" s="457">
        <f t="shared" si="29"/>
        <v>0.17549999999999999</v>
      </c>
    </row>
    <row r="352" spans="1:6" s="410" customFormat="1">
      <c r="A352" s="224"/>
      <c r="B352" s="224" t="s">
        <v>442</v>
      </c>
      <c r="C352" s="420" t="s">
        <v>380</v>
      </c>
      <c r="D352" s="421">
        <v>7.37</v>
      </c>
      <c r="E352" s="422">
        <v>2.385E-3</v>
      </c>
      <c r="F352" s="423">
        <f t="shared" si="29"/>
        <v>1.7577450000000001E-2</v>
      </c>
    </row>
    <row r="353" spans="1:6" s="410" customFormat="1">
      <c r="A353" s="424"/>
      <c r="B353" s="424" t="s">
        <v>382</v>
      </c>
      <c r="C353" s="420" t="s">
        <v>380</v>
      </c>
      <c r="D353" s="421">
        <v>0.96</v>
      </c>
      <c r="E353" s="422">
        <v>4.9290899999999997E-3</v>
      </c>
      <c r="F353" s="423">
        <f t="shared" si="29"/>
        <v>4.7319263999999993E-3</v>
      </c>
    </row>
    <row r="354" spans="1:6" s="416" customFormat="1">
      <c r="A354" s="425" t="s">
        <v>765</v>
      </c>
      <c r="B354" s="426"/>
      <c r="C354" s="427"/>
      <c r="D354" s="428"/>
      <c r="E354" s="429"/>
      <c r="F354" s="430">
        <f>SUM(F346:F353)</f>
        <v>0.49943297639999995</v>
      </c>
    </row>
    <row r="355" spans="1:6" s="441" customFormat="1">
      <c r="A355" s="416"/>
      <c r="B355" s="416"/>
      <c r="C355" s="435"/>
      <c r="D355" s="435"/>
      <c r="E355" s="436"/>
      <c r="F355" s="435"/>
    </row>
    <row r="356" spans="1:6" s="416" customFormat="1">
      <c r="A356" s="406" t="s">
        <v>766</v>
      </c>
      <c r="B356" s="406"/>
      <c r="C356" s="407" t="s">
        <v>376</v>
      </c>
      <c r="D356" s="407" t="s">
        <v>91</v>
      </c>
      <c r="E356" s="408" t="s">
        <v>92</v>
      </c>
      <c r="F356" s="409" t="s">
        <v>93</v>
      </c>
    </row>
    <row r="357" spans="1:6" s="416" customFormat="1">
      <c r="A357" s="411"/>
      <c r="B357" s="224" t="s">
        <v>388</v>
      </c>
      <c r="C357" s="412" t="s">
        <v>380</v>
      </c>
      <c r="D357" s="440">
        <v>2.63</v>
      </c>
      <c r="E357" s="414" t="s">
        <v>430</v>
      </c>
      <c r="F357" s="457">
        <f t="shared" ref="F357:F363" si="30">E357*D357</f>
        <v>5.2599999999999999E-3</v>
      </c>
    </row>
    <row r="358" spans="1:6" s="416" customFormat="1">
      <c r="A358" s="411"/>
      <c r="B358" s="224" t="s">
        <v>531</v>
      </c>
      <c r="C358" s="412" t="s">
        <v>380</v>
      </c>
      <c r="D358" s="438">
        <v>0.72</v>
      </c>
      <c r="E358" s="414">
        <v>0.17</v>
      </c>
      <c r="F358" s="457">
        <f t="shared" si="30"/>
        <v>0.12240000000000001</v>
      </c>
    </row>
    <row r="359" spans="1:6" s="416" customFormat="1">
      <c r="A359" s="411"/>
      <c r="B359" s="224" t="s">
        <v>435</v>
      </c>
      <c r="C359" s="412" t="s">
        <v>380</v>
      </c>
      <c r="D359" s="440">
        <v>0.88</v>
      </c>
      <c r="E359" s="414">
        <v>2.8000000000000001E-2</v>
      </c>
      <c r="F359" s="457">
        <f t="shared" si="30"/>
        <v>2.4640000000000002E-2</v>
      </c>
    </row>
    <row r="360" spans="1:6" s="416" customFormat="1">
      <c r="A360" s="411"/>
      <c r="B360" s="224" t="s">
        <v>769</v>
      </c>
      <c r="C360" s="412" t="s">
        <v>380</v>
      </c>
      <c r="D360" s="438">
        <v>0.81</v>
      </c>
      <c r="E360" s="414" t="s">
        <v>446</v>
      </c>
      <c r="F360" s="457">
        <f t="shared" si="30"/>
        <v>4.8600000000000004E-2</v>
      </c>
    </row>
    <row r="361" spans="1:6" s="416" customFormat="1">
      <c r="A361" s="411"/>
      <c r="B361" s="224" t="s">
        <v>686</v>
      </c>
      <c r="C361" s="412" t="s">
        <v>380</v>
      </c>
      <c r="D361" s="440">
        <v>1.06</v>
      </c>
      <c r="E361" s="414">
        <v>0.15</v>
      </c>
      <c r="F361" s="457">
        <f t="shared" si="30"/>
        <v>0.159</v>
      </c>
    </row>
    <row r="362" spans="1:6" s="410" customFormat="1">
      <c r="A362" s="224"/>
      <c r="B362" s="224" t="s">
        <v>442</v>
      </c>
      <c r="C362" s="420" t="s">
        <v>380</v>
      </c>
      <c r="D362" s="421">
        <v>7.37</v>
      </c>
      <c r="E362" s="422">
        <v>2.385E-3</v>
      </c>
      <c r="F362" s="423">
        <f t="shared" si="30"/>
        <v>1.7577450000000001E-2</v>
      </c>
    </row>
    <row r="363" spans="1:6" s="410" customFormat="1">
      <c r="A363" s="424"/>
      <c r="B363" s="424" t="s">
        <v>382</v>
      </c>
      <c r="C363" s="420" t="s">
        <v>380</v>
      </c>
      <c r="D363" s="421">
        <v>2.8</v>
      </c>
      <c r="E363" s="422">
        <v>4.9290899999999997E-3</v>
      </c>
      <c r="F363" s="423">
        <f t="shared" si="30"/>
        <v>1.3801451999999999E-2</v>
      </c>
    </row>
    <row r="364" spans="1:6" s="410" customFormat="1">
      <c r="A364" s="425" t="s">
        <v>771</v>
      </c>
      <c r="B364" s="426"/>
      <c r="C364" s="427"/>
      <c r="D364" s="428"/>
      <c r="E364" s="429"/>
      <c r="F364" s="430">
        <f>SUM(F357:F363)</f>
        <v>0.39127890199999998</v>
      </c>
    </row>
    <row r="366" spans="1:6" s="410" customFormat="1">
      <c r="A366" s="425" t="s">
        <v>879</v>
      </c>
      <c r="B366" s="426"/>
      <c r="C366" s="427"/>
      <c r="D366" s="428"/>
      <c r="E366" s="429"/>
      <c r="F366" s="442">
        <f>ROUND((F14+F25+F36+F50+F61+F73+F87+F97+F108+F120+F132+F144+F155+F170+F184+F193+F204+F217+F231++F247+F257+F269+F281+F291+F301+F314+F327+F343+F354+F364),2)</f>
        <v>14.75</v>
      </c>
    </row>
    <row r="367" spans="1:6">
      <c r="A367" s="425" t="s">
        <v>880</v>
      </c>
      <c r="B367" s="426"/>
      <c r="C367" s="427"/>
      <c r="D367" s="428"/>
      <c r="E367" s="429"/>
      <c r="F367" s="463">
        <v>0.3</v>
      </c>
    </row>
    <row r="368" spans="1:6">
      <c r="A368" s="425" t="s">
        <v>881</v>
      </c>
      <c r="B368" s="426"/>
      <c r="C368" s="427"/>
      <c r="D368" s="428"/>
      <c r="E368" s="429"/>
      <c r="F368" s="442">
        <f>ROUND((F366*F367)/30,2)</f>
        <v>0.15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M49"/>
  <sheetViews>
    <sheetView topLeftCell="A7" workbookViewId="0">
      <selection activeCell="J32" sqref="J32"/>
    </sheetView>
  </sheetViews>
  <sheetFormatPr defaultColWidth="8.85546875" defaultRowHeight="11.25"/>
  <cols>
    <col min="1" max="1" width="23.42578125" style="3" customWidth="1"/>
    <col min="2" max="2" width="13.28515625" style="3" customWidth="1"/>
    <col min="3" max="3" width="15.42578125" style="3" customWidth="1"/>
    <col min="4" max="4" width="17.85546875" style="16" customWidth="1"/>
    <col min="5" max="5" width="8.85546875" style="3"/>
    <col min="6" max="6" width="11.140625" style="3" bestFit="1" customWidth="1"/>
    <col min="7" max="16384" width="8.85546875" style="3"/>
  </cols>
  <sheetData>
    <row r="1" spans="1:13">
      <c r="A1" s="581" t="s">
        <v>132</v>
      </c>
      <c r="B1" s="581"/>
      <c r="C1" s="581"/>
      <c r="D1" s="581"/>
    </row>
    <row r="2" spans="1:13" ht="12.75" customHeight="1">
      <c r="A2" s="582"/>
      <c r="B2" s="582"/>
      <c r="C2" s="582"/>
      <c r="D2" s="582"/>
    </row>
    <row r="3" spans="1:13" ht="12.75" customHeight="1">
      <c r="A3" s="583" t="s">
        <v>133</v>
      </c>
      <c r="B3" s="583"/>
      <c r="C3" s="583"/>
      <c r="D3" s="18" t="s">
        <v>134</v>
      </c>
    </row>
    <row r="4" spans="1:13" ht="14.25" customHeight="1" thickTop="1" thickBot="1">
      <c r="A4" s="584" t="s">
        <v>135</v>
      </c>
      <c r="B4" s="584"/>
      <c r="C4" s="584"/>
      <c r="D4" s="19">
        <f>'Mat. Prima Alim e não Alim'!B1202</f>
        <v>258073.2</v>
      </c>
      <c r="E4" s="585" t="s">
        <v>136</v>
      </c>
      <c r="F4" s="585"/>
      <c r="G4" s="585"/>
      <c r="H4" s="585"/>
    </row>
    <row r="5" spans="1:13" ht="12.75" customHeight="1" thickTop="1" thickBot="1">
      <c r="A5" s="584" t="s">
        <v>39</v>
      </c>
      <c r="B5" s="584"/>
      <c r="C5" s="584"/>
      <c r="D5" s="20">
        <f>(C36+C37)*D4*-1</f>
        <v>-23871.771000000001</v>
      </c>
      <c r="E5" s="585"/>
      <c r="F5" s="585"/>
      <c r="G5" s="585"/>
      <c r="H5" s="585"/>
    </row>
    <row r="6" spans="1:13">
      <c r="A6" s="583" t="s">
        <v>137</v>
      </c>
      <c r="B6" s="583"/>
      <c r="C6" s="583"/>
      <c r="D6" s="21">
        <f>SUM(D4:D5)</f>
        <v>234201.429</v>
      </c>
      <c r="E6" s="585"/>
      <c r="F6" s="585"/>
      <c r="G6" s="585"/>
      <c r="H6" s="585"/>
    </row>
    <row r="7" spans="1:13" ht="12.75" customHeight="1">
      <c r="A7" s="585"/>
      <c r="B7" s="585"/>
      <c r="C7" s="585"/>
      <c r="D7" s="585"/>
    </row>
    <row r="8" spans="1:13" ht="12.75" customHeight="1">
      <c r="A8" s="583" t="s">
        <v>138</v>
      </c>
      <c r="B8" s="583"/>
      <c r="C8" s="583"/>
      <c r="D8" s="18" t="s">
        <v>134</v>
      </c>
    </row>
    <row r="9" spans="1:13" ht="28.5" customHeight="1">
      <c r="A9" s="586" t="s">
        <v>125</v>
      </c>
      <c r="B9" s="586"/>
      <c r="C9" s="586"/>
      <c r="D9" s="19">
        <f>'Mat. Prima Alim e não Alim'!G1140*'Mat. Prima Alim e não Alim'!G1198</f>
        <v>10995.6</v>
      </c>
      <c r="E9" s="585" t="s">
        <v>829</v>
      </c>
      <c r="F9" s="585"/>
      <c r="G9" s="585"/>
      <c r="H9" s="585"/>
    </row>
    <row r="10" spans="1:13" ht="22.5" customHeight="1">
      <c r="A10" s="586" t="s">
        <v>126</v>
      </c>
      <c r="B10" s="586" t="s">
        <v>139</v>
      </c>
      <c r="C10" s="586" t="s">
        <v>140</v>
      </c>
      <c r="D10" s="19">
        <f>'Mat. Prima Alim e não Alim'!G1141*'Mat. Prima Alim e não Alim'!G1198</f>
        <v>9055.2000000000007</v>
      </c>
      <c r="E10" s="585"/>
      <c r="F10" s="585"/>
      <c r="G10" s="585"/>
      <c r="H10" s="585"/>
      <c r="M10" s="312"/>
    </row>
    <row r="11" spans="1:13" ht="22.5" customHeight="1">
      <c r="A11" s="587" t="s">
        <v>831</v>
      </c>
      <c r="B11" s="588"/>
      <c r="C11" s="589"/>
      <c r="D11" s="19">
        <f>'Mat. Prima Alim e não Alim'!B1222</f>
        <v>32306.2</v>
      </c>
      <c r="E11" s="585"/>
      <c r="F11" s="585"/>
      <c r="G11" s="585"/>
      <c r="H11" s="585"/>
    </row>
    <row r="12" spans="1:13" ht="16.5" customHeight="1">
      <c r="A12" s="586" t="s">
        <v>39</v>
      </c>
      <c r="B12" s="586"/>
      <c r="C12" s="586"/>
      <c r="D12" s="20">
        <f>(SUM(D9:D11)*(C36+C37))*-1</f>
        <v>-4843.0225</v>
      </c>
      <c r="E12" s="585"/>
      <c r="F12" s="585"/>
      <c r="G12" s="585"/>
      <c r="H12" s="585"/>
    </row>
    <row r="13" spans="1:13">
      <c r="A13" s="583" t="s">
        <v>141</v>
      </c>
      <c r="B13" s="583"/>
      <c r="C13" s="583"/>
      <c r="D13" s="21">
        <f>SUM(D9:D12)</f>
        <v>47513.977500000001</v>
      </c>
    </row>
    <row r="14" spans="1:13" ht="12.75" customHeight="1">
      <c r="A14" s="585"/>
      <c r="B14" s="585"/>
      <c r="C14" s="585"/>
      <c r="D14" s="585"/>
    </row>
    <row r="15" spans="1:13" ht="12.75" customHeight="1">
      <c r="A15" s="583" t="s">
        <v>142</v>
      </c>
      <c r="B15" s="583"/>
      <c r="C15" s="583"/>
      <c r="D15" s="18" t="s">
        <v>134</v>
      </c>
    </row>
    <row r="16" spans="1:13" ht="71.25" customHeight="1">
      <c r="A16" s="586" t="s">
        <v>143</v>
      </c>
      <c r="B16" s="586"/>
      <c r="C16" s="586"/>
      <c r="D16" s="19">
        <v>1500</v>
      </c>
      <c r="E16" s="590" t="s">
        <v>144</v>
      </c>
      <c r="F16" s="590"/>
      <c r="G16" s="590"/>
      <c r="H16" s="590"/>
    </row>
    <row r="17" spans="1:8" ht="12.75" customHeight="1">
      <c r="A17" s="586" t="s">
        <v>145</v>
      </c>
      <c r="B17" s="586"/>
      <c r="C17" s="586"/>
      <c r="D17" s="19">
        <f>'Mat. Prima Alim e não Alim'!B1214</f>
        <v>14229.6</v>
      </c>
      <c r="E17" s="585" t="s">
        <v>136</v>
      </c>
      <c r="F17" s="585"/>
      <c r="G17" s="585"/>
      <c r="H17" s="585"/>
    </row>
    <row r="18" spans="1:8" ht="12.75" customHeight="1">
      <c r="A18" s="586" t="s">
        <v>146</v>
      </c>
      <c r="B18" s="586"/>
      <c r="C18" s="586"/>
      <c r="D18" s="20">
        <f>D17*(C36+C37)*-1</f>
        <v>-1316.2380000000001</v>
      </c>
      <c r="E18" s="585"/>
      <c r="F18" s="585"/>
      <c r="G18" s="585"/>
      <c r="H18" s="585"/>
    </row>
    <row r="19" spans="1:8" ht="59.25" customHeight="1">
      <c r="A19" s="586" t="s">
        <v>147</v>
      </c>
      <c r="B19" s="586"/>
      <c r="C19" s="586"/>
      <c r="D19" s="19">
        <v>1500</v>
      </c>
      <c r="E19" s="590" t="s">
        <v>148</v>
      </c>
      <c r="F19" s="590"/>
      <c r="G19" s="590"/>
      <c r="H19" s="590"/>
    </row>
    <row r="20" spans="1:8" ht="12.75" customHeight="1" thickTop="1" thickBot="1">
      <c r="A20" s="586" t="s">
        <v>149</v>
      </c>
      <c r="B20" s="586"/>
      <c r="C20" s="586"/>
      <c r="D20" s="19">
        <v>600</v>
      </c>
      <c r="E20" s="591" t="s">
        <v>150</v>
      </c>
      <c r="F20" s="591"/>
      <c r="G20" s="591"/>
      <c r="H20" s="591"/>
    </row>
    <row r="21" spans="1:8" ht="60" customHeight="1" thickTop="1" thickBot="1">
      <c r="A21" s="586" t="s">
        <v>151</v>
      </c>
      <c r="B21" s="586"/>
      <c r="C21" s="586"/>
      <c r="D21" s="19">
        <v>3500</v>
      </c>
      <c r="E21" s="590" t="s">
        <v>152</v>
      </c>
      <c r="F21" s="590"/>
      <c r="G21" s="590"/>
      <c r="H21" s="590"/>
    </row>
    <row r="22" spans="1:8" ht="12.75" customHeight="1" thickTop="1" thickBot="1">
      <c r="A22" s="586" t="s">
        <v>153</v>
      </c>
      <c r="B22" s="586"/>
      <c r="C22" s="586"/>
      <c r="D22" s="19">
        <v>450</v>
      </c>
      <c r="E22" s="591" t="s">
        <v>150</v>
      </c>
      <c r="F22" s="591"/>
      <c r="G22" s="591"/>
      <c r="H22" s="591"/>
    </row>
    <row r="23" spans="1:8" ht="12.75" customHeight="1" thickTop="1" thickBot="1">
      <c r="A23" s="586" t="s">
        <v>154</v>
      </c>
      <c r="B23" s="586"/>
      <c r="C23" s="586"/>
      <c r="D23" s="19">
        <v>0</v>
      </c>
    </row>
    <row r="24" spans="1:8" ht="12.75" customHeight="1">
      <c r="A24" s="583" t="s">
        <v>155</v>
      </c>
      <c r="B24" s="583"/>
      <c r="C24" s="583"/>
      <c r="D24" s="18">
        <f>SUM(D16:D23)</f>
        <v>20463.362000000001</v>
      </c>
    </row>
    <row r="25" spans="1:8" ht="12.75" customHeight="1">
      <c r="A25" s="592"/>
      <c r="B25" s="592"/>
      <c r="C25" s="592"/>
      <c r="D25" s="592"/>
    </row>
    <row r="26" spans="1:8" ht="12.75" customHeight="1">
      <c r="A26" s="593" t="s">
        <v>156</v>
      </c>
      <c r="B26" s="593"/>
      <c r="C26" s="593"/>
      <c r="D26" s="18">
        <f>D24+D13+D6</f>
        <v>302178.76850000001</v>
      </c>
      <c r="F26" s="330"/>
    </row>
    <row r="27" spans="1:8" ht="12.75" customHeight="1">
      <c r="A27" s="592"/>
      <c r="B27" s="592"/>
      <c r="C27" s="592"/>
      <c r="D27" s="592"/>
    </row>
    <row r="28" spans="1:8" s="26" customFormat="1" ht="33" customHeight="1">
      <c r="A28" s="23" t="s">
        <v>157</v>
      </c>
      <c r="B28" s="24" t="s">
        <v>51</v>
      </c>
      <c r="C28" s="25">
        <v>0.06</v>
      </c>
      <c r="D28" s="18">
        <f>C28*D26</f>
        <v>18130.72611</v>
      </c>
    </row>
    <row r="29" spans="1:8" s="26" customFormat="1" ht="33" customHeight="1">
      <c r="A29" s="23" t="s">
        <v>158</v>
      </c>
      <c r="B29" s="24" t="s">
        <v>51</v>
      </c>
      <c r="C29" s="25">
        <v>0.06</v>
      </c>
      <c r="D29" s="18">
        <f>C29*(D28+D26)</f>
        <v>19218.5696766</v>
      </c>
    </row>
    <row r="30" spans="1:8" ht="24" customHeight="1">
      <c r="A30" s="594" t="s">
        <v>159</v>
      </c>
      <c r="B30" s="594"/>
      <c r="C30" s="594"/>
      <c r="D30" s="18">
        <f>D26+D28+D29</f>
        <v>339528.06428659998</v>
      </c>
    </row>
    <row r="31" spans="1:8" ht="26.25" customHeight="1">
      <c r="A31" s="595" t="s">
        <v>160</v>
      </c>
      <c r="B31" s="595"/>
      <c r="C31" s="595"/>
      <c r="D31" s="18">
        <f>D30/(1-C47)</f>
        <v>395951.09537795919</v>
      </c>
      <c r="F31" s="330"/>
    </row>
    <row r="32" spans="1:8" ht="12.75" customHeight="1">
      <c r="A32" s="596" t="s">
        <v>161</v>
      </c>
      <c r="B32" s="596"/>
      <c r="C32" s="596"/>
      <c r="D32" s="596"/>
    </row>
    <row r="33" spans="1:4">
      <c r="A33" s="592"/>
      <c r="B33" s="592"/>
      <c r="C33" s="592"/>
      <c r="D33" s="592"/>
    </row>
    <row r="34" spans="1:4">
      <c r="A34" s="593" t="s">
        <v>162</v>
      </c>
      <c r="B34" s="593"/>
      <c r="C34" s="17" t="s">
        <v>51</v>
      </c>
      <c r="D34" s="27"/>
    </row>
    <row r="35" spans="1:4" ht="12.75" customHeight="1">
      <c r="A35" s="581" t="s">
        <v>163</v>
      </c>
      <c r="B35" s="581"/>
      <c r="C35" s="581"/>
      <c r="D35" s="581"/>
    </row>
    <row r="36" spans="1:4" ht="12.75" customHeight="1">
      <c r="A36" s="597" t="s">
        <v>68</v>
      </c>
      <c r="B36" s="597"/>
      <c r="C36" s="28">
        <v>1.6500000000000001E-2</v>
      </c>
      <c r="D36" s="18">
        <f>D31*C36</f>
        <v>6533.1930737363273</v>
      </c>
    </row>
    <row r="37" spans="1:4" ht="12.75" customHeight="1">
      <c r="A37" s="597" t="s">
        <v>69</v>
      </c>
      <c r="B37" s="597"/>
      <c r="C37" s="28">
        <v>7.5999999999999998E-2</v>
      </c>
      <c r="D37" s="18">
        <f>D31*C37</f>
        <v>30092.2832487249</v>
      </c>
    </row>
    <row r="38" spans="1:4" ht="12.75" customHeight="1">
      <c r="A38" s="597" t="s">
        <v>164</v>
      </c>
      <c r="B38" s="597"/>
      <c r="C38" s="22"/>
      <c r="D38" s="27"/>
    </row>
    <row r="39" spans="1:4" ht="12.75" customHeight="1">
      <c r="A39" s="597"/>
      <c r="B39" s="597"/>
      <c r="C39" s="22"/>
      <c r="D39" s="27"/>
    </row>
    <row r="40" spans="1:4" ht="12.75" customHeight="1">
      <c r="A40" s="581" t="s">
        <v>165</v>
      </c>
      <c r="B40" s="581"/>
      <c r="C40" s="581"/>
      <c r="D40" s="581"/>
    </row>
    <row r="41" spans="1:4" ht="12.75" customHeight="1">
      <c r="A41" s="597" t="s">
        <v>166</v>
      </c>
      <c r="B41" s="597"/>
      <c r="C41" s="28">
        <f>5%</f>
        <v>0.05</v>
      </c>
      <c r="D41" s="18">
        <f>D31*C41</f>
        <v>19797.55476889796</v>
      </c>
    </row>
    <row r="42" spans="1:4" ht="12.75" customHeight="1">
      <c r="A42" s="597" t="s">
        <v>164</v>
      </c>
      <c r="B42" s="597"/>
      <c r="C42" s="22"/>
      <c r="D42" s="27"/>
    </row>
    <row r="43" spans="1:4" ht="12.75" customHeight="1">
      <c r="A43" s="597"/>
      <c r="B43" s="597"/>
      <c r="C43" s="22"/>
      <c r="D43" s="27"/>
    </row>
    <row r="44" spans="1:4" ht="12.75" customHeight="1">
      <c r="A44" s="581" t="s">
        <v>167</v>
      </c>
      <c r="B44" s="581"/>
      <c r="C44" s="581"/>
      <c r="D44" s="581"/>
    </row>
    <row r="45" spans="1:4" ht="12.75" customHeight="1">
      <c r="A45" s="597" t="s">
        <v>168</v>
      </c>
      <c r="B45" s="597"/>
      <c r="C45" s="22"/>
      <c r="D45" s="27"/>
    </row>
    <row r="46" spans="1:4" ht="12.75" customHeight="1">
      <c r="A46" s="592"/>
      <c r="B46" s="592"/>
      <c r="C46" s="592"/>
      <c r="D46" s="592"/>
    </row>
    <row r="47" spans="1:4" ht="12.75" customHeight="1">
      <c r="A47" s="593" t="s">
        <v>169</v>
      </c>
      <c r="B47" s="593"/>
      <c r="C47" s="29">
        <f>C41+C37+C36</f>
        <v>0.14250000000000002</v>
      </c>
      <c r="D47" s="18">
        <f>D31*C47</f>
        <v>56423.031091359189</v>
      </c>
    </row>
    <row r="48" spans="1:4" ht="24" customHeight="1">
      <c r="A48" s="598" t="s">
        <v>170</v>
      </c>
      <c r="B48" s="598"/>
      <c r="C48" s="598"/>
      <c r="D48" s="598"/>
    </row>
    <row r="49" spans="1:4" ht="12.75" customHeight="1">
      <c r="A49" s="592"/>
      <c r="B49" s="592"/>
      <c r="C49" s="592"/>
      <c r="D49" s="592"/>
    </row>
  </sheetData>
  <sheetProtection selectLockedCells="1" selectUnlockedCells="1"/>
  <mergeCells count="55">
    <mergeCell ref="A40:D40"/>
    <mergeCell ref="A41:B41"/>
    <mergeCell ref="A42:B42"/>
    <mergeCell ref="A49:D49"/>
    <mergeCell ref="A43:B43"/>
    <mergeCell ref="A44:D44"/>
    <mergeCell ref="A45:B45"/>
    <mergeCell ref="A46:D46"/>
    <mergeCell ref="A47:B47"/>
    <mergeCell ref="A48:D48"/>
    <mergeCell ref="A35:D35"/>
    <mergeCell ref="A36:B36"/>
    <mergeCell ref="A37:B37"/>
    <mergeCell ref="A38:B38"/>
    <mergeCell ref="A39:B39"/>
    <mergeCell ref="A30:C30"/>
    <mergeCell ref="A31:C31"/>
    <mergeCell ref="A32:D32"/>
    <mergeCell ref="A33:D33"/>
    <mergeCell ref="A34:B34"/>
    <mergeCell ref="A23:C23"/>
    <mergeCell ref="A24:C24"/>
    <mergeCell ref="A25:D25"/>
    <mergeCell ref="A26:C26"/>
    <mergeCell ref="A27:D27"/>
    <mergeCell ref="A20:C20"/>
    <mergeCell ref="E20:H20"/>
    <mergeCell ref="A21:C21"/>
    <mergeCell ref="E21:H21"/>
    <mergeCell ref="A22:C22"/>
    <mergeCell ref="E22:H22"/>
    <mergeCell ref="A17:C17"/>
    <mergeCell ref="E17:H18"/>
    <mergeCell ref="A18:C18"/>
    <mergeCell ref="A19:C19"/>
    <mergeCell ref="E19:H19"/>
    <mergeCell ref="A13:C13"/>
    <mergeCell ref="A14:D14"/>
    <mergeCell ref="A15:C15"/>
    <mergeCell ref="A16:C16"/>
    <mergeCell ref="E16:H16"/>
    <mergeCell ref="A7:D7"/>
    <mergeCell ref="A8:C8"/>
    <mergeCell ref="A9:C9"/>
    <mergeCell ref="E9:H12"/>
    <mergeCell ref="A10:C10"/>
    <mergeCell ref="A12:C12"/>
    <mergeCell ref="A11:C11"/>
    <mergeCell ref="A1:D1"/>
    <mergeCell ref="A2:D2"/>
    <mergeCell ref="A3:C3"/>
    <mergeCell ref="A4:C4"/>
    <mergeCell ref="E4:H6"/>
    <mergeCell ref="A5:C5"/>
    <mergeCell ref="A6:C6"/>
  </mergeCells>
  <printOptions horizontalCentered="1" verticalCentered="1"/>
  <pageMargins left="0.39374999999999999" right="0.39374999999999999" top="0.39374999999999999" bottom="0.39374999999999999" header="0.51180555555555551" footer="0.51180555555555551"/>
  <pageSetup paperSize="9" scale="90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30"/>
  <sheetViews>
    <sheetView zoomScaleNormal="100" workbookViewId="0">
      <selection activeCell="K16" sqref="K16"/>
    </sheetView>
  </sheetViews>
  <sheetFormatPr defaultRowHeight="12.75"/>
  <cols>
    <col min="1" max="1" width="15.7109375" customWidth="1"/>
    <col min="2" max="2" width="19" customWidth="1"/>
    <col min="3" max="3" width="16.140625" customWidth="1"/>
    <col min="4" max="4" width="12.5703125" customWidth="1"/>
    <col min="5" max="5" width="12.85546875" customWidth="1"/>
    <col min="6" max="6" width="9.5703125" customWidth="1"/>
    <col min="7" max="7" width="16.140625" customWidth="1"/>
    <col min="8" max="8" width="18.7109375" customWidth="1"/>
    <col min="9" max="9" width="22.28515625" customWidth="1"/>
    <col min="10" max="11" width="14" bestFit="1" customWidth="1"/>
  </cols>
  <sheetData>
    <row r="1" spans="1:8" ht="18" customHeight="1" thickBot="1">
      <c r="A1" s="599" t="s">
        <v>171</v>
      </c>
      <c r="B1" s="600"/>
      <c r="C1" s="600"/>
      <c r="D1" s="600"/>
      <c r="E1" s="600"/>
      <c r="F1" s="600"/>
      <c r="G1" s="600"/>
      <c r="H1" s="601"/>
    </row>
    <row r="2" spans="1:8" ht="34.5" thickBot="1">
      <c r="A2" s="466" t="s">
        <v>172</v>
      </c>
      <c r="B2" s="605"/>
      <c r="C2" s="158" t="s">
        <v>173</v>
      </c>
      <c r="D2" s="258" t="s">
        <v>174</v>
      </c>
      <c r="E2" s="158" t="s">
        <v>175</v>
      </c>
      <c r="F2" s="158" t="s">
        <v>176</v>
      </c>
      <c r="G2" s="158" t="s">
        <v>177</v>
      </c>
      <c r="H2" s="606" t="s">
        <v>178</v>
      </c>
    </row>
    <row r="3" spans="1:8" ht="18" customHeight="1" thickBot="1">
      <c r="A3" s="608" t="s">
        <v>179</v>
      </c>
      <c r="B3" s="609"/>
      <c r="C3" s="259" t="s">
        <v>180</v>
      </c>
      <c r="D3" s="260" t="s">
        <v>181</v>
      </c>
      <c r="E3" s="259" t="s">
        <v>182</v>
      </c>
      <c r="F3" s="259" t="s">
        <v>183</v>
      </c>
      <c r="G3" s="259" t="s">
        <v>184</v>
      </c>
      <c r="H3" s="607"/>
    </row>
    <row r="4" spans="1:8" ht="24" customHeight="1" thickBot="1">
      <c r="A4" s="159" t="s">
        <v>813</v>
      </c>
      <c r="B4" s="159" t="s">
        <v>19</v>
      </c>
      <c r="C4" s="261">
        <f>'Nutricionista 5X2'!D154</f>
        <v>7282.53</v>
      </c>
      <c r="D4" s="262">
        <v>1</v>
      </c>
      <c r="E4" s="261">
        <f>D4*C4</f>
        <v>7282.53</v>
      </c>
      <c r="F4" s="159">
        <v>3</v>
      </c>
      <c r="G4" s="261">
        <f>F4*E4</f>
        <v>21847.59</v>
      </c>
      <c r="H4" s="261">
        <f>G4*0.1425</f>
        <v>3113.281575</v>
      </c>
    </row>
    <row r="5" spans="1:8" ht="24" customHeight="1" thickBot="1">
      <c r="A5" s="159" t="s">
        <v>185</v>
      </c>
      <c r="B5" s="263" t="s">
        <v>846</v>
      </c>
      <c r="C5" s="337">
        <f>'Op. Caixa 5x2'!D157</f>
        <v>3246.62</v>
      </c>
      <c r="D5" s="327">
        <v>1</v>
      </c>
      <c r="E5" s="337">
        <f t="shared" ref="E5:E7" si="0">D5*C5</f>
        <v>3246.62</v>
      </c>
      <c r="F5" s="336">
        <v>3</v>
      </c>
      <c r="G5" s="337">
        <f t="shared" ref="G5:G7" si="1">F5*E5</f>
        <v>9739.86</v>
      </c>
      <c r="H5" s="337">
        <f t="shared" ref="H5:H11" si="2">G5*0.1425</f>
        <v>1387.9300499999999</v>
      </c>
    </row>
    <row r="6" spans="1:8" ht="24" customHeight="1" thickBot="1">
      <c r="A6" s="159" t="s">
        <v>364</v>
      </c>
      <c r="B6" s="159" t="s">
        <v>847</v>
      </c>
      <c r="C6" s="261">
        <f>'Copeiro 5x2'!D157</f>
        <v>3404.51</v>
      </c>
      <c r="D6" s="262">
        <v>5</v>
      </c>
      <c r="E6" s="261">
        <f t="shared" si="0"/>
        <v>17022.550000000003</v>
      </c>
      <c r="F6" s="159">
        <v>3</v>
      </c>
      <c r="G6" s="261">
        <f t="shared" si="1"/>
        <v>51067.650000000009</v>
      </c>
      <c r="H6" s="261">
        <f t="shared" si="2"/>
        <v>7277.1401250000008</v>
      </c>
    </row>
    <row r="7" spans="1:8" ht="24" customHeight="1" thickBot="1">
      <c r="A7" s="263" t="s">
        <v>365</v>
      </c>
      <c r="B7" s="159" t="s">
        <v>848</v>
      </c>
      <c r="C7" s="261">
        <f>'ASG 5x2'!D157</f>
        <v>3251.29</v>
      </c>
      <c r="D7" s="262">
        <v>4</v>
      </c>
      <c r="E7" s="261">
        <f t="shared" si="0"/>
        <v>13005.16</v>
      </c>
      <c r="F7" s="159">
        <v>3</v>
      </c>
      <c r="G7" s="261">
        <f t="shared" si="1"/>
        <v>39015.479999999996</v>
      </c>
      <c r="H7" s="261">
        <f t="shared" si="2"/>
        <v>5559.705899999999</v>
      </c>
    </row>
    <row r="8" spans="1:8" ht="18" customHeight="1" thickBot="1">
      <c r="A8" s="466" t="s">
        <v>186</v>
      </c>
      <c r="B8" s="605"/>
      <c r="C8" s="605"/>
      <c r="D8" s="605"/>
      <c r="E8" s="605"/>
      <c r="F8" s="467"/>
      <c r="G8" s="266">
        <f>SUM(G4:G7)</f>
        <v>121670.58</v>
      </c>
      <c r="H8" s="261">
        <f t="shared" si="2"/>
        <v>17338.057649999999</v>
      </c>
    </row>
    <row r="9" spans="1:8" ht="18" customHeight="1" thickBot="1">
      <c r="A9" s="466" t="s">
        <v>187</v>
      </c>
      <c r="B9" s="605"/>
      <c r="C9" s="605"/>
      <c r="D9" s="605"/>
      <c r="E9" s="605"/>
      <c r="F9" s="467"/>
      <c r="G9" s="266">
        <f>'Insumos de Produção'!D31</f>
        <v>395951.09537795919</v>
      </c>
      <c r="H9" s="261">
        <f t="shared" si="2"/>
        <v>56423.031091359182</v>
      </c>
    </row>
    <row r="10" spans="1:8" ht="18" customHeight="1" thickBot="1">
      <c r="A10" s="466" t="s">
        <v>188</v>
      </c>
      <c r="B10" s="605"/>
      <c r="C10" s="605"/>
      <c r="D10" s="605"/>
      <c r="E10" s="605"/>
      <c r="F10" s="467"/>
      <c r="G10" s="266">
        <f>G8+G9</f>
        <v>517621.67537795921</v>
      </c>
      <c r="H10" s="261">
        <f t="shared" si="2"/>
        <v>73761.088741359184</v>
      </c>
    </row>
    <row r="11" spans="1:8" ht="18" customHeight="1" thickBot="1">
      <c r="A11" s="466" t="s">
        <v>862</v>
      </c>
      <c r="B11" s="605"/>
      <c r="C11" s="605"/>
      <c r="D11" s="605"/>
      <c r="E11" s="605"/>
      <c r="F11" s="467"/>
      <c r="G11" s="266">
        <f>G10*12</f>
        <v>6211460.1045355108</v>
      </c>
      <c r="H11" s="265">
        <f t="shared" si="2"/>
        <v>885133.06489631021</v>
      </c>
    </row>
    <row r="12" spans="1:8" ht="14.25" customHeight="1" thickBot="1">
      <c r="A12" s="271"/>
      <c r="B12" s="272"/>
      <c r="C12" s="272"/>
      <c r="D12" s="272"/>
      <c r="E12" s="272"/>
      <c r="F12" s="272"/>
      <c r="G12" s="272"/>
      <c r="H12" s="273"/>
    </row>
    <row r="13" spans="1:8" ht="18" customHeight="1" thickBot="1">
      <c r="A13" s="466" t="s">
        <v>189</v>
      </c>
      <c r="B13" s="605"/>
      <c r="C13" s="605"/>
      <c r="D13" s="605"/>
      <c r="E13" s="605"/>
      <c r="F13" s="605"/>
      <c r="G13" s="605"/>
      <c r="H13" s="467"/>
    </row>
    <row r="14" spans="1:8" ht="18" customHeight="1" thickBot="1">
      <c r="A14" s="602" t="s">
        <v>814</v>
      </c>
      <c r="B14" s="603"/>
      <c r="C14" s="603"/>
      <c r="D14" s="603"/>
      <c r="E14" s="603"/>
      <c r="F14" s="603"/>
      <c r="G14" s="604"/>
      <c r="H14" s="267">
        <f>'Mat. Prima Alim e não Alim'!F1193+'Mat. Prima Alim e não Alim'!F1196</f>
        <v>2940</v>
      </c>
    </row>
    <row r="15" spans="1:8" ht="18" customHeight="1" thickBot="1">
      <c r="A15" s="602" t="s">
        <v>190</v>
      </c>
      <c r="B15" s="603"/>
      <c r="C15" s="603"/>
      <c r="D15" s="603"/>
      <c r="E15" s="603"/>
      <c r="F15" s="603"/>
      <c r="G15" s="604"/>
      <c r="H15" s="267">
        <f>22</f>
        <v>22</v>
      </c>
    </row>
    <row r="16" spans="1:8" s="30" customFormat="1" ht="18" customHeight="1" thickBot="1">
      <c r="A16" s="602" t="s">
        <v>191</v>
      </c>
      <c r="B16" s="603"/>
      <c r="C16" s="603"/>
      <c r="D16" s="603"/>
      <c r="E16" s="603"/>
      <c r="F16" s="603"/>
      <c r="G16" s="604"/>
      <c r="H16" s="267">
        <f>(H14*H15)</f>
        <v>64680</v>
      </c>
    </row>
    <row r="17" spans="1:11" ht="18" customHeight="1" thickBot="1">
      <c r="A17" s="610" t="s">
        <v>857</v>
      </c>
      <c r="B17" s="611"/>
      <c r="C17" s="611"/>
      <c r="D17" s="611"/>
      <c r="E17" s="611"/>
      <c r="F17" s="611"/>
      <c r="G17" s="612"/>
      <c r="H17" s="268">
        <f>ROUND((G10/H16),2)</f>
        <v>8</v>
      </c>
      <c r="I17" s="31"/>
    </row>
    <row r="18" spans="1:11" ht="18" customHeight="1" thickBot="1">
      <c r="A18" s="602" t="s">
        <v>192</v>
      </c>
      <c r="B18" s="603"/>
      <c r="C18" s="603"/>
      <c r="D18" s="603"/>
      <c r="E18" s="603"/>
      <c r="F18" s="603"/>
      <c r="G18" s="604"/>
      <c r="H18" s="269">
        <f>H10/H16</f>
        <v>1.1404002588336299</v>
      </c>
      <c r="I18" s="32"/>
    </row>
    <row r="19" spans="1:11" ht="18" customHeight="1" thickBot="1">
      <c r="A19" s="610" t="s">
        <v>815</v>
      </c>
      <c r="B19" s="611"/>
      <c r="C19" s="611"/>
      <c r="D19" s="611"/>
      <c r="E19" s="611"/>
      <c r="F19" s="611"/>
      <c r="G19" s="612"/>
      <c r="H19" s="268">
        <f>(G8-H8)/H16</f>
        <v>1.6130569318181818</v>
      </c>
      <c r="J19" s="285"/>
      <c r="K19" s="286"/>
    </row>
    <row r="20" spans="1:11" ht="18" customHeight="1" thickBot="1">
      <c r="A20" s="602" t="s">
        <v>193</v>
      </c>
      <c r="B20" s="603"/>
      <c r="C20" s="603"/>
      <c r="D20" s="603"/>
      <c r="E20" s="603"/>
      <c r="F20" s="603"/>
      <c r="G20" s="604"/>
      <c r="H20" s="269">
        <f>(G9-H9)/H16</f>
        <v>5.2493516432683984</v>
      </c>
      <c r="J20" s="285"/>
      <c r="K20" s="286"/>
    </row>
    <row r="21" spans="1:11" ht="18" customHeight="1" thickBot="1">
      <c r="A21" s="613" t="s">
        <v>816</v>
      </c>
      <c r="B21" s="614"/>
      <c r="C21" s="614"/>
      <c r="D21" s="614"/>
      <c r="E21" s="614"/>
      <c r="F21" s="614"/>
      <c r="G21" s="615"/>
      <c r="H21" s="268">
        <f>H17-2</f>
        <v>6</v>
      </c>
      <c r="J21" s="31"/>
    </row>
    <row r="22" spans="1:11" ht="18" customHeight="1" thickBot="1">
      <c r="A22" s="627" t="s">
        <v>817</v>
      </c>
      <c r="B22" s="628"/>
      <c r="C22" s="628"/>
      <c r="D22" s="628"/>
      <c r="E22" s="628"/>
      <c r="F22" s="628"/>
      <c r="G22" s="629"/>
      <c r="H22" s="269">
        <f>H21*H16</f>
        <v>388080</v>
      </c>
    </row>
    <row r="23" spans="1:11" ht="18" customHeight="1" thickBot="1">
      <c r="A23" s="613" t="s">
        <v>863</v>
      </c>
      <c r="B23" s="614"/>
      <c r="C23" s="614"/>
      <c r="D23" s="614"/>
      <c r="E23" s="614"/>
      <c r="F23" s="614"/>
      <c r="G23" s="615"/>
      <c r="H23" s="314">
        <f>H22*12</f>
        <v>4656960</v>
      </c>
    </row>
    <row r="24" spans="1:11" ht="18" customHeight="1" thickBot="1">
      <c r="A24" s="630" t="s">
        <v>194</v>
      </c>
      <c r="B24" s="631"/>
      <c r="C24" s="631"/>
      <c r="D24" s="631"/>
      <c r="E24" s="631"/>
      <c r="F24" s="631"/>
      <c r="G24" s="632"/>
      <c r="H24" s="270">
        <f>2*H16</f>
        <v>129360</v>
      </c>
    </row>
    <row r="25" spans="1:11" ht="18" customHeight="1" thickBot="1">
      <c r="A25" s="613" t="s">
        <v>864</v>
      </c>
      <c r="B25" s="614"/>
      <c r="C25" s="614"/>
      <c r="D25" s="614"/>
      <c r="E25" s="614"/>
      <c r="F25" s="614"/>
      <c r="G25" s="615"/>
      <c r="H25" s="268">
        <f>H24*12</f>
        <v>1552320</v>
      </c>
      <c r="I25" s="32"/>
    </row>
    <row r="26" spans="1:11" ht="18" customHeight="1" thickBot="1">
      <c r="A26" s="466" t="s">
        <v>195</v>
      </c>
      <c r="B26" s="605"/>
      <c r="C26" s="605"/>
      <c r="D26" s="605"/>
      <c r="E26" s="605"/>
      <c r="F26" s="467"/>
      <c r="G26" s="625">
        <f>H22</f>
        <v>388080</v>
      </c>
      <c r="H26" s="626"/>
    </row>
    <row r="27" spans="1:11" ht="18" customHeight="1" thickBot="1">
      <c r="A27" s="466" t="s">
        <v>196</v>
      </c>
      <c r="B27" s="605"/>
      <c r="C27" s="605"/>
      <c r="D27" s="605"/>
      <c r="E27" s="605"/>
      <c r="F27" s="467"/>
      <c r="G27" s="625">
        <f>G26*12</f>
        <v>4656960</v>
      </c>
      <c r="H27" s="626"/>
    </row>
    <row r="28" spans="1:11" ht="15" customHeight="1">
      <c r="A28" s="616" t="s">
        <v>865</v>
      </c>
      <c r="B28" s="617"/>
      <c r="C28" s="617"/>
      <c r="D28" s="617"/>
      <c r="E28" s="617"/>
      <c r="F28" s="617"/>
      <c r="G28" s="617"/>
      <c r="H28" s="618"/>
    </row>
    <row r="29" spans="1:11" ht="12.75" customHeight="1">
      <c r="A29" s="619"/>
      <c r="B29" s="620"/>
      <c r="C29" s="620"/>
      <c r="D29" s="620"/>
      <c r="E29" s="620"/>
      <c r="F29" s="620"/>
      <c r="G29" s="620"/>
      <c r="H29" s="621"/>
    </row>
    <row r="30" spans="1:11" ht="12" customHeight="1" thickBot="1">
      <c r="A30" s="622"/>
      <c r="B30" s="623"/>
      <c r="C30" s="623"/>
      <c r="D30" s="623"/>
      <c r="E30" s="623"/>
      <c r="F30" s="623"/>
      <c r="G30" s="623"/>
      <c r="H30" s="624"/>
    </row>
  </sheetData>
  <sheetProtection selectLockedCells="1" selectUnlockedCells="1"/>
  <mergeCells count="26">
    <mergeCell ref="A28:H30"/>
    <mergeCell ref="A27:F27"/>
    <mergeCell ref="G27:H27"/>
    <mergeCell ref="A22:G22"/>
    <mergeCell ref="A23:G23"/>
    <mergeCell ref="A24:G24"/>
    <mergeCell ref="A25:G25"/>
    <mergeCell ref="A26:F26"/>
    <mergeCell ref="G26:H26"/>
    <mergeCell ref="A17:G17"/>
    <mergeCell ref="A18:G18"/>
    <mergeCell ref="A19:G19"/>
    <mergeCell ref="A20:G20"/>
    <mergeCell ref="A21:G21"/>
    <mergeCell ref="A1:H1"/>
    <mergeCell ref="A15:G15"/>
    <mergeCell ref="A16:G16"/>
    <mergeCell ref="A11:F11"/>
    <mergeCell ref="A13:H13"/>
    <mergeCell ref="A14:G14"/>
    <mergeCell ref="A2:B2"/>
    <mergeCell ref="H2:H3"/>
    <mergeCell ref="A3:B3"/>
    <mergeCell ref="A8:F8"/>
    <mergeCell ref="A9:F9"/>
    <mergeCell ref="A10:F10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80" firstPageNumber="0" orientation="portrait" horizontalDpi="300" verticalDpi="300" r:id="rId1"/>
  <headerFooter alignWithMargins="0"/>
  <ignoredErrors>
    <ignoredError sqref="H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7"/>
  <sheetViews>
    <sheetView workbookViewId="0">
      <selection activeCell="J22" sqref="J22"/>
    </sheetView>
  </sheetViews>
  <sheetFormatPr defaultColWidth="8.85546875" defaultRowHeight="12.75"/>
  <cols>
    <col min="1" max="1" width="34.42578125" style="142" customWidth="1"/>
    <col min="2" max="2" width="20.42578125" style="137" customWidth="1"/>
    <col min="3" max="3" width="13" style="137" customWidth="1"/>
    <col min="4" max="4" width="11.140625" style="137" customWidth="1"/>
    <col min="5" max="5" width="13.140625" style="137" customWidth="1"/>
    <col min="6" max="7" width="9.140625" style="137" customWidth="1"/>
    <col min="8" max="1015" width="9.140625" customWidth="1"/>
  </cols>
  <sheetData>
    <row r="1" spans="1:7" ht="13.5" thickBot="1">
      <c r="A1" s="482" t="s">
        <v>71</v>
      </c>
      <c r="B1" s="482"/>
      <c r="C1" s="482"/>
      <c r="D1" s="482"/>
      <c r="E1" s="482"/>
    </row>
    <row r="2" spans="1:7" ht="25.5">
      <c r="A2" s="138" t="s">
        <v>72</v>
      </c>
      <c r="B2" s="139" t="s">
        <v>73</v>
      </c>
      <c r="C2" s="139" t="s">
        <v>74</v>
      </c>
      <c r="D2" s="139" t="s">
        <v>75</v>
      </c>
      <c r="E2" s="140" t="s">
        <v>76</v>
      </c>
      <c r="G2" s="141"/>
    </row>
    <row r="3" spans="1:7">
      <c r="A3" s="143" t="s">
        <v>854</v>
      </c>
      <c r="B3" s="144">
        <v>63.9</v>
      </c>
      <c r="C3" s="145">
        <v>12</v>
      </c>
      <c r="D3" s="145">
        <v>2</v>
      </c>
      <c r="E3" s="146">
        <f>(B3*D3)/6</f>
        <v>21.3</v>
      </c>
      <c r="G3" s="141"/>
    </row>
    <row r="4" spans="1:7">
      <c r="A4" s="360" t="s">
        <v>855</v>
      </c>
      <c r="B4" s="144">
        <v>10.75</v>
      </c>
      <c r="C4" s="145">
        <v>12</v>
      </c>
      <c r="D4" s="145">
        <v>1</v>
      </c>
      <c r="E4" s="146">
        <f t="shared" ref="E4:E5" si="0">(B4*D4)/6</f>
        <v>1.7916666666666667</v>
      </c>
      <c r="G4" s="141"/>
    </row>
    <row r="5" spans="1:7">
      <c r="A5" s="143" t="s">
        <v>78</v>
      </c>
      <c r="B5" s="144">
        <v>59.980000000000004</v>
      </c>
      <c r="C5" s="145">
        <v>6</v>
      </c>
      <c r="D5" s="145">
        <v>1</v>
      </c>
      <c r="E5" s="146">
        <f t="shared" si="0"/>
        <v>9.9966666666666679</v>
      </c>
      <c r="G5" s="141"/>
    </row>
    <row r="6" spans="1:7" ht="13.5" thickBot="1">
      <c r="A6" s="483" t="s">
        <v>79</v>
      </c>
      <c r="B6" s="483"/>
      <c r="C6" s="483"/>
      <c r="D6" s="483"/>
      <c r="E6" s="147">
        <f>SUM(E3:E5)</f>
        <v>33.088333333333338</v>
      </c>
      <c r="G6" s="141"/>
    </row>
    <row r="7" spans="1:7" ht="13.5" thickBot="1">
      <c r="A7" s="484" t="s">
        <v>362</v>
      </c>
      <c r="B7" s="484"/>
      <c r="C7" s="484"/>
      <c r="D7" s="484"/>
      <c r="E7" s="484"/>
      <c r="G7" s="141"/>
    </row>
    <row r="8" spans="1:7" ht="13.5" thickBot="1"/>
    <row r="9" spans="1:7" ht="13.5" thickBot="1">
      <c r="A9" s="482" t="s">
        <v>87</v>
      </c>
      <c r="B9" s="482"/>
      <c r="C9" s="482"/>
      <c r="D9" s="482"/>
      <c r="E9" s="482"/>
    </row>
    <row r="10" spans="1:7" ht="25.5">
      <c r="A10" s="138" t="s">
        <v>72</v>
      </c>
      <c r="B10" s="139" t="s">
        <v>73</v>
      </c>
      <c r="C10" s="139" t="s">
        <v>74</v>
      </c>
      <c r="D10" s="139" t="s">
        <v>75</v>
      </c>
      <c r="E10" s="140" t="s">
        <v>76</v>
      </c>
    </row>
    <row r="11" spans="1:7">
      <c r="A11" s="143" t="s">
        <v>81</v>
      </c>
      <c r="B11" s="144">
        <v>47.73</v>
      </c>
      <c r="C11" s="145">
        <v>6</v>
      </c>
      <c r="D11" s="145">
        <v>2</v>
      </c>
      <c r="E11" s="146">
        <f>(B11*D11)/6</f>
        <v>15.909999999999998</v>
      </c>
    </row>
    <row r="12" spans="1:7">
      <c r="A12" s="143" t="s">
        <v>82</v>
      </c>
      <c r="B12" s="144">
        <v>31.49</v>
      </c>
      <c r="C12" s="145">
        <v>6</v>
      </c>
      <c r="D12" s="145">
        <v>2</v>
      </c>
      <c r="E12" s="146">
        <f t="shared" ref="E12:E16" si="1">(B12*D12)/6</f>
        <v>10.496666666666666</v>
      </c>
    </row>
    <row r="13" spans="1:7">
      <c r="A13" s="364" t="s">
        <v>88</v>
      </c>
      <c r="B13" s="144">
        <v>5.2166666666666659</v>
      </c>
      <c r="C13" s="145">
        <v>2</v>
      </c>
      <c r="D13" s="145">
        <v>3</v>
      </c>
      <c r="E13" s="146">
        <f t="shared" si="1"/>
        <v>2.6083333333333329</v>
      </c>
    </row>
    <row r="14" spans="1:7">
      <c r="A14" s="137" t="s">
        <v>856</v>
      </c>
      <c r="B14" s="362">
        <v>6.6500000000000012</v>
      </c>
      <c r="C14" s="363">
        <v>6</v>
      </c>
      <c r="D14" s="363">
        <v>2</v>
      </c>
      <c r="E14" s="146">
        <f t="shared" si="1"/>
        <v>2.2166666666666672</v>
      </c>
    </row>
    <row r="15" spans="1:7">
      <c r="A15" s="143" t="s">
        <v>86</v>
      </c>
      <c r="B15" s="144">
        <v>30.27</v>
      </c>
      <c r="C15" s="145">
        <v>6</v>
      </c>
      <c r="D15" s="145">
        <v>2</v>
      </c>
      <c r="E15" s="146">
        <f t="shared" si="1"/>
        <v>10.09</v>
      </c>
    </row>
    <row r="16" spans="1:7">
      <c r="A16" s="143" t="s">
        <v>85</v>
      </c>
      <c r="B16" s="144">
        <v>59.980000000000004</v>
      </c>
      <c r="C16" s="145">
        <v>12</v>
      </c>
      <c r="D16" s="145">
        <v>1</v>
      </c>
      <c r="E16" s="146">
        <f t="shared" si="1"/>
        <v>9.9966666666666679</v>
      </c>
    </row>
    <row r="17" spans="1:5" ht="13.5" thickBot="1">
      <c r="A17" s="483" t="s">
        <v>79</v>
      </c>
      <c r="B17" s="483"/>
      <c r="C17" s="483"/>
      <c r="D17" s="483"/>
      <c r="E17" s="147">
        <f>SUM(E11:E16)</f>
        <v>51.318333333333342</v>
      </c>
    </row>
    <row r="18" spans="1:5" ht="13.5" thickBot="1"/>
    <row r="19" spans="1:5" ht="13.5" thickBot="1">
      <c r="A19" s="482" t="s">
        <v>821</v>
      </c>
      <c r="B19" s="482"/>
      <c r="C19" s="482"/>
      <c r="D19" s="482"/>
      <c r="E19" s="482"/>
    </row>
    <row r="20" spans="1:5" ht="25.5">
      <c r="A20" s="138" t="s">
        <v>72</v>
      </c>
      <c r="B20" s="139" t="s">
        <v>73</v>
      </c>
      <c r="C20" s="139" t="s">
        <v>74</v>
      </c>
      <c r="D20" s="139" t="s">
        <v>75</v>
      </c>
      <c r="E20" s="140" t="s">
        <v>76</v>
      </c>
    </row>
    <row r="21" spans="1:5">
      <c r="A21" s="143" t="s">
        <v>81</v>
      </c>
      <c r="B21" s="144">
        <v>47.73</v>
      </c>
      <c r="C21" s="145">
        <v>6</v>
      </c>
      <c r="D21" s="145">
        <v>2</v>
      </c>
      <c r="E21" s="146">
        <f>(B21*D21)/6</f>
        <v>15.909999999999998</v>
      </c>
    </row>
    <row r="22" spans="1:5">
      <c r="A22" s="143" t="s">
        <v>82</v>
      </c>
      <c r="B22" s="144">
        <v>31.49</v>
      </c>
      <c r="C22" s="145">
        <v>6</v>
      </c>
      <c r="D22" s="145">
        <v>2</v>
      </c>
      <c r="E22" s="146">
        <f t="shared" ref="E22:E28" si="2">(B22*D22)/6</f>
        <v>10.496666666666666</v>
      </c>
    </row>
    <row r="23" spans="1:5">
      <c r="A23" s="143" t="s">
        <v>77</v>
      </c>
      <c r="B23" s="144">
        <v>5.2166666666666659</v>
      </c>
      <c r="C23" s="145">
        <v>1</v>
      </c>
      <c r="D23" s="145">
        <v>6</v>
      </c>
      <c r="E23" s="146">
        <f t="shared" si="2"/>
        <v>5.2166666666666659</v>
      </c>
    </row>
    <row r="24" spans="1:5">
      <c r="A24" s="143" t="s">
        <v>83</v>
      </c>
      <c r="B24" s="144">
        <v>7.2633333333333328</v>
      </c>
      <c r="C24" s="145">
        <v>6</v>
      </c>
      <c r="D24" s="145">
        <v>2</v>
      </c>
      <c r="E24" s="146">
        <f t="shared" si="2"/>
        <v>2.4211111111111108</v>
      </c>
    </row>
    <row r="25" spans="1:5">
      <c r="A25" s="361" t="s">
        <v>856</v>
      </c>
      <c r="B25" s="362">
        <v>6.6500000000000012</v>
      </c>
      <c r="C25" s="363">
        <v>6</v>
      </c>
      <c r="D25" s="363">
        <v>2</v>
      </c>
      <c r="E25" s="146">
        <f t="shared" si="2"/>
        <v>2.2166666666666672</v>
      </c>
    </row>
    <row r="26" spans="1:5">
      <c r="A26" s="143" t="s">
        <v>84</v>
      </c>
      <c r="B26" s="144">
        <v>4.5266666666666664</v>
      </c>
      <c r="C26" s="145">
        <v>6</v>
      </c>
      <c r="D26" s="145">
        <v>2</v>
      </c>
      <c r="E26" s="146">
        <f t="shared" si="2"/>
        <v>1.5088888888888887</v>
      </c>
    </row>
    <row r="27" spans="1:5">
      <c r="A27" s="143" t="s">
        <v>89</v>
      </c>
      <c r="B27" s="144">
        <v>1.3533333333333333</v>
      </c>
      <c r="C27" s="145">
        <v>6</v>
      </c>
      <c r="D27" s="145">
        <v>2</v>
      </c>
      <c r="E27" s="146">
        <f t="shared" si="2"/>
        <v>0.45111111111111107</v>
      </c>
    </row>
    <row r="28" spans="1:5">
      <c r="A28" s="143" t="s">
        <v>85</v>
      </c>
      <c r="B28" s="144">
        <v>20.443333333333332</v>
      </c>
      <c r="C28" s="145">
        <v>12</v>
      </c>
      <c r="D28" s="145">
        <v>1</v>
      </c>
      <c r="E28" s="146">
        <f t="shared" si="2"/>
        <v>3.4072222222222219</v>
      </c>
    </row>
    <row r="29" spans="1:5" ht="13.5" thickBot="1">
      <c r="A29" s="483" t="s">
        <v>79</v>
      </c>
      <c r="B29" s="483"/>
      <c r="C29" s="483"/>
      <c r="D29" s="483"/>
      <c r="E29" s="147">
        <f>SUM(E21:E28)</f>
        <v>41.628333333333337</v>
      </c>
    </row>
    <row r="30" spans="1:5" ht="13.5" thickBot="1"/>
    <row r="31" spans="1:5" s="289" customFormat="1" ht="13.5" thickBot="1">
      <c r="A31" s="477" t="s">
        <v>877</v>
      </c>
      <c r="B31" s="478"/>
      <c r="C31" s="478"/>
      <c r="D31" s="478"/>
      <c r="E31" s="479"/>
    </row>
    <row r="32" spans="1:5" s="289" customFormat="1" ht="25.5">
      <c r="A32" s="290" t="s">
        <v>72</v>
      </c>
      <c r="B32" s="291" t="s">
        <v>73</v>
      </c>
      <c r="C32" s="291" t="s">
        <v>74</v>
      </c>
      <c r="D32" s="291" t="s">
        <v>75</v>
      </c>
      <c r="E32" s="292" t="s">
        <v>76</v>
      </c>
    </row>
    <row r="33" spans="1:5" s="289" customFormat="1">
      <c r="A33" s="293" t="s">
        <v>80</v>
      </c>
      <c r="B33" s="144">
        <v>24.75333333333333</v>
      </c>
      <c r="C33" s="145">
        <v>12</v>
      </c>
      <c r="D33" s="145">
        <v>2</v>
      </c>
      <c r="E33" s="294">
        <f>(B33*D33)/6</f>
        <v>8.2511111111111095</v>
      </c>
    </row>
    <row r="34" spans="1:5" s="289" customFormat="1">
      <c r="A34" s="293" t="s">
        <v>820</v>
      </c>
      <c r="B34" s="144">
        <v>42.72</v>
      </c>
      <c r="C34" s="145">
        <v>12</v>
      </c>
      <c r="D34" s="145">
        <v>2</v>
      </c>
      <c r="E34" s="294">
        <f t="shared" ref="E34:E36" si="3">(B34*D34)/6</f>
        <v>14.24</v>
      </c>
    </row>
    <row r="35" spans="1:5" s="289" customFormat="1">
      <c r="A35" s="293" t="s">
        <v>77</v>
      </c>
      <c r="B35" s="144">
        <v>5.2166666666666659</v>
      </c>
      <c r="C35" s="145">
        <v>1</v>
      </c>
      <c r="D35" s="145">
        <v>6</v>
      </c>
      <c r="E35" s="294">
        <f t="shared" si="3"/>
        <v>5.2166666666666659</v>
      </c>
    </row>
    <row r="36" spans="1:5" s="289" customFormat="1">
      <c r="A36" s="295" t="s">
        <v>78</v>
      </c>
      <c r="B36" s="144">
        <v>59.980000000000004</v>
      </c>
      <c r="C36" s="145">
        <v>12</v>
      </c>
      <c r="D36" s="145">
        <v>1</v>
      </c>
      <c r="E36" s="294">
        <f t="shared" si="3"/>
        <v>9.9966666666666679</v>
      </c>
    </row>
    <row r="37" spans="1:5" s="289" customFormat="1" ht="13.5" thickBot="1">
      <c r="A37" s="480" t="s">
        <v>79</v>
      </c>
      <c r="B37" s="481"/>
      <c r="C37" s="481"/>
      <c r="D37" s="481"/>
      <c r="E37" s="147">
        <f>SUM(E33:E36)</f>
        <v>37.704444444444441</v>
      </c>
    </row>
  </sheetData>
  <sheetProtection selectLockedCells="1" selectUnlockedCells="1"/>
  <mergeCells count="9">
    <mergeCell ref="A31:E31"/>
    <mergeCell ref="A37:D37"/>
    <mergeCell ref="A19:E19"/>
    <mergeCell ref="A29:D29"/>
    <mergeCell ref="A1:E1"/>
    <mergeCell ref="A7:E7"/>
    <mergeCell ref="A6:D6"/>
    <mergeCell ref="A9:E9"/>
    <mergeCell ref="A17:D17"/>
  </mergeCells>
  <printOptions horizontalCentered="1" verticalCentered="1"/>
  <pageMargins left="0.39374999999999999" right="0.39374999999999999" top="0.39374999999999999" bottom="0.39374999999999999" header="0.51180555555555551" footer="0.51180555555555551"/>
  <pageSetup paperSize="9" firstPageNumber="0" orientation="portrait" horizontalDpi="300" verticalDpi="300" r:id="rId1"/>
  <headerFooter alignWithMargins="0"/>
  <rowBreaks count="1" manualBreakCount="1">
    <brk id="1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E119"/>
  <sheetViews>
    <sheetView view="pageBreakPreview" topLeftCell="A76" zoomScaleNormal="100" zoomScaleSheetLayoutView="100" workbookViewId="0">
      <selection activeCell="F124" sqref="F124"/>
    </sheetView>
  </sheetViews>
  <sheetFormatPr defaultColWidth="8.85546875" defaultRowHeight="12.75"/>
  <cols>
    <col min="1" max="1" width="64.42578125" customWidth="1"/>
    <col min="2" max="2" width="15.85546875" bestFit="1" customWidth="1"/>
    <col min="3" max="3" width="15" customWidth="1"/>
    <col min="4" max="4" width="22.7109375" customWidth="1"/>
    <col min="5" max="5" width="10.42578125" bestFit="1" customWidth="1"/>
  </cols>
  <sheetData>
    <row r="1" spans="1:5" ht="17.25" customHeight="1">
      <c r="A1" s="498" t="s">
        <v>872</v>
      </c>
      <c r="B1" s="498"/>
      <c r="C1" s="498"/>
    </row>
    <row r="3" spans="1:5">
      <c r="A3" s="33" t="s">
        <v>197</v>
      </c>
      <c r="B3" s="33">
        <v>220</v>
      </c>
    </row>
    <row r="4" spans="1:5">
      <c r="A4" s="33" t="s">
        <v>198</v>
      </c>
      <c r="B4" s="33">
        <v>365.25</v>
      </c>
    </row>
    <row r="5" spans="1:5">
      <c r="A5" s="33" t="s">
        <v>199</v>
      </c>
      <c r="B5" s="34">
        <v>21.74</v>
      </c>
    </row>
    <row r="6" spans="1:5">
      <c r="A6" s="35" t="s">
        <v>200</v>
      </c>
      <c r="B6" s="36">
        <f>'Nutricionista 5X2'!D13</f>
        <v>3220.8</v>
      </c>
    </row>
    <row r="7" spans="1:5">
      <c r="A7" s="35" t="s">
        <v>201</v>
      </c>
      <c r="B7" s="36">
        <f>'Nutricionista 5X2'!D20</f>
        <v>3220.8</v>
      </c>
    </row>
    <row r="9" spans="1:5">
      <c r="C9" s="37"/>
    </row>
    <row r="11" spans="1:5">
      <c r="A11" s="493" t="s">
        <v>202</v>
      </c>
      <c r="B11" s="493"/>
      <c r="C11" s="493"/>
    </row>
    <row r="12" spans="1:5">
      <c r="A12" s="33" t="s">
        <v>203</v>
      </c>
      <c r="B12" s="33">
        <f>+$B$4</f>
        <v>365.25</v>
      </c>
      <c r="C12" s="38"/>
    </row>
    <row r="13" spans="1:5">
      <c r="A13" s="33" t="s">
        <v>204</v>
      </c>
      <c r="B13" s="35">
        <v>12</v>
      </c>
      <c r="C13" s="38"/>
    </row>
    <row r="14" spans="1:5">
      <c r="A14" s="33" t="s">
        <v>205</v>
      </c>
      <c r="B14" s="39">
        <v>1</v>
      </c>
      <c r="C14" s="38"/>
      <c r="E14" s="74"/>
    </row>
    <row r="15" spans="1:5">
      <c r="A15" s="35" t="s">
        <v>206</v>
      </c>
      <c r="B15" s="40">
        <f>+B5</f>
        <v>21.74</v>
      </c>
      <c r="C15" s="38"/>
    </row>
    <row r="16" spans="1:5">
      <c r="A16" s="41" t="s">
        <v>207</v>
      </c>
      <c r="B16" s="42">
        <v>3.95</v>
      </c>
      <c r="C16" s="38"/>
    </row>
    <row r="17" spans="1:5">
      <c r="A17" s="33" t="s">
        <v>208</v>
      </c>
      <c r="B17" s="39">
        <v>0.06</v>
      </c>
      <c r="C17" s="38"/>
    </row>
    <row r="18" spans="1:5">
      <c r="A18" s="491" t="s">
        <v>209</v>
      </c>
      <c r="B18" s="492"/>
      <c r="C18" s="43">
        <f>IF(ROUND((B15*(B16*2)-($B$6*B17)),2)&gt;0,ROUND((B15*(B16*2)-($B$6*B17)),2),0)</f>
        <v>0</v>
      </c>
      <c r="E18" s="74"/>
    </row>
    <row r="20" spans="1:5">
      <c r="A20" s="493" t="s">
        <v>210</v>
      </c>
      <c r="B20" s="493"/>
      <c r="C20" s="493"/>
    </row>
    <row r="21" spans="1:5">
      <c r="A21" s="33" t="s">
        <v>36</v>
      </c>
      <c r="B21" s="36">
        <f>B7</f>
        <v>3220.8</v>
      </c>
      <c r="C21" s="38"/>
    </row>
    <row r="22" spans="1:5">
      <c r="A22" s="33" t="s">
        <v>211</v>
      </c>
      <c r="B22" s="33">
        <v>12</v>
      </c>
      <c r="C22" s="38"/>
    </row>
    <row r="23" spans="1:5">
      <c r="A23" s="44" t="s">
        <v>212</v>
      </c>
      <c r="B23" s="45">
        <v>0.1</v>
      </c>
      <c r="C23" s="38"/>
    </row>
    <row r="24" spans="1:5">
      <c r="A24" s="485" t="s">
        <v>213</v>
      </c>
      <c r="B24" s="485"/>
      <c r="C24" s="43">
        <f>ROUND(+(B21/B22)*B23,2)</f>
        <v>26.84</v>
      </c>
    </row>
    <row r="26" spans="1:5">
      <c r="A26" s="494" t="s">
        <v>214</v>
      </c>
      <c r="B26" s="495"/>
      <c r="C26" s="496"/>
    </row>
    <row r="27" spans="1:5" s="47" customFormat="1">
      <c r="A27" s="46" t="s">
        <v>215</v>
      </c>
      <c r="B27" s="45">
        <f>+B23</f>
        <v>0.1</v>
      </c>
      <c r="C27" s="38"/>
    </row>
    <row r="28" spans="1:5">
      <c r="A28" s="33" t="s">
        <v>216</v>
      </c>
      <c r="B28" s="36">
        <f>'Nutricionista 5X2'!D20</f>
        <v>3220.8</v>
      </c>
      <c r="C28" s="38"/>
    </row>
    <row r="29" spans="1:5">
      <c r="A29" s="33" t="s">
        <v>217</v>
      </c>
      <c r="B29" s="36">
        <f>'Nutricionista 5X2'!D26</f>
        <v>268.39999999999998</v>
      </c>
      <c r="C29" s="38"/>
    </row>
    <row r="30" spans="1:5">
      <c r="A30" s="48" t="s">
        <v>218</v>
      </c>
      <c r="B30" s="36">
        <f>'Nutricionista 5X2'!D28</f>
        <v>268.39999999999998</v>
      </c>
      <c r="C30" s="38"/>
    </row>
    <row r="31" spans="1:5">
      <c r="A31" s="48" t="s">
        <v>59</v>
      </c>
      <c r="B31" s="36">
        <f>'Nutricionista 5X2'!D29</f>
        <v>89.47</v>
      </c>
      <c r="C31" s="38"/>
    </row>
    <row r="32" spans="1:5">
      <c r="A32" s="49" t="s">
        <v>219</v>
      </c>
      <c r="B32" s="50">
        <f>SUM(B28:B31)</f>
        <v>3847.07</v>
      </c>
      <c r="C32" s="38"/>
    </row>
    <row r="33" spans="1:3">
      <c r="A33" s="51" t="s">
        <v>220</v>
      </c>
      <c r="B33" s="39">
        <v>0.4</v>
      </c>
      <c r="C33" s="38"/>
    </row>
    <row r="34" spans="1:3">
      <c r="A34" s="51" t="s">
        <v>221</v>
      </c>
      <c r="B34" s="39">
        <v>0.08</v>
      </c>
      <c r="C34" s="38"/>
    </row>
    <row r="35" spans="1:3">
      <c r="A35" s="490" t="s">
        <v>222</v>
      </c>
      <c r="B35" s="490"/>
      <c r="C35" s="52">
        <f>ROUND(+B32*B33*B34*B27,2)</f>
        <v>12.31</v>
      </c>
    </row>
    <row r="36" spans="1:3">
      <c r="A36" s="51" t="s">
        <v>223</v>
      </c>
      <c r="B36" s="39">
        <v>0.1</v>
      </c>
      <c r="C36" s="38"/>
    </row>
    <row r="37" spans="1:3">
      <c r="A37" s="490" t="s">
        <v>224</v>
      </c>
      <c r="B37" s="490"/>
      <c r="C37" s="53">
        <f>ROUND(B36*B34*B32*B27,2)</f>
        <v>3.08</v>
      </c>
    </row>
    <row r="38" spans="1:3">
      <c r="A38" s="491" t="s">
        <v>225</v>
      </c>
      <c r="B38" s="492"/>
      <c r="C38" s="54">
        <f>+C37+C35</f>
        <v>15.39</v>
      </c>
    </row>
    <row r="40" spans="1:3">
      <c r="A40" s="493" t="s">
        <v>226</v>
      </c>
      <c r="B40" s="493"/>
      <c r="C40" s="493"/>
    </row>
    <row r="41" spans="1:3">
      <c r="A41" s="33" t="s">
        <v>36</v>
      </c>
      <c r="B41" s="36">
        <f>'Nutricionista 5X2'!D20</f>
        <v>3220.8</v>
      </c>
      <c r="C41" s="38"/>
    </row>
    <row r="42" spans="1:3">
      <c r="A42" s="33" t="s">
        <v>227</v>
      </c>
      <c r="B42" s="55">
        <v>30</v>
      </c>
      <c r="C42" s="38"/>
    </row>
    <row r="43" spans="1:3">
      <c r="A43" s="33" t="s">
        <v>211</v>
      </c>
      <c r="B43" s="33">
        <v>12</v>
      </c>
      <c r="C43" s="38"/>
    </row>
    <row r="44" spans="1:3">
      <c r="A44" s="33" t="s">
        <v>228</v>
      </c>
      <c r="B44" s="33">
        <v>7</v>
      </c>
      <c r="C44" s="38"/>
    </row>
    <row r="45" spans="1:3">
      <c r="A45" s="44" t="s">
        <v>229</v>
      </c>
      <c r="B45" s="45">
        <v>0.1</v>
      </c>
      <c r="C45" s="38"/>
    </row>
    <row r="46" spans="1:3">
      <c r="A46" s="485" t="s">
        <v>230</v>
      </c>
      <c r="B46" s="485"/>
      <c r="C46" s="43">
        <f>+ROUND(((B41/B42/B43)*B44)*B45,2)</f>
        <v>6.26</v>
      </c>
    </row>
    <row r="48" spans="1:3">
      <c r="A48" s="494" t="s">
        <v>231</v>
      </c>
      <c r="B48" s="495"/>
      <c r="C48" s="496"/>
    </row>
    <row r="49" spans="1:3" ht="25.5">
      <c r="A49" s="56" t="s">
        <v>232</v>
      </c>
      <c r="B49" s="45">
        <f>+B45</f>
        <v>0.1</v>
      </c>
      <c r="C49" s="38"/>
    </row>
    <row r="50" spans="1:3">
      <c r="A50" s="33" t="s">
        <v>216</v>
      </c>
      <c r="B50" s="36">
        <f>'Nutricionista 5X2'!D20</f>
        <v>3220.8</v>
      </c>
      <c r="C50" s="38"/>
    </row>
    <row r="51" spans="1:3">
      <c r="A51" s="33" t="s">
        <v>217</v>
      </c>
      <c r="B51" s="36">
        <f>'Nutricionista 5X2'!D26</f>
        <v>268.39999999999998</v>
      </c>
      <c r="C51" s="38"/>
    </row>
    <row r="52" spans="1:3">
      <c r="A52" s="48" t="s">
        <v>218</v>
      </c>
      <c r="B52" s="36">
        <f>'Nutricionista 5X2'!D28</f>
        <v>268.39999999999998</v>
      </c>
      <c r="C52" s="38"/>
    </row>
    <row r="53" spans="1:3">
      <c r="A53" s="48" t="s">
        <v>59</v>
      </c>
      <c r="B53" s="36">
        <f>'Nutricionista 5X2'!D29</f>
        <v>89.47</v>
      </c>
      <c r="C53" s="38"/>
    </row>
    <row r="54" spans="1:3">
      <c r="A54" s="49" t="s">
        <v>219</v>
      </c>
      <c r="B54" s="50">
        <f>SUM(B50:B53)</f>
        <v>3847.07</v>
      </c>
      <c r="C54" s="38"/>
    </row>
    <row r="55" spans="1:3">
      <c r="A55" s="51" t="s">
        <v>220</v>
      </c>
      <c r="B55" s="39">
        <v>0.4</v>
      </c>
      <c r="C55" s="38"/>
    </row>
    <row r="56" spans="1:3">
      <c r="A56" s="51" t="s">
        <v>221</v>
      </c>
      <c r="B56" s="39">
        <v>0.08</v>
      </c>
      <c r="C56" s="38"/>
    </row>
    <row r="57" spans="1:3">
      <c r="A57" s="490" t="s">
        <v>222</v>
      </c>
      <c r="B57" s="490"/>
      <c r="C57" s="52">
        <f>ROUND(+B54*B55*B56*B49,2)</f>
        <v>12.31</v>
      </c>
    </row>
    <row r="58" spans="1:3">
      <c r="A58" s="51" t="s">
        <v>223</v>
      </c>
      <c r="B58" s="39">
        <v>0.1</v>
      </c>
      <c r="C58" s="38"/>
    </row>
    <row r="59" spans="1:3">
      <c r="A59" s="490" t="s">
        <v>224</v>
      </c>
      <c r="B59" s="490"/>
      <c r="C59" s="53">
        <f>ROUND(B58*B56*B54*B49,2)</f>
        <v>3.08</v>
      </c>
    </row>
    <row r="60" spans="1:3">
      <c r="A60" s="491" t="s">
        <v>233</v>
      </c>
      <c r="B60" s="492"/>
      <c r="C60" s="54">
        <f>+C59+C57</f>
        <v>15.39</v>
      </c>
    </row>
    <row r="62" spans="1:3">
      <c r="A62" s="494" t="s">
        <v>234</v>
      </c>
      <c r="B62" s="495"/>
      <c r="C62" s="496"/>
    </row>
    <row r="63" spans="1:3">
      <c r="A63" s="497" t="s">
        <v>235</v>
      </c>
      <c r="B63" s="497"/>
      <c r="C63" s="497"/>
    </row>
    <row r="64" spans="1:3">
      <c r="A64" s="497"/>
      <c r="B64" s="497"/>
      <c r="C64" s="497"/>
    </row>
    <row r="65" spans="1:3">
      <c r="A65" s="497"/>
      <c r="B65" s="497"/>
      <c r="C65" s="497"/>
    </row>
    <row r="66" spans="1:3">
      <c r="A66" s="497"/>
      <c r="B66" s="497"/>
      <c r="C66" s="497"/>
    </row>
    <row r="67" spans="1:3">
      <c r="A67" s="57"/>
      <c r="B67" s="57"/>
      <c r="C67" s="57"/>
    </row>
    <row r="68" spans="1:3">
      <c r="A68" s="486" t="s">
        <v>236</v>
      </c>
      <c r="B68" s="486"/>
      <c r="C68" s="486"/>
    </row>
    <row r="69" spans="1:3">
      <c r="A69" s="33" t="s">
        <v>237</v>
      </c>
      <c r="B69" s="36">
        <f>+$B$7</f>
        <v>3220.8</v>
      </c>
      <c r="C69" s="38"/>
    </row>
    <row r="70" spans="1:3">
      <c r="A70" s="33" t="s">
        <v>204</v>
      </c>
      <c r="B70" s="33">
        <v>30</v>
      </c>
      <c r="C70" s="38"/>
    </row>
    <row r="71" spans="1:3">
      <c r="A71" s="33" t="s">
        <v>238</v>
      </c>
      <c r="B71" s="33">
        <v>12</v>
      </c>
      <c r="C71" s="38"/>
    </row>
    <row r="72" spans="1:3">
      <c r="A72" s="44" t="s">
        <v>239</v>
      </c>
      <c r="B72" s="44">
        <v>1</v>
      </c>
      <c r="C72" s="38"/>
    </row>
    <row r="73" spans="1:3">
      <c r="A73" s="485" t="s">
        <v>240</v>
      </c>
      <c r="B73" s="485"/>
      <c r="C73" s="58">
        <f>+ROUND((B69/B70/B71)*B72,2)</f>
        <v>8.9499999999999993</v>
      </c>
    </row>
    <row r="75" spans="1:3">
      <c r="A75" s="486" t="s">
        <v>241</v>
      </c>
      <c r="B75" s="486"/>
      <c r="C75" s="486"/>
    </row>
    <row r="76" spans="1:3">
      <c r="A76" s="33" t="s">
        <v>237</v>
      </c>
      <c r="B76" s="36">
        <f>+$B$7</f>
        <v>3220.8</v>
      </c>
      <c r="C76" s="38"/>
    </row>
    <row r="77" spans="1:3">
      <c r="A77" s="33" t="s">
        <v>204</v>
      </c>
      <c r="B77" s="33">
        <v>30</v>
      </c>
      <c r="C77" s="38"/>
    </row>
    <row r="78" spans="1:3">
      <c r="A78" s="33" t="s">
        <v>238</v>
      </c>
      <c r="B78" s="33">
        <v>12</v>
      </c>
      <c r="C78" s="38"/>
    </row>
    <row r="79" spans="1:3">
      <c r="A79" s="35" t="s">
        <v>242</v>
      </c>
      <c r="B79" s="33">
        <v>5</v>
      </c>
      <c r="C79" s="38"/>
    </row>
    <row r="80" spans="1:3">
      <c r="A80" s="44" t="s">
        <v>243</v>
      </c>
      <c r="B80" s="45">
        <v>1.4999999999999999E-2</v>
      </c>
      <c r="C80" s="38"/>
    </row>
    <row r="81" spans="1:5">
      <c r="A81" s="59" t="s">
        <v>244</v>
      </c>
      <c r="B81" s="39">
        <v>9.6100000000000005E-2</v>
      </c>
      <c r="C81" s="38"/>
    </row>
    <row r="82" spans="1:5">
      <c r="A82" s="485" t="s">
        <v>245</v>
      </c>
      <c r="B82" s="485"/>
      <c r="C82" s="43">
        <f>ROUND(+B76/B77/B78*B79*B80*B81,2)</f>
        <v>0.06</v>
      </c>
      <c r="E82" s="1"/>
    </row>
    <row r="84" spans="1:5">
      <c r="A84" s="486" t="s">
        <v>246</v>
      </c>
      <c r="B84" s="486"/>
      <c r="C84" s="486"/>
    </row>
    <row r="85" spans="1:5">
      <c r="A85" s="33" t="s">
        <v>237</v>
      </c>
      <c r="B85" s="36">
        <f>+$B$7</f>
        <v>3220.8</v>
      </c>
      <c r="C85" s="38"/>
    </row>
    <row r="86" spans="1:5">
      <c r="A86" s="33" t="s">
        <v>204</v>
      </c>
      <c r="B86" s="33">
        <v>30</v>
      </c>
      <c r="C86" s="38"/>
    </row>
    <row r="87" spans="1:5">
      <c r="A87" s="33" t="s">
        <v>238</v>
      </c>
      <c r="B87" s="33">
        <v>12</v>
      </c>
      <c r="C87" s="38"/>
    </row>
    <row r="88" spans="1:5">
      <c r="A88" s="35" t="s">
        <v>247</v>
      </c>
      <c r="B88" s="33">
        <v>15</v>
      </c>
      <c r="C88" s="38"/>
    </row>
    <row r="89" spans="1:5">
      <c r="A89" s="44" t="s">
        <v>248</v>
      </c>
      <c r="B89" s="45">
        <v>1.4999999999999999E-2</v>
      </c>
      <c r="C89" s="38"/>
    </row>
    <row r="90" spans="1:5">
      <c r="A90" s="485" t="s">
        <v>249</v>
      </c>
      <c r="B90" s="485"/>
      <c r="C90" s="43">
        <f>ROUND(+B85/B86/B87*B88*B89,2)</f>
        <v>2.0099999999999998</v>
      </c>
    </row>
    <row r="92" spans="1:5">
      <c r="A92" s="486" t="s">
        <v>250</v>
      </c>
      <c r="B92" s="486"/>
      <c r="C92" s="486"/>
    </row>
    <row r="93" spans="1:5">
      <c r="A93" s="33" t="s">
        <v>237</v>
      </c>
      <c r="B93" s="36">
        <f>+$B$7</f>
        <v>3220.8</v>
      </c>
      <c r="C93" s="38"/>
    </row>
    <row r="94" spans="1:5">
      <c r="A94" s="33" t="s">
        <v>204</v>
      </c>
      <c r="B94" s="33">
        <v>30</v>
      </c>
      <c r="C94" s="38"/>
    </row>
    <row r="95" spans="1:5">
      <c r="A95" s="33" t="s">
        <v>238</v>
      </c>
      <c r="B95" s="33">
        <v>12</v>
      </c>
      <c r="C95" s="38"/>
    </row>
    <row r="96" spans="1:5">
      <c r="A96" s="35" t="s">
        <v>247</v>
      </c>
      <c r="B96" s="33">
        <v>5</v>
      </c>
      <c r="C96" s="38"/>
    </row>
    <row r="97" spans="1:3">
      <c r="A97" s="44" t="s">
        <v>251</v>
      </c>
      <c r="B97" s="45">
        <v>0.4</v>
      </c>
      <c r="C97" s="38"/>
    </row>
    <row r="98" spans="1:3">
      <c r="A98" s="485" t="s">
        <v>252</v>
      </c>
      <c r="B98" s="485"/>
      <c r="C98" s="43">
        <f>ROUND(+B93/B94/B95*B96*B97,2)</f>
        <v>17.89</v>
      </c>
    </row>
    <row r="100" spans="1:3">
      <c r="A100" s="486" t="s">
        <v>253</v>
      </c>
      <c r="B100" s="486"/>
      <c r="C100" s="486"/>
    </row>
    <row r="101" spans="1:3">
      <c r="A101" s="487" t="s">
        <v>254</v>
      </c>
      <c r="B101" s="488"/>
      <c r="C101" s="489"/>
    </row>
    <row r="102" spans="1:3">
      <c r="A102" s="33" t="s">
        <v>237</v>
      </c>
      <c r="B102" s="36">
        <f>+$B$7</f>
        <v>3220.8</v>
      </c>
      <c r="C102" s="38"/>
    </row>
    <row r="103" spans="1:3">
      <c r="A103" s="33" t="s">
        <v>255</v>
      </c>
      <c r="B103" s="36">
        <f>+B102*(1/3)</f>
        <v>1073.5999999999999</v>
      </c>
      <c r="C103" s="38"/>
    </row>
    <row r="104" spans="1:3">
      <c r="A104" s="49" t="s">
        <v>219</v>
      </c>
      <c r="B104" s="50">
        <f>SUM(B102:B103)</f>
        <v>4294.3999999999996</v>
      </c>
      <c r="C104" s="38"/>
    </row>
    <row r="105" spans="1:3">
      <c r="A105" s="33" t="s">
        <v>256</v>
      </c>
      <c r="B105" s="33">
        <v>4</v>
      </c>
      <c r="C105" s="38"/>
    </row>
    <row r="106" spans="1:3">
      <c r="A106" s="33" t="s">
        <v>238</v>
      </c>
      <c r="B106" s="33">
        <v>12</v>
      </c>
      <c r="C106" s="38"/>
    </row>
    <row r="107" spans="1:3">
      <c r="A107" s="44" t="s">
        <v>257</v>
      </c>
      <c r="B107" s="45">
        <v>0.02</v>
      </c>
      <c r="C107" s="38"/>
    </row>
    <row r="108" spans="1:3">
      <c r="A108" s="35" t="s">
        <v>258</v>
      </c>
      <c r="B108" s="39">
        <f>1-B81</f>
        <v>0.90390000000000004</v>
      </c>
      <c r="C108" s="38"/>
    </row>
    <row r="109" spans="1:3">
      <c r="A109" s="485" t="s">
        <v>259</v>
      </c>
      <c r="B109" s="485"/>
      <c r="C109" s="43">
        <f>ROUND((((+B104*(B105/B106)/B106)*B107)*B108),2)</f>
        <v>2.16</v>
      </c>
    </row>
    <row r="110" spans="1:3">
      <c r="A110" s="485" t="s">
        <v>260</v>
      </c>
      <c r="B110" s="485"/>
      <c r="C110" s="485"/>
    </row>
    <row r="111" spans="1:3">
      <c r="A111" s="33" t="s">
        <v>237</v>
      </c>
      <c r="B111" s="36">
        <f>'Nutricionista 5X2'!D20</f>
        <v>3220.8</v>
      </c>
      <c r="C111" s="38"/>
    </row>
    <row r="112" spans="1:3">
      <c r="A112" s="33" t="s">
        <v>217</v>
      </c>
      <c r="B112" s="36">
        <f>'Nutricionista 5X2'!D26</f>
        <v>268.39999999999998</v>
      </c>
      <c r="C112" s="38"/>
    </row>
    <row r="113" spans="1:4">
      <c r="A113" s="49" t="s">
        <v>219</v>
      </c>
      <c r="B113" s="50">
        <f>SUM(B111:B112)</f>
        <v>3489.2000000000003</v>
      </c>
      <c r="C113" s="38"/>
    </row>
    <row r="114" spans="1:4">
      <c r="A114" s="33" t="s">
        <v>256</v>
      </c>
      <c r="B114" s="33">
        <v>4</v>
      </c>
      <c r="C114" s="38"/>
    </row>
    <row r="115" spans="1:4">
      <c r="A115" s="33" t="s">
        <v>238</v>
      </c>
      <c r="B115" s="33">
        <v>12</v>
      </c>
      <c r="C115" s="38"/>
    </row>
    <row r="116" spans="1:4">
      <c r="A116" s="44" t="s">
        <v>257</v>
      </c>
      <c r="B116" s="45">
        <v>0.02</v>
      </c>
      <c r="C116" s="38"/>
    </row>
    <row r="117" spans="1:4">
      <c r="A117" s="35" t="s">
        <v>258</v>
      </c>
      <c r="B117" s="39">
        <f>+B108</f>
        <v>0.90390000000000004</v>
      </c>
      <c r="C117" s="38"/>
    </row>
    <row r="118" spans="1:4">
      <c r="A118" s="35" t="s">
        <v>261</v>
      </c>
      <c r="B118" s="39">
        <f>'Nutricionista 5X2'!C42</f>
        <v>0.36800000000000005</v>
      </c>
      <c r="C118" s="38"/>
    </row>
    <row r="119" spans="1:4">
      <c r="A119" s="485" t="s">
        <v>262</v>
      </c>
      <c r="B119" s="485"/>
      <c r="C119" s="404">
        <v>0</v>
      </c>
      <c r="D119" t="s">
        <v>867</v>
      </c>
    </row>
  </sheetData>
  <mergeCells count="30">
    <mergeCell ref="A26:C26"/>
    <mergeCell ref="A1:C1"/>
    <mergeCell ref="A11:C11"/>
    <mergeCell ref="A18:B18"/>
    <mergeCell ref="A20:C20"/>
    <mergeCell ref="A24:B24"/>
    <mergeCell ref="A68:C68"/>
    <mergeCell ref="A35:B35"/>
    <mergeCell ref="A37:B37"/>
    <mergeCell ref="A38:B38"/>
    <mergeCell ref="A40:C40"/>
    <mergeCell ref="A46:B46"/>
    <mergeCell ref="A48:C48"/>
    <mergeCell ref="A57:B57"/>
    <mergeCell ref="A59:B59"/>
    <mergeCell ref="A60:B60"/>
    <mergeCell ref="A62:C62"/>
    <mergeCell ref="A63:C66"/>
    <mergeCell ref="A119:B119"/>
    <mergeCell ref="A73:B73"/>
    <mergeCell ref="A75:C75"/>
    <mergeCell ref="A82:B82"/>
    <mergeCell ref="A84:C84"/>
    <mergeCell ref="A90:B90"/>
    <mergeCell ref="A92:C92"/>
    <mergeCell ref="A98:B98"/>
    <mergeCell ref="A100:C100"/>
    <mergeCell ref="A101:C101"/>
    <mergeCell ref="A109:B109"/>
    <mergeCell ref="A110:C11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66"/>
  </sheetPr>
  <dimension ref="A1:F185"/>
  <sheetViews>
    <sheetView topLeftCell="B25" workbookViewId="0">
      <selection activeCell="F59" sqref="F59"/>
    </sheetView>
  </sheetViews>
  <sheetFormatPr defaultColWidth="8.85546875" defaultRowHeight="12.75"/>
  <cols>
    <col min="1" max="1" width="5.42578125" customWidth="1"/>
    <col min="2" max="2" width="50.42578125" customWidth="1"/>
    <col min="3" max="3" width="9.42578125" bestFit="1" customWidth="1"/>
    <col min="4" max="4" width="15.42578125" customWidth="1"/>
    <col min="5" max="5" width="38.28515625" customWidth="1"/>
    <col min="6" max="6" width="9.42578125" bestFit="1" customWidth="1"/>
  </cols>
  <sheetData>
    <row r="1" spans="1:6">
      <c r="A1" s="536" t="s">
        <v>263</v>
      </c>
      <c r="B1" s="537"/>
      <c r="C1" s="537"/>
      <c r="D1" s="538"/>
      <c r="E1" s="60"/>
      <c r="F1" s="60"/>
    </row>
    <row r="4" spans="1:6">
      <c r="A4" s="510" t="s">
        <v>264</v>
      </c>
      <c r="B4" s="510"/>
      <c r="C4" s="510"/>
      <c r="D4" s="510"/>
    </row>
    <row r="5" spans="1:6" s="63" customFormat="1" ht="42.75" customHeight="1">
      <c r="A5" s="61">
        <v>1</v>
      </c>
      <c r="B5" s="62" t="s">
        <v>265</v>
      </c>
      <c r="C5" s="539" t="s">
        <v>871</v>
      </c>
      <c r="D5" s="540"/>
    </row>
    <row r="6" spans="1:6" s="63" customFormat="1">
      <c r="A6" s="61">
        <v>2</v>
      </c>
      <c r="B6" s="62" t="s">
        <v>266</v>
      </c>
      <c r="C6" s="541"/>
      <c r="D6" s="542"/>
    </row>
    <row r="7" spans="1:6" s="63" customFormat="1" ht="38.25">
      <c r="A7" s="61">
        <v>3</v>
      </c>
      <c r="B7" s="62" t="s">
        <v>267</v>
      </c>
      <c r="C7" s="543">
        <v>3220.8</v>
      </c>
      <c r="D7" s="543"/>
      <c r="E7" s="366" t="s">
        <v>866</v>
      </c>
    </row>
    <row r="8" spans="1:6" s="63" customFormat="1" ht="41.25" customHeight="1">
      <c r="A8" s="61">
        <v>4</v>
      </c>
      <c r="B8" s="62" t="s">
        <v>268</v>
      </c>
      <c r="C8" s="530"/>
      <c r="D8" s="531"/>
    </row>
    <row r="9" spans="1:6" s="63" customFormat="1">
      <c r="A9" s="61">
        <v>5</v>
      </c>
      <c r="B9" s="62" t="s">
        <v>269</v>
      </c>
      <c r="C9" s="544">
        <v>43374</v>
      </c>
      <c r="D9" s="545"/>
    </row>
    <row r="10" spans="1:6">
      <c r="D10" s="64"/>
    </row>
    <row r="11" spans="1:6">
      <c r="A11" s="511" t="s">
        <v>270</v>
      </c>
      <c r="B11" s="511"/>
      <c r="C11" s="511"/>
      <c r="D11" s="511"/>
    </row>
    <row r="12" spans="1:6">
      <c r="A12" s="65">
        <v>1</v>
      </c>
      <c r="B12" s="66" t="s">
        <v>24</v>
      </c>
      <c r="C12" s="67" t="s">
        <v>51</v>
      </c>
      <c r="D12" s="68" t="s">
        <v>25</v>
      </c>
    </row>
    <row r="13" spans="1:6" ht="38.25">
      <c r="A13" s="69" t="s">
        <v>4</v>
      </c>
      <c r="B13" s="509" t="s">
        <v>200</v>
      </c>
      <c r="C13" s="509"/>
      <c r="D13" s="70">
        <f>C7</f>
        <v>3220.8</v>
      </c>
      <c r="E13" s="366" t="s">
        <v>866</v>
      </c>
    </row>
    <row r="14" spans="1:6">
      <c r="A14" s="69" t="s">
        <v>6</v>
      </c>
      <c r="B14" s="72" t="s">
        <v>271</v>
      </c>
      <c r="C14" s="73"/>
      <c r="D14" s="70"/>
      <c r="E14" s="74"/>
    </row>
    <row r="15" spans="1:6">
      <c r="A15" s="69" t="s">
        <v>9</v>
      </c>
      <c r="B15" s="72" t="s">
        <v>272</v>
      </c>
      <c r="C15" s="73"/>
      <c r="D15" s="70"/>
    </row>
    <row r="16" spans="1:6">
      <c r="A16" s="75" t="s">
        <v>11</v>
      </c>
      <c r="B16" s="534" t="s">
        <v>26</v>
      </c>
      <c r="C16" s="535"/>
      <c r="D16" s="70"/>
    </row>
    <row r="17" spans="1:6">
      <c r="A17" s="75" t="s">
        <v>27</v>
      </c>
      <c r="B17" s="534" t="s">
        <v>28</v>
      </c>
      <c r="C17" s="535"/>
      <c r="D17" s="76"/>
    </row>
    <row r="18" spans="1:6">
      <c r="A18" s="75" t="s">
        <v>29</v>
      </c>
      <c r="B18" s="534" t="s">
        <v>30</v>
      </c>
      <c r="C18" s="535"/>
      <c r="D18" s="77"/>
      <c r="F18" s="78"/>
    </row>
    <row r="19" spans="1:6">
      <c r="A19" s="75" t="s">
        <v>31</v>
      </c>
      <c r="B19" s="509" t="s">
        <v>35</v>
      </c>
      <c r="C19" s="509"/>
      <c r="D19" s="77"/>
    </row>
    <row r="20" spans="1:6">
      <c r="A20" s="510" t="s">
        <v>57</v>
      </c>
      <c r="B20" s="510"/>
      <c r="C20" s="510"/>
      <c r="D20" s="79">
        <f>SUM(D13:D19)</f>
        <v>3220.8</v>
      </c>
    </row>
    <row r="22" spans="1:6">
      <c r="A22" s="506" t="s">
        <v>273</v>
      </c>
      <c r="B22" s="507"/>
      <c r="C22" s="507"/>
      <c r="D22" s="507"/>
    </row>
    <row r="24" spans="1:6">
      <c r="A24" s="511" t="s">
        <v>274</v>
      </c>
      <c r="B24" s="511"/>
      <c r="C24" s="511"/>
      <c r="D24" s="511"/>
    </row>
    <row r="25" spans="1:6">
      <c r="A25" s="80" t="s">
        <v>275</v>
      </c>
      <c r="B25" s="81" t="s">
        <v>276</v>
      </c>
      <c r="C25" s="67" t="s">
        <v>51</v>
      </c>
      <c r="D25" s="67" t="s">
        <v>25</v>
      </c>
    </row>
    <row r="26" spans="1:6">
      <c r="A26" s="69" t="s">
        <v>4</v>
      </c>
      <c r="B26" s="33" t="s">
        <v>217</v>
      </c>
      <c r="C26" s="82">
        <f>ROUND(+D26/$D$20,4)</f>
        <v>8.3299999999999999E-2</v>
      </c>
      <c r="D26" s="77">
        <f>ROUND(+D20/12,2)</f>
        <v>268.39999999999998</v>
      </c>
    </row>
    <row r="27" spans="1:6">
      <c r="A27" s="83" t="s">
        <v>6</v>
      </c>
      <c r="B27" s="84" t="s">
        <v>277</v>
      </c>
      <c r="C27" s="85">
        <f>ROUND(+D27/$D$20,4)</f>
        <v>0.1111</v>
      </c>
      <c r="D27" s="86">
        <f>+D28+D29</f>
        <v>357.87</v>
      </c>
    </row>
    <row r="28" spans="1:6">
      <c r="A28" s="69" t="s">
        <v>40</v>
      </c>
      <c r="B28" s="87" t="s">
        <v>218</v>
      </c>
      <c r="C28" s="88">
        <f>ROUND(+D28/$D$20,4)</f>
        <v>8.3299999999999999E-2</v>
      </c>
      <c r="D28" s="89">
        <f>ROUND(+D20/12,2)</f>
        <v>268.39999999999998</v>
      </c>
    </row>
    <row r="29" spans="1:6">
      <c r="A29" s="69" t="s">
        <v>278</v>
      </c>
      <c r="B29" s="87" t="s">
        <v>59</v>
      </c>
      <c r="C29" s="88">
        <f>ROUND(+D29/$D$20,4)</f>
        <v>2.7799999999999998E-2</v>
      </c>
      <c r="D29" s="89">
        <f>ROUND(+(D20*1/3)/12,2)</f>
        <v>89.47</v>
      </c>
    </row>
    <row r="30" spans="1:6">
      <c r="A30" s="510" t="s">
        <v>57</v>
      </c>
      <c r="B30" s="510"/>
      <c r="C30" s="510"/>
      <c r="D30" s="79">
        <f>+D27+D26</f>
        <v>626.27</v>
      </c>
    </row>
    <row r="32" spans="1:6">
      <c r="A32" s="533" t="s">
        <v>279</v>
      </c>
      <c r="B32" s="533"/>
      <c r="C32" s="533"/>
      <c r="D32" s="533"/>
    </row>
    <row r="33" spans="1:6">
      <c r="A33" s="80" t="s">
        <v>280</v>
      </c>
      <c r="B33" s="81" t="s">
        <v>281</v>
      </c>
      <c r="C33" s="67" t="s">
        <v>51</v>
      </c>
      <c r="D33" s="67" t="s">
        <v>25</v>
      </c>
    </row>
    <row r="34" spans="1:6">
      <c r="A34" s="69" t="s">
        <v>4</v>
      </c>
      <c r="B34" s="33" t="s">
        <v>52</v>
      </c>
      <c r="C34" s="39">
        <v>0.2</v>
      </c>
      <c r="D34" s="36">
        <f>ROUND(C34*($D$20+$D$30),2)</f>
        <v>769.41</v>
      </c>
    </row>
    <row r="35" spans="1:6">
      <c r="A35" s="69" t="s">
        <v>6</v>
      </c>
      <c r="B35" s="33" t="s">
        <v>54</v>
      </c>
      <c r="C35" s="39">
        <v>2.5000000000000001E-2</v>
      </c>
      <c r="D35" s="36">
        <f t="shared" ref="D35:D40" si="0">ROUND(C35*($D$20+$D$30),2)</f>
        <v>96.18</v>
      </c>
    </row>
    <row r="36" spans="1:6">
      <c r="A36" s="69" t="s">
        <v>9</v>
      </c>
      <c r="B36" s="33" t="s">
        <v>282</v>
      </c>
      <c r="C36" s="39">
        <v>0.03</v>
      </c>
      <c r="D36" s="36">
        <f t="shared" si="0"/>
        <v>115.41</v>
      </c>
    </row>
    <row r="37" spans="1:6">
      <c r="A37" s="69" t="s">
        <v>11</v>
      </c>
      <c r="B37" s="33" t="s">
        <v>283</v>
      </c>
      <c r="C37" s="39">
        <v>1.4999999999999999E-2</v>
      </c>
      <c r="D37" s="36">
        <f t="shared" si="0"/>
        <v>57.71</v>
      </c>
    </row>
    <row r="38" spans="1:6">
      <c r="A38" s="69" t="s">
        <v>27</v>
      </c>
      <c r="B38" s="33" t="s">
        <v>284</v>
      </c>
      <c r="C38" s="39">
        <v>0.01</v>
      </c>
      <c r="D38" s="36">
        <f t="shared" si="0"/>
        <v>38.47</v>
      </c>
    </row>
    <row r="39" spans="1:6">
      <c r="A39" s="69" t="s">
        <v>29</v>
      </c>
      <c r="B39" s="33" t="s">
        <v>56</v>
      </c>
      <c r="C39" s="39">
        <v>6.0000000000000001E-3</v>
      </c>
      <c r="D39" s="36">
        <f t="shared" si="0"/>
        <v>23.08</v>
      </c>
    </row>
    <row r="40" spans="1:6">
      <c r="A40" s="69" t="s">
        <v>31</v>
      </c>
      <c r="B40" s="33" t="s">
        <v>53</v>
      </c>
      <c r="C40" s="39">
        <v>2E-3</v>
      </c>
      <c r="D40" s="36">
        <f t="shared" si="0"/>
        <v>7.69</v>
      </c>
    </row>
    <row r="41" spans="1:6">
      <c r="A41" s="69" t="s">
        <v>33</v>
      </c>
      <c r="B41" s="33" t="s">
        <v>55</v>
      </c>
      <c r="C41" s="39">
        <v>0.08</v>
      </c>
      <c r="D41" s="36">
        <f>ROUND(C41*($D$20+$D$30),2)</f>
        <v>307.77</v>
      </c>
    </row>
    <row r="42" spans="1:6">
      <c r="A42" s="90" t="s">
        <v>57</v>
      </c>
      <c r="B42" s="91"/>
      <c r="C42" s="92">
        <f>SUM(C34:C41)</f>
        <v>0.36800000000000005</v>
      </c>
      <c r="D42" s="93">
        <f>SUM(D34:D41)</f>
        <v>1415.7199999999998</v>
      </c>
    </row>
    <row r="43" spans="1:6">
      <c r="A43" s="94"/>
      <c r="B43" s="94"/>
      <c r="C43" s="94"/>
      <c r="D43" s="94"/>
    </row>
    <row r="44" spans="1:6">
      <c r="A44" s="533" t="s">
        <v>285</v>
      </c>
      <c r="B44" s="533"/>
      <c r="C44" s="533"/>
      <c r="D44" s="533"/>
    </row>
    <row r="45" spans="1:6">
      <c r="A45" s="80" t="s">
        <v>286</v>
      </c>
      <c r="B45" s="81" t="s">
        <v>287</v>
      </c>
      <c r="C45" s="67"/>
      <c r="D45" s="67" t="s">
        <v>25</v>
      </c>
    </row>
    <row r="46" spans="1:6">
      <c r="A46" s="69" t="s">
        <v>4</v>
      </c>
      <c r="B46" s="33" t="s">
        <v>37</v>
      </c>
      <c r="C46" s="95"/>
      <c r="D46" s="36">
        <f>'Memória Cálculo Nutric. 5X2'!C18</f>
        <v>0</v>
      </c>
    </row>
    <row r="47" spans="1:6" s="47" customFormat="1">
      <c r="A47" s="61" t="s">
        <v>38</v>
      </c>
      <c r="B47" s="35" t="s">
        <v>39</v>
      </c>
      <c r="C47" s="82">
        <f>+$C$136+$C$137</f>
        <v>9.2499999999999999E-2</v>
      </c>
      <c r="D47" s="96">
        <f>+(C47*D46)*-1</f>
        <v>0</v>
      </c>
      <c r="F47" s="97"/>
    </row>
    <row r="48" spans="1:6">
      <c r="A48" s="61" t="s">
        <v>6</v>
      </c>
      <c r="B48" s="59" t="s">
        <v>288</v>
      </c>
      <c r="C48" s="95"/>
      <c r="D48" s="36">
        <f>(175-21)</f>
        <v>154</v>
      </c>
      <c r="F48" s="7"/>
    </row>
    <row r="49" spans="1:6" s="47" customFormat="1">
      <c r="A49" s="61" t="s">
        <v>40</v>
      </c>
      <c r="B49" s="35" t="s">
        <v>39</v>
      </c>
      <c r="C49" s="82">
        <f>+$C$136+$C$137</f>
        <v>9.2499999999999999E-2</v>
      </c>
      <c r="D49" s="96">
        <f>+(C49*D48)*-1</f>
        <v>-14.244999999999999</v>
      </c>
      <c r="F49" s="98"/>
    </row>
    <row r="50" spans="1:6">
      <c r="A50" s="99" t="s">
        <v>9</v>
      </c>
      <c r="B50" s="100" t="s">
        <v>289</v>
      </c>
      <c r="C50" s="95"/>
      <c r="D50" s="36">
        <v>0</v>
      </c>
      <c r="F50" s="7"/>
    </row>
    <row r="51" spans="1:6">
      <c r="A51" s="101" t="s">
        <v>41</v>
      </c>
      <c r="B51" s="35" t="s">
        <v>39</v>
      </c>
      <c r="C51" s="82">
        <f>+$C$136+$C$137</f>
        <v>9.2499999999999999E-2</v>
      </c>
      <c r="D51" s="96">
        <f>+(C51*D50)*-1</f>
        <v>0</v>
      </c>
      <c r="F51" s="7"/>
    </row>
    <row r="52" spans="1:6">
      <c r="A52" s="33" t="s">
        <v>11</v>
      </c>
      <c r="B52" s="100" t="s">
        <v>290</v>
      </c>
      <c r="C52" s="95"/>
      <c r="D52" s="36">
        <v>0</v>
      </c>
      <c r="F52" s="7"/>
    </row>
    <row r="53" spans="1:6">
      <c r="A53" s="101" t="s">
        <v>49</v>
      </c>
      <c r="B53" s="35" t="s">
        <v>39</v>
      </c>
      <c r="C53" s="82">
        <f>+$C$136+$C$137</f>
        <v>9.2499999999999999E-2</v>
      </c>
      <c r="D53" s="96">
        <f>+(C53*D52)*-1</f>
        <v>0</v>
      </c>
      <c r="F53" s="7"/>
    </row>
    <row r="54" spans="1:6">
      <c r="A54" s="33" t="s">
        <v>27</v>
      </c>
      <c r="B54" s="100" t="s">
        <v>291</v>
      </c>
      <c r="C54" s="95"/>
      <c r="D54" s="102">
        <f>573*0.02</f>
        <v>11.46</v>
      </c>
      <c r="F54" s="103"/>
    </row>
    <row r="55" spans="1:6">
      <c r="A55" s="101" t="s">
        <v>42</v>
      </c>
      <c r="B55" s="35" t="s">
        <v>39</v>
      </c>
      <c r="C55" s="82">
        <f>+$C$136+$C$137</f>
        <v>9.2499999999999999E-2</v>
      </c>
      <c r="D55" s="96">
        <f>+(C55*D54)*-1</f>
        <v>-1.0600500000000002</v>
      </c>
    </row>
    <row r="56" spans="1:6">
      <c r="A56" s="33" t="s">
        <v>29</v>
      </c>
      <c r="B56" s="100" t="s">
        <v>292</v>
      </c>
      <c r="C56" s="95"/>
      <c r="D56" s="36">
        <f>(C7*0.0325)/12*(0.7)</f>
        <v>6.1061000000000005</v>
      </c>
    </row>
    <row r="57" spans="1:6">
      <c r="A57" s="61" t="s">
        <v>44</v>
      </c>
      <c r="B57" s="35" t="s">
        <v>39</v>
      </c>
      <c r="C57" s="82"/>
      <c r="D57" s="96">
        <v>0</v>
      </c>
    </row>
    <row r="58" spans="1:6">
      <c r="A58" s="33" t="s">
        <v>31</v>
      </c>
      <c r="B58" s="59" t="s">
        <v>293</v>
      </c>
      <c r="C58" s="95"/>
      <c r="D58" s="96">
        <f>(D48/12)</f>
        <v>12.833333333333334</v>
      </c>
    </row>
    <row r="59" spans="1:6">
      <c r="A59" s="101" t="s">
        <v>70</v>
      </c>
      <c r="B59" s="35" t="s">
        <v>39</v>
      </c>
      <c r="C59" s="82">
        <f>+$C$136+$C$137</f>
        <v>9.2499999999999999E-2</v>
      </c>
      <c r="D59" s="96">
        <f>+(C59*D58)*-1</f>
        <v>-1.1870833333333333</v>
      </c>
    </row>
    <row r="60" spans="1:6">
      <c r="A60" s="33" t="s">
        <v>33</v>
      </c>
      <c r="B60" s="72" t="s">
        <v>294</v>
      </c>
      <c r="C60" s="95"/>
      <c r="D60" s="36">
        <v>0</v>
      </c>
    </row>
    <row r="61" spans="1:6">
      <c r="A61" s="101" t="s">
        <v>295</v>
      </c>
      <c r="B61" s="35" t="s">
        <v>39</v>
      </c>
      <c r="C61" s="82">
        <f>+$C$136+$C$137</f>
        <v>9.2499999999999999E-2</v>
      </c>
      <c r="D61" s="96">
        <f>+(C61*D60)*-1</f>
        <v>0</v>
      </c>
    </row>
    <row r="62" spans="1:6">
      <c r="A62" s="510" t="s">
        <v>57</v>
      </c>
      <c r="B62" s="510"/>
      <c r="C62" s="104"/>
      <c r="D62" s="79">
        <f>SUM(D46:D61)</f>
        <v>167.90730000000002</v>
      </c>
    </row>
    <row r="64" spans="1:6">
      <c r="A64" s="511" t="s">
        <v>296</v>
      </c>
      <c r="B64" s="511"/>
      <c r="C64" s="511"/>
      <c r="D64" s="511"/>
    </row>
    <row r="65" spans="1:5">
      <c r="A65" s="58">
        <v>2</v>
      </c>
      <c r="B65" s="511" t="s">
        <v>297</v>
      </c>
      <c r="C65" s="511"/>
      <c r="D65" s="105" t="s">
        <v>25</v>
      </c>
    </row>
    <row r="66" spans="1:5">
      <c r="A66" s="51" t="s">
        <v>275</v>
      </c>
      <c r="B66" s="532" t="s">
        <v>276</v>
      </c>
      <c r="C66" s="532"/>
      <c r="D66" s="36">
        <f>+D30</f>
        <v>626.27</v>
      </c>
    </row>
    <row r="67" spans="1:5">
      <c r="A67" s="51" t="s">
        <v>280</v>
      </c>
      <c r="B67" s="532" t="s">
        <v>281</v>
      </c>
      <c r="C67" s="532"/>
      <c r="D67" s="36">
        <f>+D42</f>
        <v>1415.7199999999998</v>
      </c>
    </row>
    <row r="68" spans="1:5">
      <c r="A68" s="51" t="s">
        <v>286</v>
      </c>
      <c r="B68" s="532" t="s">
        <v>287</v>
      </c>
      <c r="C68" s="532"/>
      <c r="D68" s="106">
        <f>+D62</f>
        <v>167.90730000000002</v>
      </c>
    </row>
    <row r="69" spans="1:5">
      <c r="A69" s="511" t="s">
        <v>57</v>
      </c>
      <c r="B69" s="511"/>
      <c r="C69" s="511"/>
      <c r="D69" s="107">
        <f>SUM(D66:D68)</f>
        <v>2209.8972999999996</v>
      </c>
    </row>
    <row r="71" spans="1:5">
      <c r="A71" s="511" t="s">
        <v>298</v>
      </c>
      <c r="B71" s="511"/>
      <c r="C71" s="511"/>
      <c r="D71" s="511"/>
    </row>
    <row r="73" spans="1:5">
      <c r="A73" s="80">
        <v>3</v>
      </c>
      <c r="B73" s="81" t="s">
        <v>60</v>
      </c>
      <c r="C73" s="67" t="s">
        <v>51</v>
      </c>
      <c r="D73" s="67" t="s">
        <v>25</v>
      </c>
    </row>
    <row r="74" spans="1:5">
      <c r="A74" s="69" t="s">
        <v>4</v>
      </c>
      <c r="B74" s="35" t="s">
        <v>299</v>
      </c>
      <c r="C74" s="82">
        <f>+D74/$D$20</f>
        <v>8.3333333333333332E-3</v>
      </c>
      <c r="D74" s="108">
        <f>'Memória Cálculo Nutric. 5X2'!C24</f>
        <v>26.84</v>
      </c>
    </row>
    <row r="75" spans="1:5">
      <c r="A75" s="69" t="s">
        <v>6</v>
      </c>
      <c r="B75" s="33" t="s">
        <v>300</v>
      </c>
      <c r="C75" s="38"/>
      <c r="D75" s="77">
        <f>ROUND(+D74*$C$41,2)</f>
        <v>2.15</v>
      </c>
    </row>
    <row r="76" spans="1:5" ht="25.5">
      <c r="A76" s="69" t="s">
        <v>9</v>
      </c>
      <c r="B76" s="71" t="s">
        <v>301</v>
      </c>
      <c r="C76" s="39">
        <f>+D76/$D$20</f>
        <v>4.7783159463487329E-3</v>
      </c>
      <c r="D76" s="77">
        <f>'Memória Cálculo Nutric. 5X2'!C38</f>
        <v>15.39</v>
      </c>
    </row>
    <row r="77" spans="1:5">
      <c r="A77" s="61" t="s">
        <v>11</v>
      </c>
      <c r="B77" s="33" t="s">
        <v>302</v>
      </c>
      <c r="C77" s="39">
        <f>+D77/$D$20</f>
        <v>1.9436164927968205E-3</v>
      </c>
      <c r="D77" s="77">
        <f>'Memória Cálculo Nutric. 5X2'!C46</f>
        <v>6.26</v>
      </c>
    </row>
    <row r="78" spans="1:5" ht="25.5">
      <c r="A78" s="61" t="s">
        <v>27</v>
      </c>
      <c r="B78" s="71" t="s">
        <v>303</v>
      </c>
      <c r="C78" s="38"/>
      <c r="D78" s="367">
        <v>0</v>
      </c>
      <c r="E78" t="s">
        <v>867</v>
      </c>
    </row>
    <row r="79" spans="1:5" ht="25.5">
      <c r="A79" s="61" t="s">
        <v>29</v>
      </c>
      <c r="B79" s="71" t="s">
        <v>304</v>
      </c>
      <c r="C79" s="39">
        <f>+D79/$D$20</f>
        <v>4.7783159463487329E-3</v>
      </c>
      <c r="D79" s="36">
        <f>'Memória Cálculo Nutric. 5X2'!C60</f>
        <v>15.39</v>
      </c>
    </row>
    <row r="80" spans="1:5">
      <c r="A80" s="510" t="s">
        <v>57</v>
      </c>
      <c r="B80" s="510"/>
      <c r="C80" s="510"/>
      <c r="D80" s="109">
        <f>SUM(D74:D79)</f>
        <v>66.03</v>
      </c>
    </row>
    <row r="82" spans="1:6">
      <c r="A82" s="511" t="s">
        <v>305</v>
      </c>
      <c r="B82" s="511"/>
      <c r="C82" s="511"/>
      <c r="D82" s="511"/>
    </row>
    <row r="84" spans="1:6">
      <c r="A84" s="533" t="s">
        <v>306</v>
      </c>
      <c r="B84" s="533"/>
      <c r="C84" s="533"/>
      <c r="D84" s="533"/>
    </row>
    <row r="85" spans="1:6">
      <c r="A85" s="80" t="s">
        <v>50</v>
      </c>
      <c r="B85" s="510" t="s">
        <v>307</v>
      </c>
      <c r="C85" s="510"/>
      <c r="D85" s="67" t="s">
        <v>25</v>
      </c>
    </row>
    <row r="86" spans="1:6">
      <c r="A86" s="33" t="s">
        <v>4</v>
      </c>
      <c r="B86" s="521" t="s">
        <v>61</v>
      </c>
      <c r="C86" s="522"/>
      <c r="D86" s="77">
        <v>0</v>
      </c>
    </row>
    <row r="87" spans="1:6">
      <c r="A87" s="35" t="s">
        <v>6</v>
      </c>
      <c r="B87" s="526" t="s">
        <v>307</v>
      </c>
      <c r="C87" s="527"/>
      <c r="D87" s="110">
        <f>'Memória Cálculo Nutric. 5X2'!C73</f>
        <v>8.9499999999999993</v>
      </c>
    </row>
    <row r="88" spans="1:6" s="47" customFormat="1">
      <c r="A88" s="35" t="s">
        <v>9</v>
      </c>
      <c r="B88" s="526" t="s">
        <v>308</v>
      </c>
      <c r="C88" s="527"/>
      <c r="D88" s="110">
        <f>'Memória Cálculo Nutric. 5X2'!C82</f>
        <v>0.06</v>
      </c>
    </row>
    <row r="89" spans="1:6" s="47" customFormat="1">
      <c r="A89" s="35" t="s">
        <v>11</v>
      </c>
      <c r="B89" s="526" t="s">
        <v>309</v>
      </c>
      <c r="C89" s="527"/>
      <c r="D89" s="110">
        <f>'Memória Cálculo Nutric. 5X2'!C90</f>
        <v>2.0099999999999998</v>
      </c>
    </row>
    <row r="90" spans="1:6" s="47" customFormat="1" ht="13.5">
      <c r="A90" s="35" t="s">
        <v>27</v>
      </c>
      <c r="B90" s="526" t="s">
        <v>310</v>
      </c>
      <c r="C90" s="527"/>
      <c r="D90" s="110"/>
    </row>
    <row r="91" spans="1:6" s="47" customFormat="1">
      <c r="A91" s="35" t="s">
        <v>29</v>
      </c>
      <c r="B91" s="526" t="s">
        <v>311</v>
      </c>
      <c r="C91" s="527"/>
      <c r="D91" s="110">
        <f>'Memória Cálculo Nutric. 5X2'!C98</f>
        <v>17.89</v>
      </c>
      <c r="F91" s="111"/>
    </row>
    <row r="92" spans="1:6">
      <c r="A92" s="33" t="s">
        <v>31</v>
      </c>
      <c r="B92" s="521" t="s">
        <v>35</v>
      </c>
      <c r="C92" s="522"/>
      <c r="D92" s="77"/>
    </row>
    <row r="93" spans="1:6">
      <c r="A93" s="33" t="s">
        <v>33</v>
      </c>
      <c r="B93" s="521" t="s">
        <v>312</v>
      </c>
      <c r="C93" s="522"/>
      <c r="D93" s="367">
        <v>0</v>
      </c>
      <c r="E93" t="s">
        <v>867</v>
      </c>
    </row>
    <row r="94" spans="1:6">
      <c r="A94" s="510" t="s">
        <v>57</v>
      </c>
      <c r="B94" s="510"/>
      <c r="C94" s="510"/>
      <c r="D94" s="79">
        <f>SUM(D86:D93)</f>
        <v>28.91</v>
      </c>
    </row>
    <row r="95" spans="1:6">
      <c r="D95" s="37"/>
    </row>
    <row r="96" spans="1:6">
      <c r="A96" s="80" t="s">
        <v>313</v>
      </c>
      <c r="B96" s="510" t="s">
        <v>314</v>
      </c>
      <c r="C96" s="510"/>
      <c r="D96" s="67" t="s">
        <v>25</v>
      </c>
    </row>
    <row r="97" spans="1:5" s="47" customFormat="1">
      <c r="A97" s="35" t="s">
        <v>4</v>
      </c>
      <c r="B97" s="528" t="s">
        <v>315</v>
      </c>
      <c r="C97" s="529"/>
      <c r="D97" s="110">
        <f>'Memória Cálculo Nutric. 5X2'!C109</f>
        <v>2.16</v>
      </c>
    </row>
    <row r="98" spans="1:5" s="47" customFormat="1">
      <c r="A98" s="35" t="s">
        <v>6</v>
      </c>
      <c r="B98" s="530" t="s">
        <v>316</v>
      </c>
      <c r="C98" s="531"/>
      <c r="D98" s="367">
        <v>0</v>
      </c>
      <c r="E98" t="s">
        <v>867</v>
      </c>
    </row>
    <row r="99" spans="1:5" s="47" customFormat="1">
      <c r="A99" s="35" t="s">
        <v>9</v>
      </c>
      <c r="B99" s="530" t="s">
        <v>317</v>
      </c>
      <c r="C99" s="531"/>
      <c r="D99" s="367">
        <f>'Memória Cálculo Nutric. 5X2'!C119</f>
        <v>0</v>
      </c>
      <c r="E99" t="s">
        <v>867</v>
      </c>
    </row>
    <row r="100" spans="1:5">
      <c r="A100" s="33" t="s">
        <v>11</v>
      </c>
      <c r="B100" s="521" t="s">
        <v>35</v>
      </c>
      <c r="C100" s="522"/>
      <c r="D100" s="77"/>
    </row>
    <row r="101" spans="1:5">
      <c r="A101" s="510" t="s">
        <v>57</v>
      </c>
      <c r="B101" s="510"/>
      <c r="C101" s="510"/>
      <c r="D101" s="79">
        <f>SUM(D97:D100)</f>
        <v>2.16</v>
      </c>
    </row>
    <row r="102" spans="1:5">
      <c r="D102" s="37"/>
    </row>
    <row r="103" spans="1:5">
      <c r="A103" s="80" t="s">
        <v>58</v>
      </c>
      <c r="B103" s="510" t="s">
        <v>32</v>
      </c>
      <c r="C103" s="510"/>
      <c r="D103" s="67" t="s">
        <v>25</v>
      </c>
    </row>
    <row r="104" spans="1:5" s="113" customFormat="1" ht="28.5" customHeight="1">
      <c r="A104" s="61" t="s">
        <v>4</v>
      </c>
      <c r="B104" s="525" t="s">
        <v>868</v>
      </c>
      <c r="C104" s="525"/>
      <c r="D104" s="112">
        <v>0</v>
      </c>
    </row>
    <row r="105" spans="1:5">
      <c r="A105" s="510" t="s">
        <v>57</v>
      </c>
      <c r="B105" s="510"/>
      <c r="C105" s="510"/>
      <c r="D105" s="79">
        <f>SUM(D104:D104)</f>
        <v>0</v>
      </c>
    </row>
    <row r="107" spans="1:5">
      <c r="A107" s="485" t="s">
        <v>318</v>
      </c>
      <c r="B107" s="485"/>
      <c r="C107" s="485"/>
      <c r="D107" s="485"/>
    </row>
    <row r="108" spans="1:5">
      <c r="A108" s="33" t="s">
        <v>50</v>
      </c>
      <c r="B108" s="521" t="s">
        <v>307</v>
      </c>
      <c r="C108" s="522"/>
      <c r="D108" s="36">
        <f>+D94</f>
        <v>28.91</v>
      </c>
    </row>
    <row r="109" spans="1:5">
      <c r="A109" s="33" t="s">
        <v>313</v>
      </c>
      <c r="B109" s="521" t="s">
        <v>314</v>
      </c>
      <c r="C109" s="522"/>
      <c r="D109" s="36">
        <f>+D101</f>
        <v>2.16</v>
      </c>
    </row>
    <row r="110" spans="1:5">
      <c r="A110" s="114"/>
      <c r="B110" s="523" t="s">
        <v>319</v>
      </c>
      <c r="C110" s="524"/>
      <c r="D110" s="52">
        <f>+D109+D108</f>
        <v>31.07</v>
      </c>
    </row>
    <row r="111" spans="1:5">
      <c r="A111" s="33" t="s">
        <v>58</v>
      </c>
      <c r="B111" s="521" t="s">
        <v>32</v>
      </c>
      <c r="C111" s="522"/>
      <c r="D111" s="36">
        <f>+D105</f>
        <v>0</v>
      </c>
    </row>
    <row r="112" spans="1:5">
      <c r="A112" s="485" t="s">
        <v>57</v>
      </c>
      <c r="B112" s="485"/>
      <c r="C112" s="485"/>
      <c r="D112" s="54">
        <f>+D111+D110</f>
        <v>31.07</v>
      </c>
    </row>
    <row r="114" spans="1:4">
      <c r="A114" s="511" t="s">
        <v>320</v>
      </c>
      <c r="B114" s="511"/>
      <c r="C114" s="511"/>
      <c r="D114" s="511"/>
    </row>
    <row r="116" spans="1:4">
      <c r="A116" s="80">
        <v>5</v>
      </c>
      <c r="B116" s="510" t="s">
        <v>45</v>
      </c>
      <c r="C116" s="510"/>
      <c r="D116" s="67" t="s">
        <v>25</v>
      </c>
    </row>
    <row r="117" spans="1:4">
      <c r="A117" s="33" t="s">
        <v>4</v>
      </c>
      <c r="B117" s="509" t="s">
        <v>46</v>
      </c>
      <c r="C117" s="509"/>
      <c r="D117" s="77">
        <f>Uniformes!E6</f>
        <v>33.088333333333338</v>
      </c>
    </row>
    <row r="118" spans="1:4">
      <c r="A118" s="33" t="s">
        <v>38</v>
      </c>
      <c r="B118" s="35" t="s">
        <v>39</v>
      </c>
      <c r="C118" s="82">
        <f>+$C$136+$C$137</f>
        <v>9.2499999999999999E-2</v>
      </c>
      <c r="D118" s="96">
        <f>+(C118*D117)*-1</f>
        <v>-3.0606708333333339</v>
      </c>
    </row>
    <row r="119" spans="1:4">
      <c r="A119" s="33" t="s">
        <v>6</v>
      </c>
      <c r="B119" s="509" t="s">
        <v>47</v>
      </c>
      <c r="C119" s="509"/>
      <c r="D119" s="77"/>
    </row>
    <row r="120" spans="1:4">
      <c r="A120" s="33" t="s">
        <v>40</v>
      </c>
      <c r="B120" s="35" t="s">
        <v>39</v>
      </c>
      <c r="C120" s="82">
        <f>+$C$136+$C$137</f>
        <v>9.2499999999999999E-2</v>
      </c>
      <c r="D120" s="96">
        <f>+(C120*D119)*-1</f>
        <v>0</v>
      </c>
    </row>
    <row r="121" spans="1:4">
      <c r="A121" s="33" t="s">
        <v>9</v>
      </c>
      <c r="B121" s="509" t="s">
        <v>48</v>
      </c>
      <c r="C121" s="509"/>
      <c r="D121" s="77">
        <v>0</v>
      </c>
    </row>
    <row r="122" spans="1:4">
      <c r="A122" s="33" t="s">
        <v>41</v>
      </c>
      <c r="B122" s="35" t="s">
        <v>39</v>
      </c>
      <c r="C122" s="82">
        <f>+$C$136+$C$137</f>
        <v>9.2499999999999999E-2</v>
      </c>
      <c r="D122" s="96">
        <f>+(C122*D121)*-1</f>
        <v>0</v>
      </c>
    </row>
    <row r="123" spans="1:4">
      <c r="A123" s="33" t="s">
        <v>11</v>
      </c>
      <c r="B123" s="509" t="s">
        <v>35</v>
      </c>
      <c r="C123" s="509"/>
      <c r="D123" s="77"/>
    </row>
    <row r="124" spans="1:4">
      <c r="A124" s="33" t="s">
        <v>49</v>
      </c>
      <c r="B124" s="35" t="s">
        <v>39</v>
      </c>
      <c r="C124" s="82">
        <f>+$C$136+$C$137</f>
        <v>9.2499999999999999E-2</v>
      </c>
      <c r="D124" s="96">
        <f>+(C124*D123)*-1</f>
        <v>0</v>
      </c>
    </row>
    <row r="125" spans="1:4">
      <c r="A125" s="510" t="s">
        <v>57</v>
      </c>
      <c r="B125" s="510"/>
      <c r="C125" s="510"/>
      <c r="D125" s="79">
        <f>SUM(D117:D123)</f>
        <v>30.027662500000005</v>
      </c>
    </row>
    <row r="127" spans="1:4">
      <c r="A127" s="511" t="s">
        <v>321</v>
      </c>
      <c r="B127" s="511"/>
      <c r="C127" s="511"/>
      <c r="D127" s="511"/>
    </row>
    <row r="129" spans="1:4">
      <c r="A129" s="80">
        <v>6</v>
      </c>
      <c r="B129" s="81" t="s">
        <v>62</v>
      </c>
      <c r="C129" s="115" t="s">
        <v>51</v>
      </c>
      <c r="D129" s="67" t="s">
        <v>25</v>
      </c>
    </row>
    <row r="130" spans="1:4">
      <c r="A130" s="33" t="s">
        <v>4</v>
      </c>
      <c r="B130" s="33" t="s">
        <v>63</v>
      </c>
      <c r="C130" s="39">
        <v>0.06</v>
      </c>
      <c r="D130" s="36">
        <f>($D$125+$D$112+$D$80+$D$69+$D$20)*C130</f>
        <v>333.46949774999996</v>
      </c>
    </row>
    <row r="131" spans="1:4">
      <c r="A131" s="33" t="s">
        <v>6</v>
      </c>
      <c r="B131" s="33" t="s">
        <v>64</v>
      </c>
      <c r="C131" s="39">
        <v>0.06</v>
      </c>
      <c r="D131" s="36">
        <f>($D$125+$D$112+$D$80+$D$69+$D$20+D130)*C131</f>
        <v>353.47766761499997</v>
      </c>
    </row>
    <row r="132" spans="1:4" s="117" customFormat="1">
      <c r="A132" s="512" t="s">
        <v>65</v>
      </c>
      <c r="B132" s="513"/>
      <c r="C132" s="514"/>
      <c r="D132" s="116">
        <f>++D131+D130+D125+D112+D80+D69+D20</f>
        <v>6244.7721278649997</v>
      </c>
    </row>
    <row r="133" spans="1:4" s="117" customFormat="1">
      <c r="A133" s="515" t="s">
        <v>66</v>
      </c>
      <c r="B133" s="516"/>
      <c r="C133" s="517"/>
      <c r="D133" s="116">
        <f>ROUND(D132/(1-(C136+C137+C139+C141+C142)),2)</f>
        <v>7282.53</v>
      </c>
    </row>
    <row r="134" spans="1:4">
      <c r="A134" s="33" t="s">
        <v>9</v>
      </c>
      <c r="B134" s="33" t="s">
        <v>67</v>
      </c>
      <c r="C134" s="39"/>
      <c r="D134" s="33"/>
    </row>
    <row r="135" spans="1:4">
      <c r="A135" s="33" t="s">
        <v>41</v>
      </c>
      <c r="B135" s="33" t="s">
        <v>322</v>
      </c>
      <c r="C135" s="39"/>
      <c r="D135" s="33"/>
    </row>
    <row r="136" spans="1:4">
      <c r="A136" s="33" t="s">
        <v>323</v>
      </c>
      <c r="B136" s="33" t="s">
        <v>68</v>
      </c>
      <c r="C136" s="39">
        <v>1.6500000000000001E-2</v>
      </c>
      <c r="D136" s="36">
        <f>ROUND(C136*$D$133,2)</f>
        <v>120.16</v>
      </c>
    </row>
    <row r="137" spans="1:4">
      <c r="A137" s="33" t="s">
        <v>324</v>
      </c>
      <c r="B137" s="33" t="s">
        <v>69</v>
      </c>
      <c r="C137" s="39">
        <v>7.5999999999999998E-2</v>
      </c>
      <c r="D137" s="36">
        <f>ROUND(C137*$D$133,2)</f>
        <v>553.47</v>
      </c>
    </row>
    <row r="138" spans="1:4">
      <c r="A138" s="33" t="s">
        <v>325</v>
      </c>
      <c r="B138" s="33" t="s">
        <v>326</v>
      </c>
      <c r="C138" s="39"/>
      <c r="D138" s="36"/>
    </row>
    <row r="139" spans="1:4">
      <c r="A139" s="33" t="s">
        <v>327</v>
      </c>
      <c r="B139" s="33" t="s">
        <v>328</v>
      </c>
      <c r="C139" s="39"/>
      <c r="D139" s="33"/>
    </row>
    <row r="140" spans="1:4">
      <c r="A140" s="33" t="s">
        <v>329</v>
      </c>
      <c r="B140" s="33" t="s">
        <v>330</v>
      </c>
      <c r="C140" s="39"/>
      <c r="D140" s="33"/>
    </row>
    <row r="141" spans="1:4">
      <c r="A141" s="33" t="s">
        <v>331</v>
      </c>
      <c r="B141" s="33" t="s">
        <v>332</v>
      </c>
      <c r="C141" s="39">
        <v>0.05</v>
      </c>
      <c r="D141" s="36">
        <f>ROUND(C141*$D$133,2)</f>
        <v>364.13</v>
      </c>
    </row>
    <row r="142" spans="1:4">
      <c r="A142" s="33" t="s">
        <v>333</v>
      </c>
      <c r="B142" s="33" t="s">
        <v>334</v>
      </c>
      <c r="C142" s="39"/>
      <c r="D142" s="33"/>
    </row>
    <row r="143" spans="1:4">
      <c r="A143" s="518" t="s">
        <v>57</v>
      </c>
      <c r="B143" s="519"/>
      <c r="C143" s="118">
        <f>+C142+C141+C139+C137+C136+C131+C130</f>
        <v>0.26250000000000001</v>
      </c>
      <c r="D143" s="79">
        <f>+D141+D139+D137+D136+D131+D130</f>
        <v>1724.707165365</v>
      </c>
    </row>
    <row r="145" spans="1:4">
      <c r="A145" s="520" t="s">
        <v>335</v>
      </c>
      <c r="B145" s="520"/>
      <c r="C145" s="520"/>
      <c r="D145" s="520"/>
    </row>
    <row r="146" spans="1:4">
      <c r="A146" s="33" t="s">
        <v>4</v>
      </c>
      <c r="B146" s="503" t="s">
        <v>336</v>
      </c>
      <c r="C146" s="503"/>
      <c r="D146" s="77">
        <f>+D20</f>
        <v>3220.8</v>
      </c>
    </row>
    <row r="147" spans="1:4">
      <c r="A147" s="33" t="s">
        <v>337</v>
      </c>
      <c r="B147" s="503" t="s">
        <v>338</v>
      </c>
      <c r="C147" s="503"/>
      <c r="D147" s="77">
        <f>+D69</f>
        <v>2209.8972999999996</v>
      </c>
    </row>
    <row r="148" spans="1:4">
      <c r="A148" s="33" t="s">
        <v>9</v>
      </c>
      <c r="B148" s="503" t="s">
        <v>339</v>
      </c>
      <c r="C148" s="503"/>
      <c r="D148" s="77">
        <f>+D80</f>
        <v>66.03</v>
      </c>
    </row>
    <row r="149" spans="1:4">
      <c r="A149" s="33" t="s">
        <v>11</v>
      </c>
      <c r="B149" s="503" t="s">
        <v>340</v>
      </c>
      <c r="C149" s="503"/>
      <c r="D149" s="77">
        <f>+D112</f>
        <v>31.07</v>
      </c>
    </row>
    <row r="150" spans="1:4">
      <c r="A150" s="33" t="s">
        <v>27</v>
      </c>
      <c r="B150" s="503" t="s">
        <v>341</v>
      </c>
      <c r="C150" s="503"/>
      <c r="D150" s="77">
        <f>+D125</f>
        <v>30.027662500000005</v>
      </c>
    </row>
    <row r="151" spans="1:4">
      <c r="B151" s="502" t="s">
        <v>342</v>
      </c>
      <c r="C151" s="502"/>
      <c r="D151" s="119">
        <f>SUM(D146:D150)</f>
        <v>5557.8249624999989</v>
      </c>
    </row>
    <row r="152" spans="1:4">
      <c r="A152" s="33" t="s">
        <v>29</v>
      </c>
      <c r="B152" s="503" t="s">
        <v>343</v>
      </c>
      <c r="C152" s="503"/>
      <c r="D152" s="77">
        <f>+D143</f>
        <v>1724.707165365</v>
      </c>
    </row>
    <row r="154" spans="1:4">
      <c r="A154" s="504" t="s">
        <v>344</v>
      </c>
      <c r="B154" s="504"/>
      <c r="C154" s="504"/>
      <c r="D154" s="120">
        <f>ROUND(+D152+D151,2)</f>
        <v>7282.53</v>
      </c>
    </row>
    <row r="156" spans="1:4">
      <c r="A156" s="493" t="s">
        <v>345</v>
      </c>
      <c r="B156" s="493"/>
      <c r="C156" s="493"/>
      <c r="D156" s="493"/>
    </row>
    <row r="158" spans="1:4">
      <c r="A158" s="33" t="s">
        <v>4</v>
      </c>
      <c r="B158" s="33" t="s">
        <v>217</v>
      </c>
      <c r="C158" s="121">
        <f>+C26</f>
        <v>8.3299999999999999E-2</v>
      </c>
      <c r="D158" s="77">
        <f>+D26</f>
        <v>268.39999999999998</v>
      </c>
    </row>
    <row r="159" spans="1:4">
      <c r="A159" s="33" t="s">
        <v>6</v>
      </c>
      <c r="B159" s="33" t="s">
        <v>218</v>
      </c>
      <c r="C159" s="121">
        <f>+C28</f>
        <v>8.3299999999999999E-2</v>
      </c>
      <c r="D159" s="77">
        <f>+D28</f>
        <v>268.39999999999998</v>
      </c>
    </row>
    <row r="160" spans="1:4">
      <c r="A160" s="33" t="s">
        <v>9</v>
      </c>
      <c r="B160" s="33" t="s">
        <v>59</v>
      </c>
      <c r="C160" s="121">
        <f>+C29</f>
        <v>2.7799999999999998E-2</v>
      </c>
      <c r="D160" s="77">
        <f>+D29</f>
        <v>89.47</v>
      </c>
    </row>
    <row r="161" spans="1:5" ht="25.5">
      <c r="A161" s="33" t="s">
        <v>11</v>
      </c>
      <c r="B161" s="71" t="s">
        <v>301</v>
      </c>
      <c r="C161" s="39">
        <f>+C76</f>
        <v>4.7783159463487329E-3</v>
      </c>
      <c r="D161" s="77">
        <f>+D76</f>
        <v>15.39</v>
      </c>
    </row>
    <row r="162" spans="1:5" ht="25.5">
      <c r="A162" s="33" t="s">
        <v>27</v>
      </c>
      <c r="B162" s="71" t="s">
        <v>304</v>
      </c>
      <c r="C162" s="121">
        <f>+C79</f>
        <v>4.7783159463487329E-3</v>
      </c>
      <c r="D162" s="36">
        <f>+D79</f>
        <v>15.39</v>
      </c>
    </row>
    <row r="163" spans="1:5">
      <c r="A163" s="33" t="s">
        <v>44</v>
      </c>
      <c r="B163" s="35" t="s">
        <v>346</v>
      </c>
      <c r="C163" s="505">
        <f>+(D163+D164+D165)/D20</f>
        <v>7.1553651266766008E-2</v>
      </c>
      <c r="D163" s="77">
        <f>ROUND(D26*(SUM($C$34:$C$41)),2)</f>
        <v>98.77</v>
      </c>
    </row>
    <row r="164" spans="1:5">
      <c r="A164" s="33" t="s">
        <v>347</v>
      </c>
      <c r="B164" s="35" t="s">
        <v>348</v>
      </c>
      <c r="C164" s="505"/>
      <c r="D164" s="77">
        <f>ROUND(D28*(SUM($C$34:$C$41)),2)</f>
        <v>98.77</v>
      </c>
    </row>
    <row r="165" spans="1:5">
      <c r="A165" s="33" t="s">
        <v>349</v>
      </c>
      <c r="B165" s="35" t="s">
        <v>350</v>
      </c>
      <c r="C165" s="505"/>
      <c r="D165" s="77">
        <f>ROUND(D29*(SUM($C$34:$C$41)),2)</f>
        <v>32.92</v>
      </c>
    </row>
    <row r="166" spans="1:5">
      <c r="A166" s="506" t="s">
        <v>57</v>
      </c>
      <c r="B166" s="507"/>
      <c r="C166" s="508"/>
      <c r="D166" s="43">
        <f>SUM(D158:D165)</f>
        <v>887.50999999999988</v>
      </c>
    </row>
    <row r="167" spans="1:5">
      <c r="B167" s="122"/>
      <c r="C167" s="122"/>
      <c r="D167" s="122"/>
    </row>
    <row r="168" spans="1:5" s="124" customFormat="1" ht="46.5" customHeight="1">
      <c r="A168" s="499" t="s">
        <v>351</v>
      </c>
      <c r="B168" s="499"/>
      <c r="C168" s="499"/>
      <c r="D168" s="499"/>
      <c r="E168" s="123"/>
    </row>
    <row r="169" spans="1:5">
      <c r="A169" s="125"/>
      <c r="B169" s="125"/>
      <c r="C169" s="125"/>
      <c r="D169" s="125"/>
      <c r="E169" s="125"/>
    </row>
    <row r="170" spans="1:5">
      <c r="A170" s="500"/>
      <c r="B170" s="500"/>
      <c r="C170" s="500"/>
      <c r="D170" s="500"/>
      <c r="E170" s="125"/>
    </row>
    <row r="171" spans="1:5">
      <c r="A171" s="125"/>
      <c r="B171" s="125"/>
      <c r="C171" s="125"/>
      <c r="D171" s="125"/>
      <c r="E171" s="125"/>
    </row>
    <row r="172" spans="1:5">
      <c r="A172" s="501"/>
      <c r="B172" s="501"/>
      <c r="C172" s="501"/>
      <c r="D172" s="501"/>
      <c r="E172" s="125"/>
    </row>
    <row r="173" spans="1:5">
      <c r="A173" s="125"/>
      <c r="B173" s="125"/>
      <c r="C173" s="125"/>
      <c r="D173" s="125"/>
      <c r="E173" s="125"/>
    </row>
    <row r="174" spans="1:5">
      <c r="A174" s="125"/>
      <c r="B174" s="125"/>
      <c r="C174" s="125"/>
      <c r="D174" s="125"/>
      <c r="E174" s="125"/>
    </row>
    <row r="175" spans="1:5">
      <c r="A175" s="125"/>
      <c r="B175" s="125"/>
      <c r="C175" s="125"/>
      <c r="D175" s="125"/>
      <c r="E175" s="125"/>
    </row>
    <row r="176" spans="1:5">
      <c r="A176" s="125"/>
      <c r="B176" s="125"/>
      <c r="C176" s="125"/>
      <c r="D176" s="125"/>
      <c r="E176" s="125"/>
    </row>
    <row r="177" spans="1:5">
      <c r="A177" s="125"/>
      <c r="B177" s="125"/>
      <c r="C177" s="125"/>
      <c r="D177" s="125"/>
      <c r="E177" s="125"/>
    </row>
    <row r="178" spans="1:5">
      <c r="A178" s="125"/>
      <c r="B178" s="125"/>
      <c r="C178" s="125"/>
      <c r="D178" s="125"/>
      <c r="E178" s="125"/>
    </row>
    <row r="179" spans="1:5">
      <c r="A179" s="125"/>
      <c r="B179" s="125"/>
      <c r="C179" s="125"/>
      <c r="D179" s="125"/>
      <c r="E179" s="125"/>
    </row>
    <row r="180" spans="1:5">
      <c r="A180" s="125"/>
      <c r="B180" s="125"/>
      <c r="C180" s="125"/>
      <c r="D180" s="125"/>
      <c r="E180" s="125"/>
    </row>
    <row r="181" spans="1:5">
      <c r="A181" s="125"/>
      <c r="B181" s="125"/>
      <c r="C181" s="125"/>
      <c r="D181" s="125"/>
      <c r="E181" s="125"/>
    </row>
    <row r="182" spans="1:5">
      <c r="A182" s="125"/>
      <c r="B182" s="125"/>
      <c r="C182" s="125"/>
      <c r="D182" s="125"/>
      <c r="E182" s="125"/>
    </row>
    <row r="183" spans="1:5">
      <c r="A183" s="125"/>
      <c r="B183" s="125"/>
      <c r="C183" s="125"/>
      <c r="D183" s="125"/>
      <c r="E183" s="125"/>
    </row>
    <row r="184" spans="1:5">
      <c r="A184" s="125"/>
      <c r="B184" s="125"/>
      <c r="C184" s="125"/>
      <c r="D184" s="125"/>
      <c r="E184" s="125"/>
    </row>
    <row r="185" spans="1:5">
      <c r="A185" s="125"/>
      <c r="B185" s="125"/>
      <c r="C185" s="125"/>
      <c r="D185" s="125"/>
      <c r="E185" s="125"/>
    </row>
  </sheetData>
  <mergeCells count="81">
    <mergeCell ref="B18:C18"/>
    <mergeCell ref="A1:D1"/>
    <mergeCell ref="A4:D4"/>
    <mergeCell ref="C5:D5"/>
    <mergeCell ref="C6:D6"/>
    <mergeCell ref="C7:D7"/>
    <mergeCell ref="C8:D8"/>
    <mergeCell ref="C9:D9"/>
    <mergeCell ref="A11:D11"/>
    <mergeCell ref="B13:C13"/>
    <mergeCell ref="B16:C16"/>
    <mergeCell ref="B17:C17"/>
    <mergeCell ref="B67:C67"/>
    <mergeCell ref="B19:C19"/>
    <mergeCell ref="A20:C20"/>
    <mergeCell ref="A22:D22"/>
    <mergeCell ref="A24:D24"/>
    <mergeCell ref="A30:C30"/>
    <mergeCell ref="A32:D32"/>
    <mergeCell ref="A44:D44"/>
    <mergeCell ref="A62:B62"/>
    <mergeCell ref="A64:D64"/>
    <mergeCell ref="B65:C65"/>
    <mergeCell ref="B66:C66"/>
    <mergeCell ref="B90:C90"/>
    <mergeCell ref="B68:C68"/>
    <mergeCell ref="A69:C69"/>
    <mergeCell ref="A71:D71"/>
    <mergeCell ref="A80:C80"/>
    <mergeCell ref="A82:D82"/>
    <mergeCell ref="A84:D84"/>
    <mergeCell ref="B85:C85"/>
    <mergeCell ref="B86:C86"/>
    <mergeCell ref="B87:C87"/>
    <mergeCell ref="B88:C88"/>
    <mergeCell ref="B89:C89"/>
    <mergeCell ref="B104:C104"/>
    <mergeCell ref="B91:C91"/>
    <mergeCell ref="B92:C92"/>
    <mergeCell ref="B93:C93"/>
    <mergeCell ref="A94:C94"/>
    <mergeCell ref="B96:C96"/>
    <mergeCell ref="B97:C97"/>
    <mergeCell ref="B98:C98"/>
    <mergeCell ref="B99:C99"/>
    <mergeCell ref="B100:C100"/>
    <mergeCell ref="A101:C101"/>
    <mergeCell ref="B103:C103"/>
    <mergeCell ref="B121:C121"/>
    <mergeCell ref="A105:C105"/>
    <mergeCell ref="A107:D107"/>
    <mergeCell ref="B108:C108"/>
    <mergeCell ref="B109:C109"/>
    <mergeCell ref="B110:C110"/>
    <mergeCell ref="B111:C111"/>
    <mergeCell ref="A112:C112"/>
    <mergeCell ref="A114:D114"/>
    <mergeCell ref="B116:C116"/>
    <mergeCell ref="B117:C117"/>
    <mergeCell ref="B119:C119"/>
    <mergeCell ref="B150:C150"/>
    <mergeCell ref="B123:C123"/>
    <mergeCell ref="A125:C125"/>
    <mergeCell ref="A127:D127"/>
    <mergeCell ref="A132:C132"/>
    <mergeCell ref="A133:C133"/>
    <mergeCell ref="A143:B143"/>
    <mergeCell ref="A145:D145"/>
    <mergeCell ref="B146:C146"/>
    <mergeCell ref="B147:C147"/>
    <mergeCell ref="B148:C148"/>
    <mergeCell ref="B149:C149"/>
    <mergeCell ref="A168:D168"/>
    <mergeCell ref="A170:D170"/>
    <mergeCell ref="A172:D172"/>
    <mergeCell ref="B151:C151"/>
    <mergeCell ref="B152:C152"/>
    <mergeCell ref="A154:C154"/>
    <mergeCell ref="A156:D156"/>
    <mergeCell ref="C163:C165"/>
    <mergeCell ref="A166:C16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  <ignoredErrors>
    <ignoredError sqref="D111 D5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3B991"/>
  </sheetPr>
  <dimension ref="A1:E119"/>
  <sheetViews>
    <sheetView view="pageBreakPreview" zoomScaleNormal="100" zoomScaleSheetLayoutView="100" workbookViewId="0">
      <selection activeCell="E51" sqref="E51"/>
    </sheetView>
  </sheetViews>
  <sheetFormatPr defaultColWidth="8.85546875" defaultRowHeight="12.75"/>
  <cols>
    <col min="1" max="1" width="64.42578125" customWidth="1"/>
    <col min="2" max="2" width="15.42578125" bestFit="1" customWidth="1"/>
    <col min="3" max="3" width="15" customWidth="1"/>
    <col min="4" max="4" width="24.5703125" customWidth="1"/>
    <col min="5" max="5" width="10.42578125" bestFit="1" customWidth="1"/>
  </cols>
  <sheetData>
    <row r="1" spans="1:5" ht="17.25" customHeight="1">
      <c r="A1" s="546" t="s">
        <v>840</v>
      </c>
      <c r="B1" s="546"/>
      <c r="C1" s="546"/>
    </row>
    <row r="3" spans="1:5">
      <c r="A3" s="33" t="s">
        <v>197</v>
      </c>
      <c r="B3" s="33">
        <v>220</v>
      </c>
    </row>
    <row r="4" spans="1:5">
      <c r="A4" s="33" t="s">
        <v>198</v>
      </c>
      <c r="B4" s="33">
        <v>365.25</v>
      </c>
    </row>
    <row r="5" spans="1:5">
      <c r="A5" s="33" t="s">
        <v>199</v>
      </c>
      <c r="B5" s="34">
        <f>(365.25/12)/(7/5)</f>
        <v>21.741071428571431</v>
      </c>
    </row>
    <row r="6" spans="1:5">
      <c r="A6" s="35" t="s">
        <v>200</v>
      </c>
      <c r="B6" s="36">
        <f>'Op. Caixa 5x2'!D12</f>
        <v>1300.43</v>
      </c>
    </row>
    <row r="7" spans="1:5">
      <c r="A7" s="35" t="s">
        <v>201</v>
      </c>
      <c r="B7" s="36">
        <f>'Op. Caixa 5x2'!D23</f>
        <v>1300.43</v>
      </c>
    </row>
    <row r="9" spans="1:5">
      <c r="C9" s="37"/>
    </row>
    <row r="11" spans="1:5">
      <c r="A11" s="493" t="s">
        <v>202</v>
      </c>
      <c r="B11" s="493"/>
      <c r="C11" s="493"/>
    </row>
    <row r="12" spans="1:5">
      <c r="A12" s="33" t="s">
        <v>203</v>
      </c>
      <c r="B12" s="33">
        <f>+$B$4</f>
        <v>365.25</v>
      </c>
      <c r="C12" s="38"/>
    </row>
    <row r="13" spans="1:5">
      <c r="A13" s="33" t="s">
        <v>204</v>
      </c>
      <c r="B13" s="35">
        <v>12</v>
      </c>
      <c r="C13" s="38"/>
    </row>
    <row r="14" spans="1:5">
      <c r="A14" s="33" t="s">
        <v>205</v>
      </c>
      <c r="B14" s="39">
        <v>1</v>
      </c>
      <c r="C14" s="38"/>
      <c r="E14" s="74"/>
    </row>
    <row r="15" spans="1:5">
      <c r="A15" s="35" t="s">
        <v>206</v>
      </c>
      <c r="B15" s="40">
        <f>+B5</f>
        <v>21.741071428571431</v>
      </c>
      <c r="C15" s="38"/>
    </row>
    <row r="16" spans="1:5">
      <c r="A16" s="41" t="s">
        <v>207</v>
      </c>
      <c r="B16" s="42">
        <v>4.05</v>
      </c>
      <c r="C16" s="38"/>
    </row>
    <row r="17" spans="1:5">
      <c r="A17" s="33" t="s">
        <v>208</v>
      </c>
      <c r="B17" s="39">
        <v>0.06</v>
      </c>
      <c r="C17" s="38"/>
    </row>
    <row r="18" spans="1:5">
      <c r="A18" s="491" t="s">
        <v>209</v>
      </c>
      <c r="B18" s="492"/>
      <c r="C18" s="43">
        <f>IF(ROUND((B15*(B16*2)-($B$6*B17)),2)&gt;0,ROUND((B15*(B16*2)-($B$6*B17)),2),0)</f>
        <v>98.08</v>
      </c>
      <c r="E18" s="74"/>
    </row>
    <row r="20" spans="1:5">
      <c r="A20" s="493" t="s">
        <v>210</v>
      </c>
      <c r="B20" s="493"/>
      <c r="C20" s="493"/>
    </row>
    <row r="21" spans="1:5">
      <c r="A21" s="33" t="s">
        <v>36</v>
      </c>
      <c r="B21" s="36">
        <f>B7</f>
        <v>1300.43</v>
      </c>
      <c r="C21" s="38"/>
    </row>
    <row r="22" spans="1:5">
      <c r="A22" s="33" t="s">
        <v>211</v>
      </c>
      <c r="B22" s="33">
        <v>12</v>
      </c>
      <c r="C22" s="38"/>
    </row>
    <row r="23" spans="1:5">
      <c r="A23" s="44" t="s">
        <v>212</v>
      </c>
      <c r="B23" s="45">
        <v>0.1</v>
      </c>
      <c r="C23" s="38"/>
    </row>
    <row r="24" spans="1:5">
      <c r="A24" s="485" t="s">
        <v>213</v>
      </c>
      <c r="B24" s="485"/>
      <c r="C24" s="43">
        <f>ROUND(+(B21/B22)*B23,2)</f>
        <v>10.84</v>
      </c>
    </row>
    <row r="26" spans="1:5">
      <c r="A26" s="494" t="s">
        <v>214</v>
      </c>
      <c r="B26" s="495"/>
      <c r="C26" s="496"/>
    </row>
    <row r="27" spans="1:5" s="47" customFormat="1">
      <c r="A27" s="46" t="s">
        <v>215</v>
      </c>
      <c r="B27" s="45">
        <f>+B23</f>
        <v>0.1</v>
      </c>
      <c r="C27" s="38"/>
    </row>
    <row r="28" spans="1:5">
      <c r="A28" s="33" t="s">
        <v>216</v>
      </c>
      <c r="B28" s="36">
        <f>'Op. Caixa 5x2'!D23</f>
        <v>1300.43</v>
      </c>
      <c r="C28" s="38"/>
    </row>
    <row r="29" spans="1:5">
      <c r="A29" s="33" t="s">
        <v>217</v>
      </c>
      <c r="B29" s="36">
        <f>'Op. Caixa 5x2'!D29</f>
        <v>108.37</v>
      </c>
      <c r="C29" s="38"/>
    </row>
    <row r="30" spans="1:5">
      <c r="A30" s="48" t="s">
        <v>218</v>
      </c>
      <c r="B30" s="36">
        <f>'Op. Caixa 5x2'!D31</f>
        <v>108.37</v>
      </c>
      <c r="C30" s="38"/>
    </row>
    <row r="31" spans="1:5">
      <c r="A31" s="48" t="s">
        <v>59</v>
      </c>
      <c r="B31" s="36">
        <f>'Op. Caixa 5x2'!D32</f>
        <v>36.119999999999997</v>
      </c>
      <c r="C31" s="38"/>
    </row>
    <row r="32" spans="1:5">
      <c r="A32" s="49" t="s">
        <v>219</v>
      </c>
      <c r="B32" s="50">
        <f>SUM(B28:B31)</f>
        <v>1553.29</v>
      </c>
      <c r="C32" s="38"/>
    </row>
    <row r="33" spans="1:3">
      <c r="A33" s="51" t="s">
        <v>220</v>
      </c>
      <c r="B33" s="39">
        <v>0.4</v>
      </c>
      <c r="C33" s="38"/>
    </row>
    <row r="34" spans="1:3">
      <c r="A34" s="59" t="s">
        <v>363</v>
      </c>
      <c r="B34" s="39">
        <v>0.08</v>
      </c>
      <c r="C34" s="38"/>
    </row>
    <row r="35" spans="1:3">
      <c r="A35" s="490" t="s">
        <v>222</v>
      </c>
      <c r="B35" s="490"/>
      <c r="C35" s="52">
        <f>ROUND(+B32*B33*B34*B27,2)</f>
        <v>4.97</v>
      </c>
    </row>
    <row r="36" spans="1:3">
      <c r="A36" s="51" t="s">
        <v>223</v>
      </c>
      <c r="B36" s="39">
        <v>0.1</v>
      </c>
      <c r="C36" s="38"/>
    </row>
    <row r="37" spans="1:3">
      <c r="A37" s="490" t="s">
        <v>224</v>
      </c>
      <c r="B37" s="490"/>
      <c r="C37" s="53">
        <f>ROUND(B36*B34*B32*B27,2)</f>
        <v>1.24</v>
      </c>
    </row>
    <row r="38" spans="1:3">
      <c r="A38" s="491" t="s">
        <v>225</v>
      </c>
      <c r="B38" s="492"/>
      <c r="C38" s="54">
        <f>+C37+C35</f>
        <v>6.21</v>
      </c>
    </row>
    <row r="40" spans="1:3">
      <c r="A40" s="493" t="s">
        <v>226</v>
      </c>
      <c r="B40" s="493"/>
      <c r="C40" s="493"/>
    </row>
    <row r="41" spans="1:3">
      <c r="A41" s="33" t="s">
        <v>36</v>
      </c>
      <c r="B41" s="36">
        <f>B7</f>
        <v>1300.43</v>
      </c>
      <c r="C41" s="38"/>
    </row>
    <row r="42" spans="1:3">
      <c r="A42" s="33" t="s">
        <v>227</v>
      </c>
      <c r="B42" s="55">
        <v>30</v>
      </c>
      <c r="C42" s="38"/>
    </row>
    <row r="43" spans="1:3">
      <c r="A43" s="33" t="s">
        <v>211</v>
      </c>
      <c r="B43" s="33">
        <v>12</v>
      </c>
      <c r="C43" s="38"/>
    </row>
    <row r="44" spans="1:3">
      <c r="A44" s="33" t="s">
        <v>228</v>
      </c>
      <c r="B44" s="33">
        <v>7</v>
      </c>
      <c r="C44" s="38"/>
    </row>
    <row r="45" spans="1:3">
      <c r="A45" s="44" t="s">
        <v>229</v>
      </c>
      <c r="B45" s="45">
        <v>0.1</v>
      </c>
      <c r="C45" s="38"/>
    </row>
    <row r="46" spans="1:3">
      <c r="A46" s="485" t="s">
        <v>230</v>
      </c>
      <c r="B46" s="485"/>
      <c r="C46" s="43">
        <f>+ROUND(((B41/B42/B43)*B44)*B45,2)</f>
        <v>2.5299999999999998</v>
      </c>
    </row>
    <row r="48" spans="1:3">
      <c r="A48" s="494" t="s">
        <v>231</v>
      </c>
      <c r="B48" s="495"/>
      <c r="C48" s="496"/>
    </row>
    <row r="49" spans="1:3" ht="25.5">
      <c r="A49" s="56" t="s">
        <v>232</v>
      </c>
      <c r="B49" s="45">
        <f>+B45</f>
        <v>0.1</v>
      </c>
      <c r="C49" s="38"/>
    </row>
    <row r="50" spans="1:3">
      <c r="A50" s="33" t="s">
        <v>216</v>
      </c>
      <c r="B50" s="36">
        <f>'Op. Caixa 5x2'!D23</f>
        <v>1300.43</v>
      </c>
      <c r="C50" s="38"/>
    </row>
    <row r="51" spans="1:3">
      <c r="A51" s="33" t="s">
        <v>217</v>
      </c>
      <c r="B51" s="36">
        <f>'Op. Caixa 5x2'!D29</f>
        <v>108.37</v>
      </c>
      <c r="C51" s="38"/>
    </row>
    <row r="52" spans="1:3">
      <c r="A52" s="48" t="s">
        <v>218</v>
      </c>
      <c r="B52" s="36">
        <f>'Op. Caixa 5x2'!D31</f>
        <v>108.37</v>
      </c>
      <c r="C52" s="38"/>
    </row>
    <row r="53" spans="1:3">
      <c r="A53" s="48" t="s">
        <v>59</v>
      </c>
      <c r="B53" s="36">
        <f>'Op. Caixa 5x2'!D32</f>
        <v>36.119999999999997</v>
      </c>
      <c r="C53" s="38"/>
    </row>
    <row r="54" spans="1:3">
      <c r="A54" s="49" t="s">
        <v>219</v>
      </c>
      <c r="B54" s="50">
        <f>SUM(B50:B53)</f>
        <v>1553.29</v>
      </c>
      <c r="C54" s="38"/>
    </row>
    <row r="55" spans="1:3">
      <c r="A55" s="51" t="s">
        <v>220</v>
      </c>
      <c r="B55" s="39">
        <v>0.4</v>
      </c>
      <c r="C55" s="38"/>
    </row>
    <row r="56" spans="1:3">
      <c r="A56" s="51" t="s">
        <v>221</v>
      </c>
      <c r="B56" s="39">
        <v>0.08</v>
      </c>
      <c r="C56" s="38"/>
    </row>
    <row r="57" spans="1:3">
      <c r="A57" s="490" t="s">
        <v>222</v>
      </c>
      <c r="B57" s="490"/>
      <c r="C57" s="52">
        <f>ROUND(+B54*B55*B56*B49,2)</f>
        <v>4.97</v>
      </c>
    </row>
    <row r="58" spans="1:3">
      <c r="A58" s="51" t="s">
        <v>223</v>
      </c>
      <c r="B58" s="39">
        <v>0.1</v>
      </c>
      <c r="C58" s="38"/>
    </row>
    <row r="59" spans="1:3">
      <c r="A59" s="490" t="s">
        <v>224</v>
      </c>
      <c r="B59" s="490"/>
      <c r="C59" s="53">
        <f>ROUND(B58*B56*B54*B49,2)</f>
        <v>1.24</v>
      </c>
    </row>
    <row r="60" spans="1:3">
      <c r="A60" s="491" t="s">
        <v>233</v>
      </c>
      <c r="B60" s="492"/>
      <c r="C60" s="54">
        <f>+C59+C57</f>
        <v>6.21</v>
      </c>
    </row>
    <row r="62" spans="1:3">
      <c r="A62" s="494" t="s">
        <v>234</v>
      </c>
      <c r="B62" s="495"/>
      <c r="C62" s="496"/>
    </row>
    <row r="63" spans="1:3">
      <c r="A63" s="497" t="s">
        <v>235</v>
      </c>
      <c r="B63" s="497"/>
      <c r="C63" s="497"/>
    </row>
    <row r="64" spans="1:3">
      <c r="A64" s="497"/>
      <c r="B64" s="497"/>
      <c r="C64" s="497"/>
    </row>
    <row r="65" spans="1:3">
      <c r="A65" s="497"/>
      <c r="B65" s="497"/>
      <c r="C65" s="497"/>
    </row>
    <row r="66" spans="1:3">
      <c r="A66" s="497"/>
      <c r="B66" s="497"/>
      <c r="C66" s="497"/>
    </row>
    <row r="67" spans="1:3">
      <c r="A67" s="57"/>
      <c r="B67" s="57"/>
      <c r="C67" s="57"/>
    </row>
    <row r="68" spans="1:3">
      <c r="A68" s="486" t="s">
        <v>236</v>
      </c>
      <c r="B68" s="486"/>
      <c r="C68" s="486"/>
    </row>
    <row r="69" spans="1:3">
      <c r="A69" s="33" t="s">
        <v>237</v>
      </c>
      <c r="B69" s="36">
        <f>+$B$7</f>
        <v>1300.43</v>
      </c>
      <c r="C69" s="38"/>
    </row>
    <row r="70" spans="1:3">
      <c r="A70" s="33" t="s">
        <v>204</v>
      </c>
      <c r="B70" s="33">
        <v>30</v>
      </c>
      <c r="C70" s="38"/>
    </row>
    <row r="71" spans="1:3">
      <c r="A71" s="33" t="s">
        <v>238</v>
      </c>
      <c r="B71" s="33">
        <v>12</v>
      </c>
      <c r="C71" s="38"/>
    </row>
    <row r="72" spans="1:3">
      <c r="A72" s="44" t="s">
        <v>239</v>
      </c>
      <c r="B72" s="44">
        <v>1</v>
      </c>
      <c r="C72" s="38"/>
    </row>
    <row r="73" spans="1:3">
      <c r="A73" s="485" t="s">
        <v>240</v>
      </c>
      <c r="B73" s="485"/>
      <c r="C73" s="58">
        <f>+ROUND((B69/B70/B71)*B72,2)</f>
        <v>3.61</v>
      </c>
    </row>
    <row r="75" spans="1:3">
      <c r="A75" s="486" t="s">
        <v>241</v>
      </c>
      <c r="B75" s="486"/>
      <c r="C75" s="486"/>
    </row>
    <row r="76" spans="1:3">
      <c r="A76" s="33" t="s">
        <v>237</v>
      </c>
      <c r="B76" s="36">
        <f>+$B$7</f>
        <v>1300.43</v>
      </c>
      <c r="C76" s="38"/>
    </row>
    <row r="77" spans="1:3">
      <c r="A77" s="33" t="s">
        <v>204</v>
      </c>
      <c r="B77" s="33">
        <v>30</v>
      </c>
      <c r="C77" s="38"/>
    </row>
    <row r="78" spans="1:3">
      <c r="A78" s="33" t="s">
        <v>238</v>
      </c>
      <c r="B78" s="33">
        <v>12</v>
      </c>
      <c r="C78" s="38"/>
    </row>
    <row r="79" spans="1:3">
      <c r="A79" s="35" t="s">
        <v>242</v>
      </c>
      <c r="B79" s="33">
        <v>5</v>
      </c>
      <c r="C79" s="38"/>
    </row>
    <row r="80" spans="1:3">
      <c r="A80" s="44" t="s">
        <v>243</v>
      </c>
      <c r="B80" s="45">
        <v>1.4999999999999999E-2</v>
      </c>
      <c r="C80" s="38"/>
    </row>
    <row r="81" spans="1:5">
      <c r="A81" s="59" t="s">
        <v>244</v>
      </c>
      <c r="B81" s="39">
        <v>0.90390000000000004</v>
      </c>
      <c r="C81" s="38"/>
    </row>
    <row r="82" spans="1:5">
      <c r="A82" s="485" t="s">
        <v>245</v>
      </c>
      <c r="B82" s="485"/>
      <c r="C82" s="43">
        <f>ROUND(+B76/B77/B78*B79*B80*B81,2)</f>
        <v>0.24</v>
      </c>
      <c r="E82" s="1"/>
    </row>
    <row r="84" spans="1:5">
      <c r="A84" s="486" t="s">
        <v>246</v>
      </c>
      <c r="B84" s="486"/>
      <c r="C84" s="486"/>
    </row>
    <row r="85" spans="1:5">
      <c r="A85" s="33" t="s">
        <v>237</v>
      </c>
      <c r="B85" s="36">
        <f>+$B$7</f>
        <v>1300.43</v>
      </c>
      <c r="C85" s="38"/>
    </row>
    <row r="86" spans="1:5">
      <c r="A86" s="33" t="s">
        <v>204</v>
      </c>
      <c r="B86" s="33">
        <v>30</v>
      </c>
      <c r="C86" s="38"/>
    </row>
    <row r="87" spans="1:5">
      <c r="A87" s="33" t="s">
        <v>238</v>
      </c>
      <c r="B87" s="33">
        <v>12</v>
      </c>
      <c r="C87" s="38"/>
    </row>
    <row r="88" spans="1:5">
      <c r="A88" s="35" t="s">
        <v>247</v>
      </c>
      <c r="B88" s="33">
        <v>15</v>
      </c>
      <c r="C88" s="38"/>
    </row>
    <row r="89" spans="1:5">
      <c r="A89" s="44" t="s">
        <v>248</v>
      </c>
      <c r="B89" s="45">
        <v>1.4999999999999999E-2</v>
      </c>
      <c r="C89" s="38"/>
    </row>
    <row r="90" spans="1:5">
      <c r="A90" s="485" t="s">
        <v>249</v>
      </c>
      <c r="B90" s="485"/>
      <c r="C90" s="43">
        <f>ROUND(+B85/B86/B87*B88*B89,2)</f>
        <v>0.81</v>
      </c>
    </row>
    <row r="92" spans="1:5">
      <c r="A92" s="486" t="s">
        <v>250</v>
      </c>
      <c r="B92" s="486"/>
      <c r="C92" s="486"/>
    </row>
    <row r="93" spans="1:5">
      <c r="A93" s="33" t="s">
        <v>237</v>
      </c>
      <c r="B93" s="36">
        <f>+$B$7</f>
        <v>1300.43</v>
      </c>
      <c r="C93" s="38"/>
    </row>
    <row r="94" spans="1:5">
      <c r="A94" s="33" t="s">
        <v>204</v>
      </c>
      <c r="B94" s="33">
        <v>30</v>
      </c>
      <c r="C94" s="38"/>
    </row>
    <row r="95" spans="1:5">
      <c r="A95" s="33" t="s">
        <v>238</v>
      </c>
      <c r="B95" s="33">
        <v>12</v>
      </c>
      <c r="C95" s="38"/>
    </row>
    <row r="96" spans="1:5">
      <c r="A96" s="35" t="s">
        <v>247</v>
      </c>
      <c r="B96" s="33">
        <v>5</v>
      </c>
      <c r="C96" s="38"/>
    </row>
    <row r="97" spans="1:3">
      <c r="A97" s="44" t="s">
        <v>251</v>
      </c>
      <c r="B97" s="45">
        <v>0.4</v>
      </c>
      <c r="C97" s="38"/>
    </row>
    <row r="98" spans="1:3">
      <c r="A98" s="485" t="s">
        <v>252</v>
      </c>
      <c r="B98" s="485"/>
      <c r="C98" s="43">
        <f>ROUND(+B93/B94/B95*B96*B97,2)</f>
        <v>7.22</v>
      </c>
    </row>
    <row r="100" spans="1:3">
      <c r="A100" s="486" t="s">
        <v>253</v>
      </c>
      <c r="B100" s="486"/>
      <c r="C100" s="486"/>
    </row>
    <row r="101" spans="1:3">
      <c r="A101" s="487" t="s">
        <v>254</v>
      </c>
      <c r="B101" s="488"/>
      <c r="C101" s="489"/>
    </row>
    <row r="102" spans="1:3">
      <c r="A102" s="33" t="s">
        <v>237</v>
      </c>
      <c r="B102" s="36">
        <f>+$B$7</f>
        <v>1300.43</v>
      </c>
      <c r="C102" s="38"/>
    </row>
    <row r="103" spans="1:3">
      <c r="A103" s="33" t="s">
        <v>255</v>
      </c>
      <c r="B103" s="36">
        <f>+B102*(1/3)</f>
        <v>433.47666666666669</v>
      </c>
      <c r="C103" s="38"/>
    </row>
    <row r="104" spans="1:3">
      <c r="A104" s="49" t="s">
        <v>219</v>
      </c>
      <c r="B104" s="50">
        <f>SUM(B102:B103)</f>
        <v>1733.9066666666668</v>
      </c>
      <c r="C104" s="38"/>
    </row>
    <row r="105" spans="1:3">
      <c r="A105" s="33" t="s">
        <v>256</v>
      </c>
      <c r="B105" s="33">
        <v>4</v>
      </c>
      <c r="C105" s="38"/>
    </row>
    <row r="106" spans="1:3">
      <c r="A106" s="33" t="s">
        <v>238</v>
      </c>
      <c r="B106" s="33">
        <v>12</v>
      </c>
      <c r="C106" s="38"/>
    </row>
    <row r="107" spans="1:3">
      <c r="A107" s="44" t="s">
        <v>257</v>
      </c>
      <c r="B107" s="45">
        <v>0.02</v>
      </c>
      <c r="C107" s="38"/>
    </row>
    <row r="108" spans="1:3">
      <c r="A108" s="35" t="s">
        <v>258</v>
      </c>
      <c r="B108" s="39">
        <f>1-B81</f>
        <v>9.6099999999999963E-2</v>
      </c>
      <c r="C108" s="38"/>
    </row>
    <row r="109" spans="1:3">
      <c r="A109" s="485" t="s">
        <v>259</v>
      </c>
      <c r="B109" s="485"/>
      <c r="C109" s="43">
        <f>ROUND((((+B104*(B105/B106)/B106)*B107)*B108),2)</f>
        <v>0.09</v>
      </c>
    </row>
    <row r="110" spans="1:3">
      <c r="A110" s="485" t="s">
        <v>260</v>
      </c>
      <c r="B110" s="485"/>
      <c r="C110" s="485"/>
    </row>
    <row r="111" spans="1:3">
      <c r="A111" s="33" t="s">
        <v>237</v>
      </c>
      <c r="B111" s="36">
        <f>'Op. Caixa 5x2'!D23</f>
        <v>1300.43</v>
      </c>
      <c r="C111" s="38"/>
    </row>
    <row r="112" spans="1:3">
      <c r="A112" s="33" t="s">
        <v>217</v>
      </c>
      <c r="B112" s="36">
        <f>'Op. Caixa 5x2'!D29</f>
        <v>108.37</v>
      </c>
      <c r="C112" s="38"/>
    </row>
    <row r="113" spans="1:4">
      <c r="A113" s="49" t="s">
        <v>219</v>
      </c>
      <c r="B113" s="50">
        <f>SUM(B111:B112)</f>
        <v>1408.8000000000002</v>
      </c>
      <c r="C113" s="38"/>
    </row>
    <row r="114" spans="1:4">
      <c r="A114" s="33" t="s">
        <v>256</v>
      </c>
      <c r="B114" s="33">
        <v>4</v>
      </c>
      <c r="C114" s="38"/>
    </row>
    <row r="115" spans="1:4">
      <c r="A115" s="33" t="s">
        <v>238</v>
      </c>
      <c r="B115" s="33">
        <v>12</v>
      </c>
      <c r="C115" s="38"/>
    </row>
    <row r="116" spans="1:4">
      <c r="A116" s="44" t="s">
        <v>257</v>
      </c>
      <c r="B116" s="45">
        <v>0.02</v>
      </c>
      <c r="C116" s="38"/>
    </row>
    <row r="117" spans="1:4">
      <c r="A117" s="35" t="s">
        <v>258</v>
      </c>
      <c r="B117" s="39">
        <f>+B108</f>
        <v>9.6099999999999963E-2</v>
      </c>
      <c r="C117" s="38"/>
    </row>
    <row r="118" spans="1:4">
      <c r="A118" s="35" t="s">
        <v>261</v>
      </c>
      <c r="B118" s="39">
        <f>'Op. Caixa 5x2'!C45</f>
        <v>0.36800000000000005</v>
      </c>
      <c r="C118" s="38"/>
    </row>
    <row r="119" spans="1:4">
      <c r="A119" s="485" t="s">
        <v>262</v>
      </c>
      <c r="B119" s="485"/>
      <c r="C119" s="404">
        <v>0</v>
      </c>
      <c r="D119" t="s">
        <v>867</v>
      </c>
    </row>
  </sheetData>
  <mergeCells count="30">
    <mergeCell ref="A26:C26"/>
    <mergeCell ref="A1:C1"/>
    <mergeCell ref="A11:C11"/>
    <mergeCell ref="A18:B18"/>
    <mergeCell ref="A20:C20"/>
    <mergeCell ref="A24:B24"/>
    <mergeCell ref="A68:C68"/>
    <mergeCell ref="A35:B35"/>
    <mergeCell ref="A37:B37"/>
    <mergeCell ref="A38:B38"/>
    <mergeCell ref="A40:C40"/>
    <mergeCell ref="A46:B46"/>
    <mergeCell ref="A48:C48"/>
    <mergeCell ref="A57:B57"/>
    <mergeCell ref="A59:B59"/>
    <mergeCell ref="A60:B60"/>
    <mergeCell ref="A62:C62"/>
    <mergeCell ref="A63:C66"/>
    <mergeCell ref="A119:B119"/>
    <mergeCell ref="A73:B73"/>
    <mergeCell ref="A75:C75"/>
    <mergeCell ref="A82:B82"/>
    <mergeCell ref="A84:C84"/>
    <mergeCell ref="A90:B90"/>
    <mergeCell ref="A92:C92"/>
    <mergeCell ref="A98:B98"/>
    <mergeCell ref="A100:C100"/>
    <mergeCell ref="A101:C101"/>
    <mergeCell ref="A109:B109"/>
    <mergeCell ref="A110:C11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3B991"/>
  </sheetPr>
  <dimension ref="A1:F188"/>
  <sheetViews>
    <sheetView workbookViewId="0">
      <selection activeCell="C6" sqref="C6:D6"/>
    </sheetView>
  </sheetViews>
  <sheetFormatPr defaultColWidth="8.85546875" defaultRowHeight="12.75"/>
  <cols>
    <col min="1" max="1" width="5.42578125" customWidth="1"/>
    <col min="2" max="2" width="50.140625" customWidth="1"/>
    <col min="3" max="3" width="9.42578125" bestFit="1" customWidth="1"/>
    <col min="4" max="4" width="15.42578125" customWidth="1"/>
    <col min="5" max="5" width="40.42578125" customWidth="1"/>
  </cols>
  <sheetData>
    <row r="1" spans="1:6">
      <c r="A1" s="536" t="s">
        <v>263</v>
      </c>
      <c r="B1" s="537"/>
      <c r="C1" s="537"/>
      <c r="D1" s="538"/>
      <c r="E1" s="60"/>
      <c r="F1" s="60"/>
    </row>
    <row r="3" spans="1:6">
      <c r="A3" s="518" t="s">
        <v>264</v>
      </c>
      <c r="B3" s="519"/>
      <c r="C3" s="519"/>
      <c r="D3" s="548"/>
    </row>
    <row r="4" spans="1:6" s="63" customFormat="1" ht="39.75" customHeight="1">
      <c r="A4" s="61">
        <v>1</v>
      </c>
      <c r="B4" s="62" t="s">
        <v>265</v>
      </c>
      <c r="C4" s="539" t="s">
        <v>841</v>
      </c>
      <c r="D4" s="540"/>
    </row>
    <row r="5" spans="1:6" s="63" customFormat="1">
      <c r="A5" s="61">
        <v>2</v>
      </c>
      <c r="B5" s="62" t="s">
        <v>266</v>
      </c>
      <c r="C5" s="541"/>
      <c r="D5" s="542"/>
    </row>
    <row r="6" spans="1:6" s="63" customFormat="1">
      <c r="A6" s="61">
        <v>3</v>
      </c>
      <c r="B6" s="62" t="s">
        <v>267</v>
      </c>
      <c r="C6" s="543">
        <v>1300.43</v>
      </c>
      <c r="D6" s="543"/>
      <c r="E6" s="126" t="s">
        <v>884</v>
      </c>
    </row>
    <row r="7" spans="1:6" s="63" customFormat="1" ht="42.75" customHeight="1">
      <c r="A7" s="61">
        <v>4</v>
      </c>
      <c r="B7" s="62" t="s">
        <v>268</v>
      </c>
      <c r="C7" s="530" t="s">
        <v>23</v>
      </c>
      <c r="D7" s="531"/>
    </row>
    <row r="8" spans="1:6" s="63" customFormat="1">
      <c r="A8" s="61">
        <v>5</v>
      </c>
      <c r="B8" s="62" t="s">
        <v>269</v>
      </c>
      <c r="C8" s="544">
        <v>43101</v>
      </c>
      <c r="D8" s="545"/>
    </row>
    <row r="9" spans="1:6">
      <c r="D9" s="64"/>
    </row>
    <row r="10" spans="1:6">
      <c r="A10" s="511" t="s">
        <v>270</v>
      </c>
      <c r="B10" s="511"/>
      <c r="C10" s="511"/>
      <c r="D10" s="511"/>
    </row>
    <row r="11" spans="1:6">
      <c r="A11" s="65">
        <v>1</v>
      </c>
      <c r="B11" s="127" t="s">
        <v>24</v>
      </c>
      <c r="C11" s="67" t="s">
        <v>51</v>
      </c>
      <c r="D11" s="68" t="s">
        <v>25</v>
      </c>
    </row>
    <row r="12" spans="1:6" ht="75.75" customHeight="1">
      <c r="A12" s="322" t="s">
        <v>4</v>
      </c>
      <c r="B12" s="509" t="s">
        <v>200</v>
      </c>
      <c r="C12" s="509"/>
      <c r="D12" s="70">
        <v>1300.43</v>
      </c>
      <c r="E12" s="126" t="s">
        <v>884</v>
      </c>
    </row>
    <row r="13" spans="1:6">
      <c r="A13" s="322" t="s">
        <v>6</v>
      </c>
      <c r="B13" s="72" t="s">
        <v>271</v>
      </c>
      <c r="C13" s="73">
        <v>0</v>
      </c>
      <c r="D13" s="70">
        <f>+C13*D12</f>
        <v>0</v>
      </c>
      <c r="E13" s="74"/>
    </row>
    <row r="14" spans="1:6">
      <c r="A14" s="322" t="s">
        <v>9</v>
      </c>
      <c r="B14" s="72" t="s">
        <v>272</v>
      </c>
      <c r="C14" s="73"/>
      <c r="D14" s="70"/>
    </row>
    <row r="15" spans="1:6">
      <c r="A15" s="322" t="s">
        <v>11</v>
      </c>
      <c r="B15" s="509" t="s">
        <v>352</v>
      </c>
      <c r="C15" s="509"/>
      <c r="D15" s="70"/>
    </row>
    <row r="16" spans="1:6">
      <c r="A16" s="322" t="s">
        <v>27</v>
      </c>
      <c r="B16" s="509" t="s">
        <v>353</v>
      </c>
      <c r="C16" s="509"/>
      <c r="D16" s="70"/>
    </row>
    <row r="17" spans="1:6">
      <c r="A17" s="322" t="s">
        <v>29</v>
      </c>
      <c r="B17" s="534" t="s">
        <v>354</v>
      </c>
      <c r="C17" s="535"/>
      <c r="D17" s="70"/>
    </row>
    <row r="18" spans="1:6">
      <c r="A18" s="322" t="s">
        <v>31</v>
      </c>
      <c r="B18" s="509" t="s">
        <v>355</v>
      </c>
      <c r="C18" s="509"/>
      <c r="D18" s="70"/>
    </row>
    <row r="19" spans="1:6">
      <c r="A19" s="322" t="s">
        <v>33</v>
      </c>
      <c r="B19" s="534" t="s">
        <v>356</v>
      </c>
      <c r="C19" s="535"/>
      <c r="D19" s="76"/>
    </row>
    <row r="20" spans="1:6">
      <c r="A20" s="322" t="s">
        <v>34</v>
      </c>
      <c r="B20" s="72" t="s">
        <v>357</v>
      </c>
      <c r="C20" s="73"/>
      <c r="D20" s="70"/>
    </row>
    <row r="21" spans="1:6">
      <c r="A21" s="322" t="s">
        <v>358</v>
      </c>
      <c r="B21" s="509" t="s">
        <v>359</v>
      </c>
      <c r="C21" s="509"/>
      <c r="D21" s="77"/>
      <c r="F21" s="78"/>
    </row>
    <row r="22" spans="1:6">
      <c r="A22" s="322" t="s">
        <v>360</v>
      </c>
      <c r="B22" s="509" t="s">
        <v>35</v>
      </c>
      <c r="C22" s="509"/>
      <c r="D22" s="77"/>
    </row>
    <row r="23" spans="1:6">
      <c r="A23" s="510" t="s">
        <v>57</v>
      </c>
      <c r="B23" s="510"/>
      <c r="C23" s="510"/>
      <c r="D23" s="79">
        <f>SUM(D12:D22)</f>
        <v>1300.43</v>
      </c>
    </row>
    <row r="25" spans="1:6">
      <c r="A25" s="511" t="s">
        <v>273</v>
      </c>
      <c r="B25" s="511"/>
      <c r="C25" s="511"/>
      <c r="D25" s="511"/>
    </row>
    <row r="27" spans="1:6">
      <c r="A27" s="511" t="s">
        <v>274</v>
      </c>
      <c r="B27" s="511"/>
      <c r="C27" s="511"/>
      <c r="D27" s="511"/>
    </row>
    <row r="28" spans="1:6">
      <c r="A28" s="128" t="s">
        <v>275</v>
      </c>
      <c r="B28" s="81" t="s">
        <v>276</v>
      </c>
      <c r="C28" s="129" t="s">
        <v>51</v>
      </c>
      <c r="D28" s="130" t="s">
        <v>25</v>
      </c>
    </row>
    <row r="29" spans="1:6">
      <c r="A29" s="322" t="s">
        <v>4</v>
      </c>
      <c r="B29" s="33" t="s">
        <v>217</v>
      </c>
      <c r="C29" s="82">
        <f>ROUND(+D29/$D$23,4)</f>
        <v>8.3299999999999999E-2</v>
      </c>
      <c r="D29" s="77">
        <f>ROUND(+D23/12,2)</f>
        <v>108.37</v>
      </c>
    </row>
    <row r="30" spans="1:6">
      <c r="A30" s="83" t="s">
        <v>6</v>
      </c>
      <c r="B30" s="51" t="s">
        <v>277</v>
      </c>
      <c r="C30" s="131">
        <f>ROUND(+D30/$D$23,4)</f>
        <v>0.1111</v>
      </c>
      <c r="D30" s="132">
        <f>+D31+D32</f>
        <v>144.49</v>
      </c>
    </row>
    <row r="31" spans="1:6">
      <c r="A31" s="322" t="s">
        <v>40</v>
      </c>
      <c r="B31" s="49" t="s">
        <v>218</v>
      </c>
      <c r="C31" s="88">
        <f>ROUND(+D31/$D$23,4)</f>
        <v>8.3299999999999999E-2</v>
      </c>
      <c r="D31" s="133">
        <f>ROUND(+D23/12,2)</f>
        <v>108.37</v>
      </c>
    </row>
    <row r="32" spans="1:6">
      <c r="A32" s="322" t="s">
        <v>278</v>
      </c>
      <c r="B32" s="87" t="s">
        <v>59</v>
      </c>
      <c r="C32" s="88">
        <f>ROUND(+D32/$D$23,4)</f>
        <v>2.7799999999999998E-2</v>
      </c>
      <c r="D32" s="133">
        <f>ROUND(+(D23*1/3)/12,2)</f>
        <v>36.119999999999997</v>
      </c>
    </row>
    <row r="33" spans="1:4">
      <c r="A33" s="510" t="s">
        <v>57</v>
      </c>
      <c r="B33" s="510"/>
      <c r="C33" s="510"/>
      <c r="D33" s="79">
        <f>+D30+D29</f>
        <v>252.86</v>
      </c>
    </row>
    <row r="35" spans="1:4">
      <c r="A35" s="533" t="s">
        <v>279</v>
      </c>
      <c r="B35" s="533"/>
      <c r="C35" s="533"/>
      <c r="D35" s="533"/>
    </row>
    <row r="36" spans="1:4">
      <c r="A36" s="128" t="s">
        <v>280</v>
      </c>
      <c r="B36" s="134" t="s">
        <v>281</v>
      </c>
      <c r="C36" s="129" t="s">
        <v>51</v>
      </c>
      <c r="D36" s="130" t="s">
        <v>25</v>
      </c>
    </row>
    <row r="37" spans="1:4">
      <c r="A37" s="322" t="s">
        <v>4</v>
      </c>
      <c r="B37" s="33" t="s">
        <v>52</v>
      </c>
      <c r="C37" s="39">
        <v>0.2</v>
      </c>
      <c r="D37" s="36">
        <f>ROUND(C37*($D$23+$D$33),2)</f>
        <v>310.66000000000003</v>
      </c>
    </row>
    <row r="38" spans="1:4">
      <c r="A38" s="322" t="s">
        <v>6</v>
      </c>
      <c r="B38" s="33" t="s">
        <v>54</v>
      </c>
      <c r="C38" s="39">
        <v>2.5000000000000001E-2</v>
      </c>
      <c r="D38" s="36">
        <f t="shared" ref="D38:D43" si="0">ROUND(C38*($D$23+$D$33),2)</f>
        <v>38.83</v>
      </c>
    </row>
    <row r="39" spans="1:4">
      <c r="A39" s="322" t="s">
        <v>9</v>
      </c>
      <c r="B39" s="33" t="s">
        <v>282</v>
      </c>
      <c r="C39" s="39">
        <v>0.03</v>
      </c>
      <c r="D39" s="36">
        <f t="shared" si="0"/>
        <v>46.6</v>
      </c>
    </row>
    <row r="40" spans="1:4">
      <c r="A40" s="322" t="s">
        <v>11</v>
      </c>
      <c r="B40" s="33" t="s">
        <v>283</v>
      </c>
      <c r="C40" s="39">
        <v>1.4999999999999999E-2</v>
      </c>
      <c r="D40" s="36">
        <f t="shared" si="0"/>
        <v>23.3</v>
      </c>
    </row>
    <row r="41" spans="1:4">
      <c r="A41" s="322" t="s">
        <v>27</v>
      </c>
      <c r="B41" s="33" t="s">
        <v>284</v>
      </c>
      <c r="C41" s="39">
        <v>0.01</v>
      </c>
      <c r="D41" s="36">
        <f t="shared" si="0"/>
        <v>15.53</v>
      </c>
    </row>
    <row r="42" spans="1:4">
      <c r="A42" s="322" t="s">
        <v>29</v>
      </c>
      <c r="B42" s="33" t="s">
        <v>56</v>
      </c>
      <c r="C42" s="39">
        <v>6.0000000000000001E-3</v>
      </c>
      <c r="D42" s="36">
        <f t="shared" si="0"/>
        <v>9.32</v>
      </c>
    </row>
    <row r="43" spans="1:4">
      <c r="A43" s="322" t="s">
        <v>31</v>
      </c>
      <c r="B43" s="33" t="s">
        <v>53</v>
      </c>
      <c r="C43" s="39">
        <v>2E-3</v>
      </c>
      <c r="D43" s="36">
        <f t="shared" si="0"/>
        <v>3.11</v>
      </c>
    </row>
    <row r="44" spans="1:4">
      <c r="A44" s="322" t="s">
        <v>33</v>
      </c>
      <c r="B44" s="33" t="s">
        <v>55</v>
      </c>
      <c r="C44" s="39">
        <v>0.08</v>
      </c>
      <c r="D44" s="36">
        <f>ROUND(C44*($D$23+$D$33),2)</f>
        <v>124.26</v>
      </c>
    </row>
    <row r="45" spans="1:4">
      <c r="A45" s="323" t="s">
        <v>57</v>
      </c>
      <c r="B45" s="326"/>
      <c r="C45" s="92">
        <f>SUM(C37:C44)</f>
        <v>0.36800000000000005</v>
      </c>
      <c r="D45" s="93">
        <f>SUM(D37:D44)</f>
        <v>571.61</v>
      </c>
    </row>
    <row r="46" spans="1:4">
      <c r="A46" s="94"/>
      <c r="B46" s="94"/>
      <c r="C46" s="94"/>
      <c r="D46" s="94"/>
    </row>
    <row r="47" spans="1:4">
      <c r="A47" s="533" t="s">
        <v>285</v>
      </c>
      <c r="B47" s="533"/>
      <c r="C47" s="533"/>
      <c r="D47" s="533"/>
    </row>
    <row r="48" spans="1:4">
      <c r="A48" s="128" t="s">
        <v>286</v>
      </c>
      <c r="B48" s="134" t="s">
        <v>287</v>
      </c>
      <c r="C48" s="129"/>
      <c r="D48" s="130" t="s">
        <v>25</v>
      </c>
    </row>
    <row r="49" spans="1:6">
      <c r="A49" s="322" t="s">
        <v>4</v>
      </c>
      <c r="B49" s="33" t="s">
        <v>37</v>
      </c>
      <c r="C49" s="95"/>
      <c r="D49" s="36">
        <f>'Memória Cálculo Op. Caixa 5x2'!C18</f>
        <v>98.08</v>
      </c>
    </row>
    <row r="50" spans="1:6" s="47" customFormat="1">
      <c r="A50" s="61" t="s">
        <v>38</v>
      </c>
      <c r="B50" s="35" t="s">
        <v>39</v>
      </c>
      <c r="C50" s="82">
        <v>9.6500000000000002E-2</v>
      </c>
      <c r="D50" s="96">
        <f>+(C50*D49)*-1</f>
        <v>-9.4647199999999998</v>
      </c>
      <c r="F50" s="97"/>
    </row>
    <row r="51" spans="1:6" s="47" customFormat="1">
      <c r="A51" s="61" t="s">
        <v>6</v>
      </c>
      <c r="B51" s="59" t="s">
        <v>888</v>
      </c>
      <c r="C51" s="95"/>
      <c r="D51" s="96">
        <f>(185-23)</f>
        <v>162</v>
      </c>
      <c r="F51" s="97"/>
    </row>
    <row r="52" spans="1:6" s="47" customFormat="1">
      <c r="A52" s="61" t="s">
        <v>40</v>
      </c>
      <c r="B52" s="35" t="s">
        <v>39</v>
      </c>
      <c r="C52" s="82">
        <v>9.6500000000000002E-2</v>
      </c>
      <c r="D52" s="96">
        <f>+(C52*D51)*-1</f>
        <v>-15.633000000000001</v>
      </c>
      <c r="F52" s="97"/>
    </row>
    <row r="53" spans="1:6">
      <c r="A53" s="99" t="s">
        <v>9</v>
      </c>
      <c r="B53" s="33" t="s">
        <v>887</v>
      </c>
      <c r="C53" s="95"/>
      <c r="D53" s="108">
        <v>0</v>
      </c>
      <c r="F53" s="7"/>
    </row>
    <row r="54" spans="1:6" s="47" customFormat="1">
      <c r="A54" s="101" t="s">
        <v>41</v>
      </c>
      <c r="B54" s="35" t="s">
        <v>39</v>
      </c>
      <c r="C54" s="82">
        <v>9.6500000000000002E-2</v>
      </c>
      <c r="D54" s="96">
        <f>+(C54*D53)*-1</f>
        <v>0</v>
      </c>
      <c r="F54" s="98"/>
    </row>
    <row r="55" spans="1:6">
      <c r="A55" s="33" t="s">
        <v>11</v>
      </c>
      <c r="B55" s="33" t="s">
        <v>361</v>
      </c>
      <c r="C55" s="95"/>
      <c r="D55" s="108">
        <v>0</v>
      </c>
      <c r="F55" s="7"/>
    </row>
    <row r="56" spans="1:6">
      <c r="A56" s="101" t="s">
        <v>49</v>
      </c>
      <c r="B56" s="35" t="s">
        <v>39</v>
      </c>
      <c r="C56" s="82">
        <v>9.6500000000000002E-2</v>
      </c>
      <c r="D56" s="96">
        <f>+(C56*D55)*-1</f>
        <v>0</v>
      </c>
      <c r="F56" s="7"/>
    </row>
    <row r="57" spans="1:6">
      <c r="A57" s="33" t="s">
        <v>27</v>
      </c>
      <c r="B57" s="33" t="s">
        <v>886</v>
      </c>
      <c r="C57" s="95"/>
      <c r="D57" s="108">
        <f>(C6*0.4*0.02)</f>
        <v>10.403440000000002</v>
      </c>
      <c r="F57" s="7"/>
    </row>
    <row r="58" spans="1:6">
      <c r="A58" s="101" t="s">
        <v>42</v>
      </c>
      <c r="B58" s="35" t="s">
        <v>39</v>
      </c>
      <c r="C58" s="82">
        <v>9.6500000000000002E-2</v>
      </c>
      <c r="D58" s="96">
        <f>+(C58*D57)*-1</f>
        <v>-1.0039319600000001</v>
      </c>
      <c r="F58" s="7"/>
    </row>
    <row r="59" spans="1:6">
      <c r="A59" s="33" t="s">
        <v>29</v>
      </c>
      <c r="B59" s="33" t="s">
        <v>885</v>
      </c>
      <c r="C59" s="95"/>
      <c r="D59" s="135">
        <f>C6*0.36/12*0.6</f>
        <v>23.40774</v>
      </c>
      <c r="F59" s="103"/>
    </row>
    <row r="60" spans="1:6">
      <c r="A60" s="61" t="s">
        <v>44</v>
      </c>
      <c r="B60" s="35" t="s">
        <v>39</v>
      </c>
      <c r="C60" s="82">
        <v>0</v>
      </c>
      <c r="D60" s="96">
        <f>+(C60*D59)*-1</f>
        <v>0</v>
      </c>
    </row>
    <row r="61" spans="1:6">
      <c r="A61" s="33" t="s">
        <v>31</v>
      </c>
      <c r="B61" s="35" t="s">
        <v>43</v>
      </c>
      <c r="C61" s="136"/>
      <c r="D61" s="96">
        <f>(D51/12)</f>
        <v>13.5</v>
      </c>
    </row>
    <row r="62" spans="1:6">
      <c r="A62" s="101" t="s">
        <v>70</v>
      </c>
      <c r="B62" s="35" t="s">
        <v>39</v>
      </c>
      <c r="C62" s="82">
        <v>9.6500000000000002E-2</v>
      </c>
      <c r="D62" s="96">
        <f>+(C62*D61)*-1</f>
        <v>-1.3027500000000001</v>
      </c>
    </row>
    <row r="63" spans="1:6">
      <c r="A63" s="33" t="s">
        <v>33</v>
      </c>
      <c r="B63" s="72" t="s">
        <v>294</v>
      </c>
      <c r="C63" s="136"/>
      <c r="D63" s="36">
        <v>0</v>
      </c>
    </row>
    <row r="64" spans="1:6">
      <c r="A64" s="101" t="s">
        <v>295</v>
      </c>
      <c r="B64" s="35" t="s">
        <v>39</v>
      </c>
      <c r="C64" s="82">
        <v>9.6500000000000002E-2</v>
      </c>
      <c r="D64" s="96">
        <f>+(C64*D63)*-1</f>
        <v>0</v>
      </c>
    </row>
    <row r="65" spans="1:4">
      <c r="A65" s="518" t="s">
        <v>57</v>
      </c>
      <c r="B65" s="548"/>
      <c r="C65" s="104"/>
      <c r="D65" s="79">
        <f>SUM(D49:D64)</f>
        <v>279.98677803999999</v>
      </c>
    </row>
    <row r="67" spans="1:4">
      <c r="A67" s="511" t="s">
        <v>296</v>
      </c>
      <c r="B67" s="511"/>
      <c r="C67" s="511"/>
      <c r="D67" s="511"/>
    </row>
    <row r="68" spans="1:4">
      <c r="A68" s="58">
        <v>2</v>
      </c>
      <c r="B68" s="511" t="s">
        <v>297</v>
      </c>
      <c r="C68" s="511"/>
      <c r="D68" s="105" t="s">
        <v>25</v>
      </c>
    </row>
    <row r="69" spans="1:4">
      <c r="A69" s="51" t="s">
        <v>275</v>
      </c>
      <c r="B69" s="532" t="s">
        <v>276</v>
      </c>
      <c r="C69" s="532"/>
      <c r="D69" s="36">
        <f>+D33</f>
        <v>252.86</v>
      </c>
    </row>
    <row r="70" spans="1:4">
      <c r="A70" s="51" t="s">
        <v>280</v>
      </c>
      <c r="B70" s="532" t="s">
        <v>281</v>
      </c>
      <c r="C70" s="532"/>
      <c r="D70" s="36">
        <f>+D45</f>
        <v>571.61</v>
      </c>
    </row>
    <row r="71" spans="1:4">
      <c r="A71" s="51" t="s">
        <v>286</v>
      </c>
      <c r="B71" s="532" t="s">
        <v>287</v>
      </c>
      <c r="C71" s="532"/>
      <c r="D71" s="106">
        <f>+D65</f>
        <v>279.98677803999999</v>
      </c>
    </row>
    <row r="72" spans="1:4">
      <c r="A72" s="511" t="s">
        <v>57</v>
      </c>
      <c r="B72" s="511"/>
      <c r="C72" s="511"/>
      <c r="D72" s="107">
        <f>SUM(D69:D71)</f>
        <v>1104.45677804</v>
      </c>
    </row>
    <row r="74" spans="1:4">
      <c r="A74" s="511" t="s">
        <v>298</v>
      </c>
      <c r="B74" s="511"/>
      <c r="C74" s="511"/>
      <c r="D74" s="511"/>
    </row>
    <row r="76" spans="1:4">
      <c r="A76" s="80">
        <v>3</v>
      </c>
      <c r="B76" s="81" t="s">
        <v>60</v>
      </c>
      <c r="C76" s="67" t="s">
        <v>51</v>
      </c>
      <c r="D76" s="67" t="s">
        <v>25</v>
      </c>
    </row>
    <row r="77" spans="1:4">
      <c r="A77" s="322" t="s">
        <v>4</v>
      </c>
      <c r="B77" s="35" t="s">
        <v>299</v>
      </c>
      <c r="C77" s="82">
        <f>+D77/$D$23</f>
        <v>8.3357043439477706E-3</v>
      </c>
      <c r="D77" s="108">
        <f>'Memória Cálculo Op. Caixa 5x2'!C24</f>
        <v>10.84</v>
      </c>
    </row>
    <row r="78" spans="1:4">
      <c r="A78" s="322" t="s">
        <v>6</v>
      </c>
      <c r="B78" s="33" t="s">
        <v>300</v>
      </c>
      <c r="C78" s="38"/>
      <c r="D78" s="77">
        <f>ROUND(+D77*$C$44,2)</f>
        <v>0.87</v>
      </c>
    </row>
    <row r="79" spans="1:4" ht="25.5">
      <c r="A79" s="322" t="s">
        <v>9</v>
      </c>
      <c r="B79" s="71" t="s">
        <v>301</v>
      </c>
      <c r="C79" s="39">
        <f>+D79/$D$23</f>
        <v>4.7753435402136217E-3</v>
      </c>
      <c r="D79" s="77">
        <f>'Memória Cálculo Op. Caixa 5x2'!C38</f>
        <v>6.21</v>
      </c>
    </row>
    <row r="80" spans="1:4">
      <c r="A80" s="61" t="s">
        <v>11</v>
      </c>
      <c r="B80" s="33" t="s">
        <v>302</v>
      </c>
      <c r="C80" s="39">
        <f>+D80/$D$23</f>
        <v>1.9455103311981419E-3</v>
      </c>
      <c r="D80" s="77">
        <f>'Memória Cálculo Op. Caixa 5x2'!C46</f>
        <v>2.5299999999999998</v>
      </c>
    </row>
    <row r="81" spans="1:5" ht="25.5">
      <c r="A81" s="61" t="s">
        <v>27</v>
      </c>
      <c r="B81" s="71" t="s">
        <v>303</v>
      </c>
      <c r="C81" s="38"/>
      <c r="D81" s="367">
        <v>0</v>
      </c>
      <c r="E81" t="s">
        <v>867</v>
      </c>
    </row>
    <row r="82" spans="1:5" ht="25.5">
      <c r="A82" s="61" t="s">
        <v>29</v>
      </c>
      <c r="B82" s="71" t="s">
        <v>304</v>
      </c>
      <c r="C82" s="39">
        <f>+D82/$D$23</f>
        <v>4.7753435402136217E-3</v>
      </c>
      <c r="D82" s="36">
        <f>'Memória Cálculo Op. Caixa 5x2'!C60</f>
        <v>6.21</v>
      </c>
    </row>
    <row r="83" spans="1:5">
      <c r="A83" s="518" t="s">
        <v>57</v>
      </c>
      <c r="B83" s="519"/>
      <c r="C83" s="548"/>
      <c r="D83" s="109">
        <f>SUM(D77:D82)</f>
        <v>26.66</v>
      </c>
    </row>
    <row r="85" spans="1:5">
      <c r="A85" s="511" t="s">
        <v>305</v>
      </c>
      <c r="B85" s="511"/>
      <c r="C85" s="511"/>
      <c r="D85" s="511"/>
    </row>
    <row r="87" spans="1:5">
      <c r="A87" s="533" t="s">
        <v>306</v>
      </c>
      <c r="B87" s="533"/>
      <c r="C87" s="533"/>
      <c r="D87" s="533"/>
    </row>
    <row r="88" spans="1:5">
      <c r="A88" s="80" t="s">
        <v>50</v>
      </c>
      <c r="B88" s="518" t="s">
        <v>307</v>
      </c>
      <c r="C88" s="548"/>
      <c r="D88" s="67" t="s">
        <v>25</v>
      </c>
    </row>
    <row r="89" spans="1:5">
      <c r="A89" s="33" t="s">
        <v>4</v>
      </c>
      <c r="B89" s="521" t="s">
        <v>61</v>
      </c>
      <c r="C89" s="522"/>
      <c r="D89" s="77">
        <v>0</v>
      </c>
    </row>
    <row r="90" spans="1:5">
      <c r="A90" s="35" t="s">
        <v>6</v>
      </c>
      <c r="B90" s="526" t="s">
        <v>307</v>
      </c>
      <c r="C90" s="527"/>
      <c r="D90" s="110">
        <f>'Memória Cálculo Op. Caixa 5x2'!C73</f>
        <v>3.61</v>
      </c>
    </row>
    <row r="91" spans="1:5" s="47" customFormat="1">
      <c r="A91" s="35" t="s">
        <v>9</v>
      </c>
      <c r="B91" s="526" t="s">
        <v>308</v>
      </c>
      <c r="C91" s="527"/>
      <c r="D91" s="110">
        <f>'Memória Cálculo Op. Caixa 5x2'!C82</f>
        <v>0.24</v>
      </c>
    </row>
    <row r="92" spans="1:5" s="47" customFormat="1">
      <c r="A92" s="35" t="s">
        <v>11</v>
      </c>
      <c r="B92" s="526" t="s">
        <v>309</v>
      </c>
      <c r="C92" s="527"/>
      <c r="D92" s="110">
        <f>'Memória Cálculo Op. Caixa 5x2'!C90</f>
        <v>0.81</v>
      </c>
    </row>
    <row r="93" spans="1:5" s="47" customFormat="1" ht="13.5">
      <c r="A93" s="35" t="s">
        <v>27</v>
      </c>
      <c r="B93" s="526" t="s">
        <v>310</v>
      </c>
      <c r="C93" s="527"/>
      <c r="D93" s="110">
        <v>0</v>
      </c>
    </row>
    <row r="94" spans="1:5" s="47" customFormat="1">
      <c r="A94" s="35" t="s">
        <v>29</v>
      </c>
      <c r="B94" s="526" t="s">
        <v>311</v>
      </c>
      <c r="C94" s="527"/>
      <c r="D94" s="110">
        <f>'Memória Cálculo Op. Caixa 5x2'!C98</f>
        <v>7.22</v>
      </c>
    </row>
    <row r="95" spans="1:5">
      <c r="A95" s="33" t="s">
        <v>31</v>
      </c>
      <c r="B95" s="521" t="s">
        <v>35</v>
      </c>
      <c r="C95" s="522"/>
      <c r="D95" s="77">
        <v>0</v>
      </c>
    </row>
    <row r="96" spans="1:5">
      <c r="A96" s="33" t="s">
        <v>33</v>
      </c>
      <c r="B96" s="521" t="s">
        <v>312</v>
      </c>
      <c r="C96" s="522"/>
      <c r="D96" s="367">
        <v>0</v>
      </c>
      <c r="E96" t="s">
        <v>867</v>
      </c>
    </row>
    <row r="97" spans="1:5">
      <c r="A97" s="510" t="s">
        <v>57</v>
      </c>
      <c r="B97" s="510"/>
      <c r="C97" s="510"/>
      <c r="D97" s="79">
        <f>SUM(D89:D96)</f>
        <v>11.879999999999999</v>
      </c>
    </row>
    <row r="98" spans="1:5">
      <c r="D98" s="37"/>
    </row>
    <row r="99" spans="1:5">
      <c r="A99" s="80" t="s">
        <v>313</v>
      </c>
      <c r="B99" s="518" t="s">
        <v>314</v>
      </c>
      <c r="C99" s="548"/>
      <c r="D99" s="67" t="s">
        <v>25</v>
      </c>
    </row>
    <row r="100" spans="1:5" s="47" customFormat="1">
      <c r="A100" s="35" t="s">
        <v>4</v>
      </c>
      <c r="B100" s="528" t="s">
        <v>315</v>
      </c>
      <c r="C100" s="529"/>
      <c r="D100" s="110">
        <f>'Memória Cálculo Op. Caixa 5x2'!C109</f>
        <v>0.09</v>
      </c>
    </row>
    <row r="101" spans="1:5" s="47" customFormat="1">
      <c r="A101" s="35" t="s">
        <v>6</v>
      </c>
      <c r="B101" s="530" t="s">
        <v>316</v>
      </c>
      <c r="C101" s="531"/>
      <c r="D101" s="367">
        <v>0</v>
      </c>
      <c r="E101" t="s">
        <v>867</v>
      </c>
    </row>
    <row r="102" spans="1:5" s="47" customFormat="1">
      <c r="A102" s="35" t="s">
        <v>9</v>
      </c>
      <c r="B102" s="530" t="s">
        <v>317</v>
      </c>
      <c r="C102" s="531"/>
      <c r="D102" s="367">
        <f>'Memória Cálculo Op. Caixa 5x2'!C119</f>
        <v>0</v>
      </c>
      <c r="E102" t="s">
        <v>867</v>
      </c>
    </row>
    <row r="103" spans="1:5">
      <c r="A103" s="33" t="s">
        <v>11</v>
      </c>
      <c r="B103" s="521" t="s">
        <v>35</v>
      </c>
      <c r="C103" s="522"/>
      <c r="D103" s="77"/>
    </row>
    <row r="104" spans="1:5">
      <c r="A104" s="510" t="s">
        <v>57</v>
      </c>
      <c r="B104" s="510"/>
      <c r="C104" s="510"/>
      <c r="D104" s="79">
        <f>SUM(D100:D103)</f>
        <v>0.09</v>
      </c>
    </row>
    <row r="105" spans="1:5">
      <c r="D105" s="37"/>
    </row>
    <row r="106" spans="1:5">
      <c r="A106" s="80" t="s">
        <v>58</v>
      </c>
      <c r="B106" s="510" t="s">
        <v>32</v>
      </c>
      <c r="C106" s="510"/>
      <c r="D106" s="67" t="s">
        <v>25</v>
      </c>
    </row>
    <row r="107" spans="1:5" s="113" customFormat="1" ht="28.5" customHeight="1">
      <c r="A107" s="61" t="s">
        <v>4</v>
      </c>
      <c r="B107" s="525" t="s">
        <v>868</v>
      </c>
      <c r="C107" s="525"/>
      <c r="D107" s="325">
        <v>0</v>
      </c>
    </row>
    <row r="108" spans="1:5">
      <c r="A108" s="510" t="s">
        <v>57</v>
      </c>
      <c r="B108" s="510"/>
      <c r="C108" s="510"/>
      <c r="D108" s="79">
        <f>SUM(D107:D107)</f>
        <v>0</v>
      </c>
    </row>
    <row r="110" spans="1:5">
      <c r="A110" s="321" t="s">
        <v>318</v>
      </c>
      <c r="B110" s="321"/>
      <c r="C110" s="321"/>
      <c r="D110" s="321"/>
    </row>
    <row r="111" spans="1:5">
      <c r="A111" s="33" t="s">
        <v>50</v>
      </c>
      <c r="B111" s="521" t="s">
        <v>307</v>
      </c>
      <c r="C111" s="522"/>
      <c r="D111" s="36">
        <f>+D97</f>
        <v>11.879999999999999</v>
      </c>
    </row>
    <row r="112" spans="1:5">
      <c r="A112" s="33" t="s">
        <v>313</v>
      </c>
      <c r="B112" s="521" t="s">
        <v>314</v>
      </c>
      <c r="C112" s="522"/>
      <c r="D112" s="36">
        <f>+D104</f>
        <v>0.09</v>
      </c>
    </row>
    <row r="113" spans="1:4">
      <c r="A113" s="114"/>
      <c r="B113" s="523" t="s">
        <v>319</v>
      </c>
      <c r="C113" s="524"/>
      <c r="D113" s="52">
        <f>+D112+D111</f>
        <v>11.969999999999999</v>
      </c>
    </row>
    <row r="114" spans="1:4">
      <c r="A114" s="33" t="s">
        <v>58</v>
      </c>
      <c r="B114" s="521" t="s">
        <v>32</v>
      </c>
      <c r="C114" s="522"/>
      <c r="D114" s="36">
        <f>+D108</f>
        <v>0</v>
      </c>
    </row>
    <row r="115" spans="1:4">
      <c r="A115" s="485" t="s">
        <v>57</v>
      </c>
      <c r="B115" s="485"/>
      <c r="C115" s="485"/>
      <c r="D115" s="54">
        <f>+D114+D113</f>
        <v>11.969999999999999</v>
      </c>
    </row>
    <row r="117" spans="1:4">
      <c r="A117" s="511" t="s">
        <v>320</v>
      </c>
      <c r="B117" s="511"/>
      <c r="C117" s="511"/>
      <c r="D117" s="511"/>
    </row>
    <row r="119" spans="1:4">
      <c r="A119" s="80">
        <v>5</v>
      </c>
      <c r="B119" s="518" t="s">
        <v>45</v>
      </c>
      <c r="C119" s="548"/>
      <c r="D119" s="67" t="s">
        <v>25</v>
      </c>
    </row>
    <row r="120" spans="1:4">
      <c r="A120" s="33" t="s">
        <v>4</v>
      </c>
      <c r="B120" s="509" t="s">
        <v>46</v>
      </c>
      <c r="C120" s="509"/>
      <c r="D120" s="77">
        <f>Uniformes!E37</f>
        <v>37.704444444444441</v>
      </c>
    </row>
    <row r="121" spans="1:4">
      <c r="A121" s="33" t="s">
        <v>38</v>
      </c>
      <c r="B121" s="35" t="s">
        <v>39</v>
      </c>
      <c r="C121" s="82">
        <f>+$C$139+$C$140</f>
        <v>9.2499999999999999E-2</v>
      </c>
      <c r="D121" s="96">
        <f>+(C121*D120)*-1</f>
        <v>-3.4876611111111107</v>
      </c>
    </row>
    <row r="122" spans="1:4">
      <c r="A122" s="33" t="s">
        <v>6</v>
      </c>
      <c r="B122" s="509" t="s">
        <v>47</v>
      </c>
      <c r="C122" s="509"/>
      <c r="D122" s="77"/>
    </row>
    <row r="123" spans="1:4">
      <c r="A123" s="33" t="s">
        <v>40</v>
      </c>
      <c r="B123" s="35" t="s">
        <v>39</v>
      </c>
      <c r="C123" s="82">
        <f>+$C$139+$C$140</f>
        <v>9.2499999999999999E-2</v>
      </c>
      <c r="D123" s="96">
        <f>+(C123*D122)*-1</f>
        <v>0</v>
      </c>
    </row>
    <row r="124" spans="1:4">
      <c r="A124" s="33" t="s">
        <v>9</v>
      </c>
      <c r="B124" s="509" t="s">
        <v>48</v>
      </c>
      <c r="C124" s="509"/>
      <c r="D124" s="77">
        <v>0</v>
      </c>
    </row>
    <row r="125" spans="1:4">
      <c r="A125" s="33" t="s">
        <v>41</v>
      </c>
      <c r="B125" s="35" t="s">
        <v>39</v>
      </c>
      <c r="C125" s="82">
        <f>+$C$139+$C$140</f>
        <v>9.2499999999999999E-2</v>
      </c>
      <c r="D125" s="96">
        <f>+(C125*D124)*-1</f>
        <v>0</v>
      </c>
    </row>
    <row r="126" spans="1:4">
      <c r="A126" s="33" t="s">
        <v>11</v>
      </c>
      <c r="B126" s="509" t="s">
        <v>35</v>
      </c>
      <c r="C126" s="509"/>
      <c r="D126" s="77"/>
    </row>
    <row r="127" spans="1:4">
      <c r="A127" s="33" t="s">
        <v>49</v>
      </c>
      <c r="B127" s="35" t="s">
        <v>39</v>
      </c>
      <c r="C127" s="82">
        <f>+$C$139+$C$140</f>
        <v>9.2499999999999999E-2</v>
      </c>
      <c r="D127" s="96">
        <f>+(C127*D126)*-1</f>
        <v>0</v>
      </c>
    </row>
    <row r="128" spans="1:4">
      <c r="A128" s="510" t="s">
        <v>57</v>
      </c>
      <c r="B128" s="510"/>
      <c r="C128" s="510"/>
      <c r="D128" s="79">
        <f>SUM(D120:D126)</f>
        <v>34.216783333333332</v>
      </c>
    </row>
    <row r="130" spans="1:4">
      <c r="A130" s="511" t="s">
        <v>321</v>
      </c>
      <c r="B130" s="511"/>
      <c r="C130" s="511"/>
      <c r="D130" s="511"/>
    </row>
    <row r="132" spans="1:4">
      <c r="A132" s="80">
        <v>6</v>
      </c>
      <c r="B132" s="81" t="s">
        <v>62</v>
      </c>
      <c r="C132" s="324" t="s">
        <v>51</v>
      </c>
      <c r="D132" s="67" t="s">
        <v>25</v>
      </c>
    </row>
    <row r="133" spans="1:4">
      <c r="A133" s="33" t="s">
        <v>4</v>
      </c>
      <c r="B133" s="33" t="s">
        <v>63</v>
      </c>
      <c r="C133" s="39">
        <f>'Nutricionista 5X2'!C130</f>
        <v>0.06</v>
      </c>
      <c r="D133" s="36">
        <f>($D$128+$D$115+$D$83+$D$72+$D$23)*C133</f>
        <v>148.6640136824</v>
      </c>
    </row>
    <row r="134" spans="1:4">
      <c r="A134" s="33" t="s">
        <v>6</v>
      </c>
      <c r="B134" s="33" t="s">
        <v>64</v>
      </c>
      <c r="C134" s="39">
        <f>'Nutricionista 5X2'!C131</f>
        <v>0.06</v>
      </c>
      <c r="D134" s="36">
        <f>($D$128+$D$115+$D$83+$D$72+$D$23+D133)*C134</f>
        <v>157.58385450334399</v>
      </c>
    </row>
    <row r="135" spans="1:4" s="117" customFormat="1">
      <c r="A135" s="512" t="s">
        <v>65</v>
      </c>
      <c r="B135" s="513"/>
      <c r="C135" s="514"/>
      <c r="D135" s="116">
        <f>++D134+D133+D128+D115+D83+D72+D23</f>
        <v>2783.9814295590777</v>
      </c>
    </row>
    <row r="136" spans="1:4" s="117" customFormat="1">
      <c r="A136" s="515" t="s">
        <v>66</v>
      </c>
      <c r="B136" s="516"/>
      <c r="C136" s="517"/>
      <c r="D136" s="116">
        <f>ROUND(D135/(1-(C139+C140+C142+C144+C145)),2)</f>
        <v>3246.63</v>
      </c>
    </row>
    <row r="137" spans="1:4">
      <c r="A137" s="33" t="s">
        <v>9</v>
      </c>
      <c r="B137" s="33" t="s">
        <v>67</v>
      </c>
      <c r="C137" s="39"/>
      <c r="D137" s="33"/>
    </row>
    <row r="138" spans="1:4">
      <c r="A138" s="33" t="s">
        <v>41</v>
      </c>
      <c r="B138" s="33" t="s">
        <v>322</v>
      </c>
      <c r="C138" s="39"/>
      <c r="D138" s="33"/>
    </row>
    <row r="139" spans="1:4">
      <c r="A139" s="33" t="s">
        <v>323</v>
      </c>
      <c r="B139" s="33" t="s">
        <v>68</v>
      </c>
      <c r="C139" s="39">
        <v>1.6500000000000001E-2</v>
      </c>
      <c r="D139" s="36">
        <f>ROUND(C139*$D$136,2)</f>
        <v>53.57</v>
      </c>
    </row>
    <row r="140" spans="1:4">
      <c r="A140" s="33" t="s">
        <v>324</v>
      </c>
      <c r="B140" s="33" t="s">
        <v>69</v>
      </c>
      <c r="C140" s="39">
        <v>7.5999999999999998E-2</v>
      </c>
      <c r="D140" s="36">
        <f>ROUND(C140*$D$136,2)</f>
        <v>246.74</v>
      </c>
    </row>
    <row r="141" spans="1:4">
      <c r="A141" s="33" t="s">
        <v>325</v>
      </c>
      <c r="B141" s="33" t="s">
        <v>326</v>
      </c>
      <c r="C141" s="39"/>
      <c r="D141" s="36"/>
    </row>
    <row r="142" spans="1:4">
      <c r="A142" s="33" t="s">
        <v>327</v>
      </c>
      <c r="B142" s="33" t="s">
        <v>328</v>
      </c>
      <c r="C142" s="39"/>
      <c r="D142" s="33"/>
    </row>
    <row r="143" spans="1:4">
      <c r="A143" s="33" t="s">
        <v>329</v>
      </c>
      <c r="B143" s="33" t="s">
        <v>330</v>
      </c>
      <c r="C143" s="39"/>
      <c r="D143" s="33"/>
    </row>
    <row r="144" spans="1:4">
      <c r="A144" s="33" t="s">
        <v>331</v>
      </c>
      <c r="B144" s="33" t="s">
        <v>332</v>
      </c>
      <c r="C144" s="39">
        <v>0.05</v>
      </c>
      <c r="D144" s="36">
        <f>ROUND(C144*$D$136,2)</f>
        <v>162.33000000000001</v>
      </c>
    </row>
    <row r="145" spans="1:4">
      <c r="A145" s="33" t="s">
        <v>333</v>
      </c>
      <c r="B145" s="33" t="s">
        <v>334</v>
      </c>
      <c r="C145" s="39"/>
      <c r="D145" s="33"/>
    </row>
    <row r="146" spans="1:4">
      <c r="A146" s="518" t="s">
        <v>57</v>
      </c>
      <c r="B146" s="519"/>
      <c r="C146" s="118">
        <f>+C145+C144+C142+C140+C139+C134+C133</f>
        <v>0.26250000000000001</v>
      </c>
      <c r="D146" s="79">
        <f>+D144+D142+D140+D139+D134+D133</f>
        <v>768.88786818574397</v>
      </c>
    </row>
    <row r="148" spans="1:4">
      <c r="A148" s="520" t="s">
        <v>335</v>
      </c>
      <c r="B148" s="520"/>
      <c r="C148" s="520"/>
      <c r="D148" s="520"/>
    </row>
    <row r="149" spans="1:4">
      <c r="A149" s="33" t="s">
        <v>4</v>
      </c>
      <c r="B149" s="503" t="s">
        <v>336</v>
      </c>
      <c r="C149" s="503"/>
      <c r="D149" s="77">
        <f>+D23</f>
        <v>1300.43</v>
      </c>
    </row>
    <row r="150" spans="1:4">
      <c r="A150" s="33" t="s">
        <v>337</v>
      </c>
      <c r="B150" s="503" t="s">
        <v>338</v>
      </c>
      <c r="C150" s="503"/>
      <c r="D150" s="77">
        <f>+D72</f>
        <v>1104.45677804</v>
      </c>
    </row>
    <row r="151" spans="1:4">
      <c r="A151" s="33" t="s">
        <v>9</v>
      </c>
      <c r="B151" s="503" t="s">
        <v>339</v>
      </c>
      <c r="C151" s="503"/>
      <c r="D151" s="77">
        <f>+D83</f>
        <v>26.66</v>
      </c>
    </row>
    <row r="152" spans="1:4">
      <c r="A152" s="33" t="s">
        <v>11</v>
      </c>
      <c r="B152" s="503" t="s">
        <v>340</v>
      </c>
      <c r="C152" s="503"/>
      <c r="D152" s="77">
        <f>+D115</f>
        <v>11.969999999999999</v>
      </c>
    </row>
    <row r="153" spans="1:4">
      <c r="A153" s="33" t="s">
        <v>27</v>
      </c>
      <c r="B153" s="503" t="s">
        <v>341</v>
      </c>
      <c r="C153" s="503"/>
      <c r="D153" s="77">
        <f>+D128</f>
        <v>34.216783333333332</v>
      </c>
    </row>
    <row r="154" spans="1:4">
      <c r="B154" s="502" t="s">
        <v>342</v>
      </c>
      <c r="C154" s="502"/>
      <c r="D154" s="119">
        <f>SUM(D149:D153)</f>
        <v>2477.733561373333</v>
      </c>
    </row>
    <row r="155" spans="1:4">
      <c r="A155" s="33" t="s">
        <v>29</v>
      </c>
      <c r="B155" s="503" t="s">
        <v>343</v>
      </c>
      <c r="C155" s="503"/>
      <c r="D155" s="77">
        <f>+D146</f>
        <v>768.88786818574397</v>
      </c>
    </row>
    <row r="157" spans="1:4">
      <c r="A157" s="547" t="s">
        <v>344</v>
      </c>
      <c r="B157" s="547"/>
      <c r="C157" s="547"/>
      <c r="D157" s="120">
        <f>ROUND(+D155+D154,2)</f>
        <v>3246.62</v>
      </c>
    </row>
    <row r="159" spans="1:4">
      <c r="A159" s="493" t="s">
        <v>345</v>
      </c>
      <c r="B159" s="493"/>
      <c r="C159" s="493"/>
      <c r="D159" s="493"/>
    </row>
    <row r="161" spans="1:5">
      <c r="A161" s="33" t="s">
        <v>4</v>
      </c>
      <c r="B161" s="33" t="s">
        <v>217</v>
      </c>
      <c r="C161" s="121">
        <f>+C29</f>
        <v>8.3299999999999999E-2</v>
      </c>
      <c r="D161" s="77">
        <f>+D29</f>
        <v>108.37</v>
      </c>
    </row>
    <row r="162" spans="1:5">
      <c r="A162" s="33" t="s">
        <v>6</v>
      </c>
      <c r="B162" s="33" t="s">
        <v>218</v>
      </c>
      <c r="C162" s="121">
        <f>+C31</f>
        <v>8.3299999999999999E-2</v>
      </c>
      <c r="D162" s="77">
        <f>+D31</f>
        <v>108.37</v>
      </c>
    </row>
    <row r="163" spans="1:5">
      <c r="A163" s="33" t="s">
        <v>9</v>
      </c>
      <c r="B163" s="33" t="s">
        <v>59</v>
      </c>
      <c r="C163" s="121">
        <f>+C32</f>
        <v>2.7799999999999998E-2</v>
      </c>
      <c r="D163" s="77">
        <f>+D32</f>
        <v>36.119999999999997</v>
      </c>
    </row>
    <row r="164" spans="1:5" ht="25.5">
      <c r="A164" s="33" t="s">
        <v>11</v>
      </c>
      <c r="B164" s="71" t="s">
        <v>301</v>
      </c>
      <c r="C164" s="39">
        <f>+C79</f>
        <v>4.7753435402136217E-3</v>
      </c>
      <c r="D164" s="77">
        <f>+D79</f>
        <v>6.21</v>
      </c>
    </row>
    <row r="165" spans="1:5" ht="25.5">
      <c r="A165" s="33" t="s">
        <v>27</v>
      </c>
      <c r="B165" s="71" t="s">
        <v>304</v>
      </c>
      <c r="C165" s="121">
        <f>+C82</f>
        <v>4.7753435402136217E-3</v>
      </c>
      <c r="D165" s="36">
        <f>+D82</f>
        <v>6.21</v>
      </c>
    </row>
    <row r="166" spans="1:5">
      <c r="A166" s="33" t="s">
        <v>44</v>
      </c>
      <c r="B166" s="35" t="s">
        <v>346</v>
      </c>
      <c r="C166" s="505">
        <f>+(D166+D167+D168)/D23</f>
        <v>7.1553255461655002E-2</v>
      </c>
      <c r="D166" s="77">
        <f>ROUND(D29*(SUM($C$37:$C$44)),2)</f>
        <v>39.880000000000003</v>
      </c>
    </row>
    <row r="167" spans="1:5">
      <c r="A167" s="33" t="s">
        <v>347</v>
      </c>
      <c r="B167" s="35" t="s">
        <v>348</v>
      </c>
      <c r="C167" s="505"/>
      <c r="D167" s="77">
        <f>ROUND(D31*(SUM($C$37:$C$44)),2)</f>
        <v>39.880000000000003</v>
      </c>
    </row>
    <row r="168" spans="1:5">
      <c r="A168" s="33" t="s">
        <v>349</v>
      </c>
      <c r="B168" s="35" t="s">
        <v>350</v>
      </c>
      <c r="C168" s="505"/>
      <c r="D168" s="77">
        <f>ROUND(D32*(SUM($C$37:$C$44)),2)</f>
        <v>13.29</v>
      </c>
    </row>
    <row r="169" spans="1:5">
      <c r="A169" s="506" t="s">
        <v>57</v>
      </c>
      <c r="B169" s="507"/>
      <c r="C169" s="508"/>
      <c r="D169" s="43">
        <f>SUM(D161:D168)</f>
        <v>358.33</v>
      </c>
    </row>
    <row r="170" spans="1:5">
      <c r="B170" s="122"/>
      <c r="C170" s="122"/>
      <c r="D170" s="122"/>
    </row>
    <row r="171" spans="1:5" s="124" customFormat="1" ht="44.25" customHeight="1">
      <c r="A171" s="499" t="s">
        <v>351</v>
      </c>
      <c r="B171" s="499"/>
      <c r="C171" s="499"/>
      <c r="D171" s="499"/>
      <c r="E171" s="123"/>
    </row>
    <row r="172" spans="1:5">
      <c r="A172" s="125"/>
      <c r="B172" s="125"/>
      <c r="C172" s="125"/>
      <c r="D172" s="125"/>
      <c r="E172" s="125"/>
    </row>
    <row r="173" spans="1:5">
      <c r="A173" s="500"/>
      <c r="B173" s="500"/>
      <c r="C173" s="500"/>
      <c r="D173" s="500"/>
      <c r="E173" s="125"/>
    </row>
    <row r="174" spans="1:5">
      <c r="A174" s="125"/>
      <c r="B174" s="125"/>
      <c r="C174" s="125"/>
      <c r="D174" s="125"/>
      <c r="E174" s="125"/>
    </row>
    <row r="175" spans="1:5">
      <c r="A175" s="501"/>
      <c r="B175" s="501"/>
      <c r="C175" s="501"/>
      <c r="D175" s="501"/>
      <c r="E175" s="125"/>
    </row>
    <row r="176" spans="1:5">
      <c r="A176" s="125"/>
      <c r="B176" s="125"/>
      <c r="C176" s="125"/>
      <c r="D176" s="125"/>
      <c r="E176" s="125"/>
    </row>
    <row r="177" spans="1:5">
      <c r="A177" s="125"/>
      <c r="B177" s="125"/>
      <c r="C177" s="125"/>
      <c r="D177" s="125"/>
      <c r="E177" s="125"/>
    </row>
    <row r="178" spans="1:5">
      <c r="A178" s="125"/>
      <c r="B178" s="125"/>
      <c r="C178" s="125"/>
      <c r="D178" s="125"/>
      <c r="E178" s="125"/>
    </row>
    <row r="179" spans="1:5">
      <c r="A179" s="125"/>
      <c r="B179" s="125"/>
      <c r="C179" s="125"/>
      <c r="D179" s="125"/>
      <c r="E179" s="125"/>
    </row>
    <row r="180" spans="1:5">
      <c r="A180" s="125"/>
      <c r="B180" s="125"/>
      <c r="C180" s="125"/>
      <c r="D180" s="125"/>
      <c r="E180" s="125"/>
    </row>
    <row r="181" spans="1:5">
      <c r="A181" s="125"/>
      <c r="B181" s="125"/>
      <c r="C181" s="125"/>
      <c r="D181" s="125"/>
      <c r="E181" s="125"/>
    </row>
    <row r="182" spans="1:5">
      <c r="A182" s="125"/>
      <c r="B182" s="125"/>
      <c r="C182" s="125"/>
      <c r="D182" s="125"/>
      <c r="E182" s="125"/>
    </row>
    <row r="183" spans="1:5">
      <c r="A183" s="125"/>
      <c r="B183" s="125"/>
      <c r="C183" s="125"/>
      <c r="D183" s="125"/>
      <c r="E183" s="125"/>
    </row>
    <row r="184" spans="1:5">
      <c r="A184" s="125"/>
      <c r="B184" s="125"/>
      <c r="C184" s="125"/>
      <c r="D184" s="125"/>
      <c r="E184" s="125"/>
    </row>
    <row r="185" spans="1:5">
      <c r="A185" s="125"/>
      <c r="B185" s="125"/>
      <c r="C185" s="125"/>
      <c r="D185" s="125"/>
      <c r="E185" s="125"/>
    </row>
    <row r="186" spans="1:5">
      <c r="A186" s="125"/>
      <c r="B186" s="125"/>
      <c r="C186" s="125"/>
      <c r="D186" s="125"/>
      <c r="E186" s="125"/>
    </row>
    <row r="187" spans="1:5">
      <c r="A187" s="125"/>
      <c r="B187" s="125"/>
      <c r="C187" s="125"/>
      <c r="D187" s="125"/>
      <c r="E187" s="125"/>
    </row>
    <row r="188" spans="1:5">
      <c r="A188" s="125"/>
      <c r="B188" s="125"/>
      <c r="C188" s="125"/>
      <c r="D188" s="125"/>
      <c r="E188" s="125"/>
    </row>
  </sheetData>
  <mergeCells count="83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74:D74"/>
    <mergeCell ref="A27:D27"/>
    <mergeCell ref="A33:C33"/>
    <mergeCell ref="A35:D35"/>
    <mergeCell ref="A47:D47"/>
    <mergeCell ref="A65:B65"/>
    <mergeCell ref="A67:D67"/>
    <mergeCell ref="B68:C68"/>
    <mergeCell ref="B69:C69"/>
    <mergeCell ref="B70:C70"/>
    <mergeCell ref="B71:C71"/>
    <mergeCell ref="A72:C72"/>
    <mergeCell ref="B96:C96"/>
    <mergeCell ref="A83:C83"/>
    <mergeCell ref="A85:D85"/>
    <mergeCell ref="A87:D87"/>
    <mergeCell ref="B88:C88"/>
    <mergeCell ref="B89:C89"/>
    <mergeCell ref="B90:C90"/>
    <mergeCell ref="B91:C91"/>
    <mergeCell ref="B92:C92"/>
    <mergeCell ref="B93:C93"/>
    <mergeCell ref="B94:C94"/>
    <mergeCell ref="B95:C95"/>
    <mergeCell ref="B112:C112"/>
    <mergeCell ref="A97:C97"/>
    <mergeCell ref="B99:C99"/>
    <mergeCell ref="B100:C100"/>
    <mergeCell ref="B101:C101"/>
    <mergeCell ref="B102:C102"/>
    <mergeCell ref="B103:C103"/>
    <mergeCell ref="A104:C104"/>
    <mergeCell ref="B106:C106"/>
    <mergeCell ref="B107:C107"/>
    <mergeCell ref="A108:C108"/>
    <mergeCell ref="B111:C111"/>
    <mergeCell ref="A135:C135"/>
    <mergeCell ref="B113:C113"/>
    <mergeCell ref="B114:C114"/>
    <mergeCell ref="A115:C115"/>
    <mergeCell ref="A117:D117"/>
    <mergeCell ref="B119:C119"/>
    <mergeCell ref="B120:C120"/>
    <mergeCell ref="B122:C122"/>
    <mergeCell ref="B124:C124"/>
    <mergeCell ref="B126:C126"/>
    <mergeCell ref="A128:C128"/>
    <mergeCell ref="A130:D130"/>
    <mergeCell ref="A159:D159"/>
    <mergeCell ref="A136:C136"/>
    <mergeCell ref="A146:B146"/>
    <mergeCell ref="A148:D148"/>
    <mergeCell ref="B149:C149"/>
    <mergeCell ref="B150:C150"/>
    <mergeCell ref="B151:C151"/>
    <mergeCell ref="B152:C152"/>
    <mergeCell ref="B153:C153"/>
    <mergeCell ref="B154:C154"/>
    <mergeCell ref="B155:C155"/>
    <mergeCell ref="A157:C157"/>
    <mergeCell ref="C166:C168"/>
    <mergeCell ref="A169:C169"/>
    <mergeCell ref="A171:D171"/>
    <mergeCell ref="A173:D173"/>
    <mergeCell ref="A175:D17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  <ignoredErrors>
    <ignoredError sqref="D57:D59 D60:D6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-0.499984740745262"/>
  </sheetPr>
  <dimension ref="A1:E119"/>
  <sheetViews>
    <sheetView view="pageBreakPreview" topLeftCell="A34" zoomScaleNormal="100" zoomScaleSheetLayoutView="100" workbookViewId="0">
      <selection activeCell="B17" sqref="B17"/>
    </sheetView>
  </sheetViews>
  <sheetFormatPr defaultColWidth="8.85546875" defaultRowHeight="12.75"/>
  <cols>
    <col min="1" max="1" width="64.42578125" customWidth="1"/>
    <col min="2" max="2" width="15.42578125" bestFit="1" customWidth="1"/>
    <col min="3" max="3" width="15" customWidth="1"/>
    <col min="4" max="4" width="23.140625" customWidth="1"/>
    <col min="5" max="5" width="10.42578125" bestFit="1" customWidth="1"/>
  </cols>
  <sheetData>
    <row r="1" spans="1:5" ht="17.25" customHeight="1">
      <c r="A1" s="549" t="s">
        <v>843</v>
      </c>
      <c r="B1" s="549"/>
      <c r="C1" s="549"/>
    </row>
    <row r="3" spans="1:5">
      <c r="A3" s="33" t="s">
        <v>197</v>
      </c>
      <c r="B3" s="33">
        <v>220</v>
      </c>
    </row>
    <row r="4" spans="1:5">
      <c r="A4" s="33" t="s">
        <v>198</v>
      </c>
      <c r="B4" s="33">
        <v>365.25</v>
      </c>
    </row>
    <row r="5" spans="1:5">
      <c r="A5" s="33" t="s">
        <v>199</v>
      </c>
      <c r="B5" s="34">
        <f>(365.25/12)/(7/5)</f>
        <v>21.741071428571431</v>
      </c>
    </row>
    <row r="6" spans="1:5">
      <c r="A6" s="35" t="s">
        <v>200</v>
      </c>
      <c r="B6" s="36">
        <f>'Copeiro 5x2'!D12</f>
        <v>1366.2</v>
      </c>
    </row>
    <row r="7" spans="1:5">
      <c r="A7" s="35" t="s">
        <v>201</v>
      </c>
      <c r="B7" s="36">
        <f>'Copeiro 5x2'!D23</f>
        <v>1366.2</v>
      </c>
    </row>
    <row r="9" spans="1:5">
      <c r="C9" s="37"/>
    </row>
    <row r="11" spans="1:5">
      <c r="A11" s="493" t="s">
        <v>202</v>
      </c>
      <c r="B11" s="493"/>
      <c r="C11" s="493"/>
    </row>
    <row r="12" spans="1:5">
      <c r="A12" s="33" t="s">
        <v>203</v>
      </c>
      <c r="B12" s="33">
        <f>+$B$4</f>
        <v>365.25</v>
      </c>
      <c r="C12" s="38"/>
    </row>
    <row r="13" spans="1:5">
      <c r="A13" s="33" t="s">
        <v>204</v>
      </c>
      <c r="B13" s="35">
        <v>12</v>
      </c>
      <c r="C13" s="38"/>
    </row>
    <row r="14" spans="1:5">
      <c r="A14" s="33" t="s">
        <v>205</v>
      </c>
      <c r="B14" s="39">
        <v>1</v>
      </c>
      <c r="C14" s="38"/>
      <c r="E14" s="74"/>
    </row>
    <row r="15" spans="1:5">
      <c r="A15" s="35" t="s">
        <v>206</v>
      </c>
      <c r="B15" s="40">
        <f>+B5</f>
        <v>21.741071428571431</v>
      </c>
      <c r="C15" s="38"/>
    </row>
    <row r="16" spans="1:5">
      <c r="A16" s="41" t="s">
        <v>207</v>
      </c>
      <c r="B16" s="42">
        <v>4.05</v>
      </c>
      <c r="C16" s="38"/>
    </row>
    <row r="17" spans="1:5">
      <c r="A17" s="33" t="s">
        <v>208</v>
      </c>
      <c r="B17" s="39">
        <v>0.06</v>
      </c>
      <c r="C17" s="38"/>
    </row>
    <row r="18" spans="1:5">
      <c r="A18" s="491" t="s">
        <v>209</v>
      </c>
      <c r="B18" s="492"/>
      <c r="C18" s="43">
        <f>IF(ROUND((B15*(B16*2)-($B$6*B17)),2)&gt;0,ROUND((B15*(B16*2)-($B$6*B17)),2),0)</f>
        <v>94.13</v>
      </c>
      <c r="E18" s="74"/>
    </row>
    <row r="20" spans="1:5">
      <c r="A20" s="493" t="s">
        <v>210</v>
      </c>
      <c r="B20" s="493"/>
      <c r="C20" s="493"/>
    </row>
    <row r="21" spans="1:5">
      <c r="A21" s="33" t="s">
        <v>36</v>
      </c>
      <c r="B21" s="36">
        <f>B7</f>
        <v>1366.2</v>
      </c>
      <c r="C21" s="38"/>
    </row>
    <row r="22" spans="1:5">
      <c r="A22" s="33" t="s">
        <v>211</v>
      </c>
      <c r="B22" s="33">
        <v>12</v>
      </c>
      <c r="C22" s="38"/>
    </row>
    <row r="23" spans="1:5">
      <c r="A23" s="44" t="s">
        <v>212</v>
      </c>
      <c r="B23" s="45">
        <v>0.1</v>
      </c>
      <c r="C23" s="38"/>
    </row>
    <row r="24" spans="1:5">
      <c r="A24" s="485" t="s">
        <v>213</v>
      </c>
      <c r="B24" s="485"/>
      <c r="C24" s="43">
        <f>ROUND(+(B21/B22)*B23,2)</f>
        <v>11.39</v>
      </c>
    </row>
    <row r="26" spans="1:5">
      <c r="A26" s="494" t="s">
        <v>214</v>
      </c>
      <c r="B26" s="495"/>
      <c r="C26" s="496"/>
    </row>
    <row r="27" spans="1:5" s="47" customFormat="1">
      <c r="A27" s="46" t="s">
        <v>215</v>
      </c>
      <c r="B27" s="45">
        <f>+B23</f>
        <v>0.1</v>
      </c>
      <c r="C27" s="38"/>
    </row>
    <row r="28" spans="1:5">
      <c r="A28" s="33" t="s">
        <v>216</v>
      </c>
      <c r="B28" s="36">
        <f>'Copeiro 5x2'!D23</f>
        <v>1366.2</v>
      </c>
      <c r="C28" s="38"/>
    </row>
    <row r="29" spans="1:5">
      <c r="A29" s="33" t="s">
        <v>217</v>
      </c>
      <c r="B29" s="36">
        <f>'Copeiro 5x2'!D29</f>
        <v>113.85</v>
      </c>
      <c r="C29" s="38"/>
    </row>
    <row r="30" spans="1:5">
      <c r="A30" s="48" t="s">
        <v>218</v>
      </c>
      <c r="B30" s="36">
        <f>'Copeiro 5x2'!D31</f>
        <v>113.85</v>
      </c>
      <c r="C30" s="38"/>
    </row>
    <row r="31" spans="1:5">
      <c r="A31" s="48" t="s">
        <v>59</v>
      </c>
      <c r="B31" s="36">
        <f>'Copeiro 5x2'!D32</f>
        <v>37.950000000000003</v>
      </c>
      <c r="C31" s="38"/>
    </row>
    <row r="32" spans="1:5">
      <c r="A32" s="49" t="s">
        <v>219</v>
      </c>
      <c r="B32" s="50">
        <f>SUM(B28:B31)</f>
        <v>1631.85</v>
      </c>
      <c r="C32" s="38"/>
    </row>
    <row r="33" spans="1:3">
      <c r="A33" s="51" t="s">
        <v>220</v>
      </c>
      <c r="B33" s="39">
        <v>0.4</v>
      </c>
      <c r="C33" s="38"/>
    </row>
    <row r="34" spans="1:3">
      <c r="A34" s="59" t="s">
        <v>363</v>
      </c>
      <c r="B34" s="39">
        <v>0.08</v>
      </c>
      <c r="C34" s="38"/>
    </row>
    <row r="35" spans="1:3">
      <c r="A35" s="490" t="s">
        <v>222</v>
      </c>
      <c r="B35" s="490"/>
      <c r="C35" s="52">
        <f>ROUND(+B32*B33*B34*B27,2)</f>
        <v>5.22</v>
      </c>
    </row>
    <row r="36" spans="1:3">
      <c r="A36" s="51" t="s">
        <v>223</v>
      </c>
      <c r="B36" s="39">
        <v>0.1</v>
      </c>
      <c r="C36" s="38"/>
    </row>
    <row r="37" spans="1:3">
      <c r="A37" s="490" t="s">
        <v>224</v>
      </c>
      <c r="B37" s="490"/>
      <c r="C37" s="53">
        <f>ROUND(B36*B34*B32*B27,2)</f>
        <v>1.31</v>
      </c>
    </row>
    <row r="38" spans="1:3">
      <c r="A38" s="491" t="s">
        <v>225</v>
      </c>
      <c r="B38" s="492"/>
      <c r="C38" s="54">
        <f>+C37+C35</f>
        <v>6.5299999999999994</v>
      </c>
    </row>
    <row r="40" spans="1:3">
      <c r="A40" s="493" t="s">
        <v>226</v>
      </c>
      <c r="B40" s="493"/>
      <c r="C40" s="493"/>
    </row>
    <row r="41" spans="1:3">
      <c r="A41" s="33" t="s">
        <v>36</v>
      </c>
      <c r="B41" s="36">
        <f>B7</f>
        <v>1366.2</v>
      </c>
      <c r="C41" s="38"/>
    </row>
    <row r="42" spans="1:3">
      <c r="A42" s="33" t="s">
        <v>227</v>
      </c>
      <c r="B42" s="55">
        <v>30</v>
      </c>
      <c r="C42" s="38"/>
    </row>
    <row r="43" spans="1:3">
      <c r="A43" s="33" t="s">
        <v>211</v>
      </c>
      <c r="B43" s="33">
        <v>12</v>
      </c>
      <c r="C43" s="38"/>
    </row>
    <row r="44" spans="1:3">
      <c r="A44" s="33" t="s">
        <v>228</v>
      </c>
      <c r="B44" s="33">
        <v>7</v>
      </c>
      <c r="C44" s="38"/>
    </row>
    <row r="45" spans="1:3">
      <c r="A45" s="44" t="s">
        <v>229</v>
      </c>
      <c r="B45" s="45">
        <v>0.1</v>
      </c>
      <c r="C45" s="38"/>
    </row>
    <row r="46" spans="1:3">
      <c r="A46" s="485" t="s">
        <v>230</v>
      </c>
      <c r="B46" s="485"/>
      <c r="C46" s="43">
        <f>+ROUND(((B41/B42/B43)*B44)*B45,2)</f>
        <v>2.66</v>
      </c>
    </row>
    <row r="48" spans="1:3">
      <c r="A48" s="494" t="s">
        <v>231</v>
      </c>
      <c r="B48" s="495"/>
      <c r="C48" s="496"/>
    </row>
    <row r="49" spans="1:3" ht="25.5">
      <c r="A49" s="56" t="s">
        <v>232</v>
      </c>
      <c r="B49" s="45">
        <f>+B45</f>
        <v>0.1</v>
      </c>
      <c r="C49" s="38"/>
    </row>
    <row r="50" spans="1:3">
      <c r="A50" s="33" t="s">
        <v>216</v>
      </c>
      <c r="B50" s="36">
        <f>'Copeiro 5x2'!D23</f>
        <v>1366.2</v>
      </c>
      <c r="C50" s="38"/>
    </row>
    <row r="51" spans="1:3">
      <c r="A51" s="33" t="s">
        <v>217</v>
      </c>
      <c r="B51" s="36">
        <f>'Copeiro 5x2'!D29</f>
        <v>113.85</v>
      </c>
      <c r="C51" s="38"/>
    </row>
    <row r="52" spans="1:3">
      <c r="A52" s="48" t="s">
        <v>218</v>
      </c>
      <c r="B52" s="36">
        <f>'Copeiro 5x2'!D31</f>
        <v>113.85</v>
      </c>
      <c r="C52" s="38"/>
    </row>
    <row r="53" spans="1:3">
      <c r="A53" s="48" t="s">
        <v>59</v>
      </c>
      <c r="B53" s="36">
        <f>'Copeiro 5x2'!D32</f>
        <v>37.950000000000003</v>
      </c>
      <c r="C53" s="38"/>
    </row>
    <row r="54" spans="1:3">
      <c r="A54" s="49" t="s">
        <v>219</v>
      </c>
      <c r="B54" s="50">
        <f>SUM(B50:B53)</f>
        <v>1631.85</v>
      </c>
      <c r="C54" s="38"/>
    </row>
    <row r="55" spans="1:3">
      <c r="A55" s="51" t="s">
        <v>220</v>
      </c>
      <c r="B55" s="39">
        <v>0.4</v>
      </c>
      <c r="C55" s="38"/>
    </row>
    <row r="56" spans="1:3">
      <c r="A56" s="51" t="s">
        <v>221</v>
      </c>
      <c r="B56" s="39">
        <v>0.08</v>
      </c>
      <c r="C56" s="38"/>
    </row>
    <row r="57" spans="1:3">
      <c r="A57" s="490" t="s">
        <v>222</v>
      </c>
      <c r="B57" s="490"/>
      <c r="C57" s="52">
        <f>ROUND(+B54*B55*B56*B49,2)</f>
        <v>5.22</v>
      </c>
    </row>
    <row r="58" spans="1:3">
      <c r="A58" s="51" t="s">
        <v>223</v>
      </c>
      <c r="B58" s="39">
        <v>0.1</v>
      </c>
      <c r="C58" s="38"/>
    </row>
    <row r="59" spans="1:3">
      <c r="A59" s="490" t="s">
        <v>224</v>
      </c>
      <c r="B59" s="490"/>
      <c r="C59" s="53">
        <f>ROUND(B58*B56*B54*B49,2)</f>
        <v>1.31</v>
      </c>
    </row>
    <row r="60" spans="1:3">
      <c r="A60" s="491" t="s">
        <v>233</v>
      </c>
      <c r="B60" s="492"/>
      <c r="C60" s="54">
        <f>+C59+C57</f>
        <v>6.5299999999999994</v>
      </c>
    </row>
    <row r="62" spans="1:3">
      <c r="A62" s="494" t="s">
        <v>234</v>
      </c>
      <c r="B62" s="495"/>
      <c r="C62" s="496"/>
    </row>
    <row r="63" spans="1:3">
      <c r="A63" s="497" t="s">
        <v>235</v>
      </c>
      <c r="B63" s="497"/>
      <c r="C63" s="497"/>
    </row>
    <row r="64" spans="1:3">
      <c r="A64" s="497"/>
      <c r="B64" s="497"/>
      <c r="C64" s="497"/>
    </row>
    <row r="65" spans="1:3">
      <c r="A65" s="497"/>
      <c r="B65" s="497"/>
      <c r="C65" s="497"/>
    </row>
    <row r="66" spans="1:3">
      <c r="A66" s="497"/>
      <c r="B66" s="497"/>
      <c r="C66" s="497"/>
    </row>
    <row r="67" spans="1:3">
      <c r="A67" s="57"/>
      <c r="B67" s="57"/>
      <c r="C67" s="57"/>
    </row>
    <row r="68" spans="1:3">
      <c r="A68" s="486" t="s">
        <v>236</v>
      </c>
      <c r="B68" s="486"/>
      <c r="C68" s="486"/>
    </row>
    <row r="69" spans="1:3">
      <c r="A69" s="33" t="s">
        <v>237</v>
      </c>
      <c r="B69" s="36">
        <f>+$B$7</f>
        <v>1366.2</v>
      </c>
      <c r="C69" s="38"/>
    </row>
    <row r="70" spans="1:3">
      <c r="A70" s="33" t="s">
        <v>204</v>
      </c>
      <c r="B70" s="33">
        <v>30</v>
      </c>
      <c r="C70" s="38"/>
    </row>
    <row r="71" spans="1:3">
      <c r="A71" s="33" t="s">
        <v>238</v>
      </c>
      <c r="B71" s="33">
        <v>12</v>
      </c>
      <c r="C71" s="38"/>
    </row>
    <row r="72" spans="1:3">
      <c r="A72" s="44" t="s">
        <v>239</v>
      </c>
      <c r="B72" s="44">
        <v>1</v>
      </c>
      <c r="C72" s="38"/>
    </row>
    <row r="73" spans="1:3">
      <c r="A73" s="485" t="s">
        <v>240</v>
      </c>
      <c r="B73" s="485"/>
      <c r="C73" s="58">
        <f>+ROUND((B69/B70/B71)*B72,2)</f>
        <v>3.8</v>
      </c>
    </row>
    <row r="75" spans="1:3">
      <c r="A75" s="486" t="s">
        <v>241</v>
      </c>
      <c r="B75" s="486"/>
      <c r="C75" s="486"/>
    </row>
    <row r="76" spans="1:3">
      <c r="A76" s="33" t="s">
        <v>237</v>
      </c>
      <c r="B76" s="36">
        <f>+$B$7</f>
        <v>1366.2</v>
      </c>
      <c r="C76" s="38"/>
    </row>
    <row r="77" spans="1:3">
      <c r="A77" s="33" t="s">
        <v>204</v>
      </c>
      <c r="B77" s="33">
        <v>30</v>
      </c>
      <c r="C77" s="38"/>
    </row>
    <row r="78" spans="1:3">
      <c r="A78" s="33" t="s">
        <v>238</v>
      </c>
      <c r="B78" s="33">
        <v>12</v>
      </c>
      <c r="C78" s="38"/>
    </row>
    <row r="79" spans="1:3">
      <c r="A79" s="35" t="s">
        <v>242</v>
      </c>
      <c r="B79" s="33">
        <v>5</v>
      </c>
      <c r="C79" s="38"/>
    </row>
    <row r="80" spans="1:3">
      <c r="A80" s="44" t="s">
        <v>243</v>
      </c>
      <c r="B80" s="45">
        <v>1.4999999999999999E-2</v>
      </c>
      <c r="C80" s="38"/>
    </row>
    <row r="81" spans="1:5">
      <c r="A81" s="59" t="s">
        <v>244</v>
      </c>
      <c r="B81" s="39">
        <v>9.6100000000000005E-2</v>
      </c>
      <c r="C81" s="38"/>
    </row>
    <row r="82" spans="1:5">
      <c r="A82" s="485" t="s">
        <v>245</v>
      </c>
      <c r="B82" s="485"/>
      <c r="C82" s="43">
        <f>ROUND(+B76/B77/B78*B79*B80*B81,2)</f>
        <v>0.03</v>
      </c>
      <c r="E82" s="1"/>
    </row>
    <row r="84" spans="1:5">
      <c r="A84" s="486" t="s">
        <v>246</v>
      </c>
      <c r="B84" s="486"/>
      <c r="C84" s="486"/>
    </row>
    <row r="85" spans="1:5">
      <c r="A85" s="33" t="s">
        <v>237</v>
      </c>
      <c r="B85" s="36">
        <f>+$B$7</f>
        <v>1366.2</v>
      </c>
      <c r="C85" s="38"/>
    </row>
    <row r="86" spans="1:5">
      <c r="A86" s="33" t="s">
        <v>204</v>
      </c>
      <c r="B86" s="33">
        <v>30</v>
      </c>
      <c r="C86" s="38"/>
    </row>
    <row r="87" spans="1:5">
      <c r="A87" s="33" t="s">
        <v>238</v>
      </c>
      <c r="B87" s="33">
        <v>12</v>
      </c>
      <c r="C87" s="38"/>
    </row>
    <row r="88" spans="1:5">
      <c r="A88" s="35" t="s">
        <v>247</v>
      </c>
      <c r="B88" s="33">
        <v>15</v>
      </c>
      <c r="C88" s="38"/>
    </row>
    <row r="89" spans="1:5">
      <c r="A89" s="44" t="s">
        <v>248</v>
      </c>
      <c r="B89" s="45">
        <v>1.4999999999999999E-2</v>
      </c>
      <c r="C89" s="38"/>
    </row>
    <row r="90" spans="1:5">
      <c r="A90" s="485" t="s">
        <v>249</v>
      </c>
      <c r="B90" s="485"/>
      <c r="C90" s="43">
        <f>ROUND(+B85/B86/B87*B88*B89,2)</f>
        <v>0.85</v>
      </c>
    </row>
    <row r="92" spans="1:5">
      <c r="A92" s="486" t="s">
        <v>250</v>
      </c>
      <c r="B92" s="486"/>
      <c r="C92" s="486"/>
    </row>
    <row r="93" spans="1:5">
      <c r="A93" s="33" t="s">
        <v>237</v>
      </c>
      <c r="B93" s="36">
        <f>+$B$7</f>
        <v>1366.2</v>
      </c>
      <c r="C93" s="38"/>
    </row>
    <row r="94" spans="1:5">
      <c r="A94" s="33" t="s">
        <v>204</v>
      </c>
      <c r="B94" s="33">
        <v>30</v>
      </c>
      <c r="C94" s="38"/>
    </row>
    <row r="95" spans="1:5">
      <c r="A95" s="33" t="s">
        <v>238</v>
      </c>
      <c r="B95" s="33">
        <v>12</v>
      </c>
      <c r="C95" s="38"/>
    </row>
    <row r="96" spans="1:5">
      <c r="A96" s="35" t="s">
        <v>247</v>
      </c>
      <c r="B96" s="33">
        <v>5</v>
      </c>
      <c r="C96" s="38"/>
    </row>
    <row r="97" spans="1:3">
      <c r="A97" s="44" t="s">
        <v>251</v>
      </c>
      <c r="B97" s="45">
        <v>0.4</v>
      </c>
      <c r="C97" s="38"/>
    </row>
    <row r="98" spans="1:3">
      <c r="A98" s="485" t="s">
        <v>252</v>
      </c>
      <c r="B98" s="485"/>
      <c r="C98" s="43">
        <f>ROUND(+B93/B94/B95*B96*B97,2)</f>
        <v>7.59</v>
      </c>
    </row>
    <row r="100" spans="1:3">
      <c r="A100" s="486" t="s">
        <v>253</v>
      </c>
      <c r="B100" s="486"/>
      <c r="C100" s="486"/>
    </row>
    <row r="101" spans="1:3">
      <c r="A101" s="487" t="s">
        <v>254</v>
      </c>
      <c r="B101" s="488"/>
      <c r="C101" s="489"/>
    </row>
    <row r="102" spans="1:3">
      <c r="A102" s="33" t="s">
        <v>237</v>
      </c>
      <c r="B102" s="36">
        <f>+$B$7</f>
        <v>1366.2</v>
      </c>
      <c r="C102" s="38"/>
    </row>
    <row r="103" spans="1:3">
      <c r="A103" s="33" t="s">
        <v>255</v>
      </c>
      <c r="B103" s="36">
        <f>+B102*(1/3)</f>
        <v>455.4</v>
      </c>
      <c r="C103" s="38"/>
    </row>
    <row r="104" spans="1:3">
      <c r="A104" s="49" t="s">
        <v>219</v>
      </c>
      <c r="B104" s="50">
        <f>SUM(B102:B103)</f>
        <v>1821.6</v>
      </c>
      <c r="C104" s="38"/>
    </row>
    <row r="105" spans="1:3">
      <c r="A105" s="33" t="s">
        <v>256</v>
      </c>
      <c r="B105" s="33">
        <v>4</v>
      </c>
      <c r="C105" s="38"/>
    </row>
    <row r="106" spans="1:3">
      <c r="A106" s="33" t="s">
        <v>238</v>
      </c>
      <c r="B106" s="33">
        <v>12</v>
      </c>
      <c r="C106" s="38"/>
    </row>
    <row r="107" spans="1:3">
      <c r="A107" s="44" t="s">
        <v>257</v>
      </c>
      <c r="B107" s="45">
        <v>0.02</v>
      </c>
      <c r="C107" s="38"/>
    </row>
    <row r="108" spans="1:3">
      <c r="A108" s="35" t="s">
        <v>258</v>
      </c>
      <c r="B108" s="39">
        <f>1-B81</f>
        <v>0.90390000000000004</v>
      </c>
      <c r="C108" s="38"/>
    </row>
    <row r="109" spans="1:3">
      <c r="A109" s="485" t="s">
        <v>259</v>
      </c>
      <c r="B109" s="485"/>
      <c r="C109" s="43">
        <f>ROUND((((+B104*(B105/B106)/B106)*B107)*B108),2)</f>
        <v>0.91</v>
      </c>
    </row>
    <row r="110" spans="1:3">
      <c r="A110" s="485" t="s">
        <v>260</v>
      </c>
      <c r="B110" s="485"/>
      <c r="C110" s="485"/>
    </row>
    <row r="111" spans="1:3">
      <c r="A111" s="33" t="s">
        <v>237</v>
      </c>
      <c r="B111" s="36">
        <f>'Copeiro 5x2'!D23</f>
        <v>1366.2</v>
      </c>
      <c r="C111" s="38"/>
    </row>
    <row r="112" spans="1:3">
      <c r="A112" s="33" t="s">
        <v>217</v>
      </c>
      <c r="B112" s="36">
        <f>'Copeiro 5x2'!D29</f>
        <v>113.85</v>
      </c>
      <c r="C112" s="38"/>
    </row>
    <row r="113" spans="1:4">
      <c r="A113" s="49" t="s">
        <v>219</v>
      </c>
      <c r="B113" s="50">
        <f>SUM(B111:B112)</f>
        <v>1480.05</v>
      </c>
      <c r="C113" s="38"/>
    </row>
    <row r="114" spans="1:4">
      <c r="A114" s="33" t="s">
        <v>256</v>
      </c>
      <c r="B114" s="33">
        <v>4</v>
      </c>
      <c r="C114" s="38"/>
    </row>
    <row r="115" spans="1:4">
      <c r="A115" s="33" t="s">
        <v>238</v>
      </c>
      <c r="B115" s="33">
        <v>12</v>
      </c>
      <c r="C115" s="38"/>
    </row>
    <row r="116" spans="1:4">
      <c r="A116" s="44" t="s">
        <v>257</v>
      </c>
      <c r="B116" s="45">
        <v>0.02</v>
      </c>
      <c r="C116" s="38"/>
    </row>
    <row r="117" spans="1:4">
      <c r="A117" s="35" t="s">
        <v>258</v>
      </c>
      <c r="B117" s="39">
        <f>+B108</f>
        <v>0.90390000000000004</v>
      </c>
      <c r="C117" s="38"/>
    </row>
    <row r="118" spans="1:4">
      <c r="A118" s="35" t="s">
        <v>261</v>
      </c>
      <c r="B118" s="39">
        <f>'Copeiro 5x2'!C45</f>
        <v>0.36800000000000005</v>
      </c>
      <c r="C118" s="38"/>
    </row>
    <row r="119" spans="1:4">
      <c r="A119" s="485" t="s">
        <v>262</v>
      </c>
      <c r="B119" s="485"/>
      <c r="C119" s="404">
        <v>0</v>
      </c>
      <c r="D119" t="s">
        <v>867</v>
      </c>
    </row>
  </sheetData>
  <mergeCells count="30">
    <mergeCell ref="A26:C26"/>
    <mergeCell ref="A1:C1"/>
    <mergeCell ref="A11:C11"/>
    <mergeCell ref="A18:B18"/>
    <mergeCell ref="A20:C20"/>
    <mergeCell ref="A24:B24"/>
    <mergeCell ref="A68:C68"/>
    <mergeCell ref="A35:B35"/>
    <mergeCell ref="A37:B37"/>
    <mergeCell ref="A38:B38"/>
    <mergeCell ref="A40:C40"/>
    <mergeCell ref="A46:B46"/>
    <mergeCell ref="A48:C48"/>
    <mergeCell ref="A57:B57"/>
    <mergeCell ref="A59:B59"/>
    <mergeCell ref="A60:B60"/>
    <mergeCell ref="A62:C62"/>
    <mergeCell ref="A63:C66"/>
    <mergeCell ref="A119:B119"/>
    <mergeCell ref="A73:B73"/>
    <mergeCell ref="A75:C75"/>
    <mergeCell ref="A82:B82"/>
    <mergeCell ref="A84:C84"/>
    <mergeCell ref="A90:B90"/>
    <mergeCell ref="A92:C92"/>
    <mergeCell ref="A98:B98"/>
    <mergeCell ref="A100:C100"/>
    <mergeCell ref="A101:C101"/>
    <mergeCell ref="A109:B109"/>
    <mergeCell ref="A110:C11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499984740745262"/>
  </sheetPr>
  <dimension ref="A1:F188"/>
  <sheetViews>
    <sheetView workbookViewId="0">
      <selection activeCell="C6" sqref="C6:D6"/>
    </sheetView>
  </sheetViews>
  <sheetFormatPr defaultColWidth="8.85546875" defaultRowHeight="12.75"/>
  <cols>
    <col min="1" max="1" width="5.42578125" customWidth="1"/>
    <col min="2" max="2" width="50.140625" customWidth="1"/>
    <col min="3" max="3" width="9.42578125" bestFit="1" customWidth="1"/>
    <col min="4" max="4" width="15.42578125" customWidth="1"/>
    <col min="5" max="5" width="40.42578125" customWidth="1"/>
  </cols>
  <sheetData>
    <row r="1" spans="1:6">
      <c r="A1" s="536" t="s">
        <v>263</v>
      </c>
      <c r="B1" s="537"/>
      <c r="C1" s="537"/>
      <c r="D1" s="538"/>
      <c r="E1" s="60"/>
      <c r="F1" s="60"/>
    </row>
    <row r="3" spans="1:6">
      <c r="A3" s="518" t="s">
        <v>264</v>
      </c>
      <c r="B3" s="519"/>
      <c r="C3" s="519"/>
      <c r="D3" s="548"/>
    </row>
    <row r="4" spans="1:6" s="63" customFormat="1" ht="39.75" customHeight="1">
      <c r="A4" s="61">
        <v>1</v>
      </c>
      <c r="B4" s="62" t="s">
        <v>265</v>
      </c>
      <c r="C4" s="539" t="s">
        <v>842</v>
      </c>
      <c r="D4" s="540"/>
    </row>
    <row r="5" spans="1:6" s="63" customFormat="1">
      <c r="A5" s="61">
        <v>2</v>
      </c>
      <c r="B5" s="62" t="s">
        <v>266</v>
      </c>
      <c r="C5" s="541"/>
      <c r="D5" s="542"/>
    </row>
    <row r="6" spans="1:6" s="63" customFormat="1">
      <c r="A6" s="61">
        <v>3</v>
      </c>
      <c r="B6" s="62" t="s">
        <v>267</v>
      </c>
      <c r="C6" s="543">
        <v>1366.2</v>
      </c>
      <c r="D6" s="543"/>
      <c r="E6" s="126" t="s">
        <v>884</v>
      </c>
    </row>
    <row r="7" spans="1:6" s="63" customFormat="1" ht="42.75" customHeight="1">
      <c r="A7" s="61">
        <v>4</v>
      </c>
      <c r="B7" s="62" t="s">
        <v>268</v>
      </c>
      <c r="C7" s="530" t="s">
        <v>23</v>
      </c>
      <c r="D7" s="531"/>
    </row>
    <row r="8" spans="1:6" s="63" customFormat="1">
      <c r="A8" s="61">
        <v>5</v>
      </c>
      <c r="B8" s="62" t="s">
        <v>269</v>
      </c>
      <c r="C8" s="544">
        <v>43101</v>
      </c>
      <c r="D8" s="545"/>
    </row>
    <row r="9" spans="1:6">
      <c r="D9" s="64"/>
    </row>
    <row r="10" spans="1:6">
      <c r="A10" s="511" t="s">
        <v>270</v>
      </c>
      <c r="B10" s="511"/>
      <c r="C10" s="511"/>
      <c r="D10" s="511"/>
    </row>
    <row r="11" spans="1:6">
      <c r="A11" s="65">
        <v>1</v>
      </c>
      <c r="B11" s="127" t="s">
        <v>24</v>
      </c>
      <c r="C11" s="67" t="s">
        <v>51</v>
      </c>
      <c r="D11" s="68" t="s">
        <v>25</v>
      </c>
    </row>
    <row r="12" spans="1:6" ht="66" customHeight="1">
      <c r="A12" s="322" t="s">
        <v>4</v>
      </c>
      <c r="B12" s="509" t="s">
        <v>200</v>
      </c>
      <c r="C12" s="509"/>
      <c r="D12" s="70">
        <v>1366.2</v>
      </c>
      <c r="E12" s="126" t="s">
        <v>884</v>
      </c>
    </row>
    <row r="13" spans="1:6">
      <c r="A13" s="322" t="s">
        <v>6</v>
      </c>
      <c r="B13" s="72" t="s">
        <v>271</v>
      </c>
      <c r="C13" s="73">
        <v>0</v>
      </c>
      <c r="D13" s="70">
        <f>+C13*D12</f>
        <v>0</v>
      </c>
      <c r="E13" s="74"/>
    </row>
    <row r="14" spans="1:6">
      <c r="A14" s="322" t="s">
        <v>9</v>
      </c>
      <c r="B14" s="72" t="s">
        <v>272</v>
      </c>
      <c r="C14" s="73"/>
      <c r="D14" s="70"/>
    </row>
    <row r="15" spans="1:6">
      <c r="A15" s="322" t="s">
        <v>11</v>
      </c>
      <c r="B15" s="509" t="s">
        <v>352</v>
      </c>
      <c r="C15" s="509"/>
      <c r="D15" s="70"/>
    </row>
    <row r="16" spans="1:6">
      <c r="A16" s="322" t="s">
        <v>27</v>
      </c>
      <c r="B16" s="509" t="s">
        <v>353</v>
      </c>
      <c r="C16" s="509"/>
      <c r="D16" s="70"/>
    </row>
    <row r="17" spans="1:6">
      <c r="A17" s="322" t="s">
        <v>29</v>
      </c>
      <c r="B17" s="534" t="s">
        <v>354</v>
      </c>
      <c r="C17" s="535"/>
      <c r="D17" s="70"/>
    </row>
    <row r="18" spans="1:6">
      <c r="A18" s="322" t="s">
        <v>31</v>
      </c>
      <c r="B18" s="509" t="s">
        <v>355</v>
      </c>
      <c r="C18" s="509"/>
      <c r="D18" s="70"/>
    </row>
    <row r="19" spans="1:6">
      <c r="A19" s="322" t="s">
        <v>33</v>
      </c>
      <c r="B19" s="534" t="s">
        <v>356</v>
      </c>
      <c r="C19" s="535"/>
      <c r="D19" s="76"/>
    </row>
    <row r="20" spans="1:6">
      <c r="A20" s="322" t="s">
        <v>34</v>
      </c>
      <c r="B20" s="72" t="s">
        <v>357</v>
      </c>
      <c r="C20" s="73"/>
      <c r="D20" s="70"/>
    </row>
    <row r="21" spans="1:6">
      <c r="A21" s="322" t="s">
        <v>358</v>
      </c>
      <c r="B21" s="509" t="s">
        <v>359</v>
      </c>
      <c r="C21" s="509"/>
      <c r="D21" s="77"/>
      <c r="F21" s="78"/>
    </row>
    <row r="22" spans="1:6">
      <c r="A22" s="322" t="s">
        <v>360</v>
      </c>
      <c r="B22" s="509" t="s">
        <v>35</v>
      </c>
      <c r="C22" s="509"/>
      <c r="D22" s="77"/>
    </row>
    <row r="23" spans="1:6">
      <c r="A23" s="510" t="s">
        <v>57</v>
      </c>
      <c r="B23" s="510"/>
      <c r="C23" s="510"/>
      <c r="D23" s="79">
        <f>SUM(D12:D22)</f>
        <v>1366.2</v>
      </c>
    </row>
    <row r="25" spans="1:6">
      <c r="A25" s="511" t="s">
        <v>273</v>
      </c>
      <c r="B25" s="511"/>
      <c r="C25" s="511"/>
      <c r="D25" s="511"/>
    </row>
    <row r="27" spans="1:6">
      <c r="A27" s="511" t="s">
        <v>274</v>
      </c>
      <c r="B27" s="511"/>
      <c r="C27" s="511"/>
      <c r="D27" s="511"/>
    </row>
    <row r="28" spans="1:6">
      <c r="A28" s="128" t="s">
        <v>275</v>
      </c>
      <c r="B28" s="81" t="s">
        <v>276</v>
      </c>
      <c r="C28" s="129" t="s">
        <v>51</v>
      </c>
      <c r="D28" s="130" t="s">
        <v>25</v>
      </c>
    </row>
    <row r="29" spans="1:6">
      <c r="A29" s="322" t="s">
        <v>4</v>
      </c>
      <c r="B29" s="33" t="s">
        <v>217</v>
      </c>
      <c r="C29" s="82">
        <f>ROUND(+D29/$D$23,4)</f>
        <v>8.3299999999999999E-2</v>
      </c>
      <c r="D29" s="77">
        <f>ROUND(+D23/12,2)</f>
        <v>113.85</v>
      </c>
    </row>
    <row r="30" spans="1:6">
      <c r="A30" s="83" t="s">
        <v>6</v>
      </c>
      <c r="B30" s="51" t="s">
        <v>277</v>
      </c>
      <c r="C30" s="131">
        <f>ROUND(+D30/$D$23,4)</f>
        <v>0.1111</v>
      </c>
      <c r="D30" s="132">
        <f>+D31+D32</f>
        <v>151.80000000000001</v>
      </c>
    </row>
    <row r="31" spans="1:6">
      <c r="A31" s="322" t="s">
        <v>40</v>
      </c>
      <c r="B31" s="49" t="s">
        <v>218</v>
      </c>
      <c r="C31" s="88">
        <f>ROUND(+D31/$D$23,4)</f>
        <v>8.3299999999999999E-2</v>
      </c>
      <c r="D31" s="133">
        <f>ROUND(+D23/12,2)</f>
        <v>113.85</v>
      </c>
    </row>
    <row r="32" spans="1:6">
      <c r="A32" s="322" t="s">
        <v>278</v>
      </c>
      <c r="B32" s="87" t="s">
        <v>59</v>
      </c>
      <c r="C32" s="88">
        <f>ROUND(+D32/$D$23,4)</f>
        <v>2.7799999999999998E-2</v>
      </c>
      <c r="D32" s="133">
        <f>ROUND(+(D23*1/3)/12,2)</f>
        <v>37.950000000000003</v>
      </c>
    </row>
    <row r="33" spans="1:4">
      <c r="A33" s="510" t="s">
        <v>57</v>
      </c>
      <c r="B33" s="510"/>
      <c r="C33" s="510"/>
      <c r="D33" s="79">
        <f>+D30+D29</f>
        <v>265.64999999999998</v>
      </c>
    </row>
    <row r="35" spans="1:4">
      <c r="A35" s="533" t="s">
        <v>279</v>
      </c>
      <c r="B35" s="533"/>
      <c r="C35" s="533"/>
      <c r="D35" s="533"/>
    </row>
    <row r="36" spans="1:4">
      <c r="A36" s="128" t="s">
        <v>280</v>
      </c>
      <c r="B36" s="134" t="s">
        <v>281</v>
      </c>
      <c r="C36" s="129" t="s">
        <v>51</v>
      </c>
      <c r="D36" s="130" t="s">
        <v>25</v>
      </c>
    </row>
    <row r="37" spans="1:4">
      <c r="A37" s="322" t="s">
        <v>4</v>
      </c>
      <c r="B37" s="33" t="s">
        <v>52</v>
      </c>
      <c r="C37" s="39">
        <v>0.2</v>
      </c>
      <c r="D37" s="36">
        <f>ROUND(C37*($D$23+$D$33),2)</f>
        <v>326.37</v>
      </c>
    </row>
    <row r="38" spans="1:4">
      <c r="A38" s="322" t="s">
        <v>6</v>
      </c>
      <c r="B38" s="33" t="s">
        <v>54</v>
      </c>
      <c r="C38" s="39">
        <v>2.5000000000000001E-2</v>
      </c>
      <c r="D38" s="36">
        <f t="shared" ref="D38:D43" si="0">ROUND(C38*($D$23+$D$33),2)</f>
        <v>40.799999999999997</v>
      </c>
    </row>
    <row r="39" spans="1:4">
      <c r="A39" s="322" t="s">
        <v>9</v>
      </c>
      <c r="B39" s="33" t="s">
        <v>282</v>
      </c>
      <c r="C39" s="39">
        <v>0.03</v>
      </c>
      <c r="D39" s="36">
        <f t="shared" si="0"/>
        <v>48.96</v>
      </c>
    </row>
    <row r="40" spans="1:4">
      <c r="A40" s="322" t="s">
        <v>11</v>
      </c>
      <c r="B40" s="33" t="s">
        <v>283</v>
      </c>
      <c r="C40" s="39">
        <v>1.4999999999999999E-2</v>
      </c>
      <c r="D40" s="36">
        <f t="shared" si="0"/>
        <v>24.48</v>
      </c>
    </row>
    <row r="41" spans="1:4">
      <c r="A41" s="322" t="s">
        <v>27</v>
      </c>
      <c r="B41" s="33" t="s">
        <v>284</v>
      </c>
      <c r="C41" s="39">
        <v>0.01</v>
      </c>
      <c r="D41" s="36">
        <f t="shared" si="0"/>
        <v>16.32</v>
      </c>
    </row>
    <row r="42" spans="1:4">
      <c r="A42" s="322" t="s">
        <v>29</v>
      </c>
      <c r="B42" s="33" t="s">
        <v>56</v>
      </c>
      <c r="C42" s="39">
        <v>6.0000000000000001E-3</v>
      </c>
      <c r="D42" s="36">
        <f t="shared" si="0"/>
        <v>9.7899999999999991</v>
      </c>
    </row>
    <row r="43" spans="1:4">
      <c r="A43" s="322" t="s">
        <v>31</v>
      </c>
      <c r="B43" s="33" t="s">
        <v>53</v>
      </c>
      <c r="C43" s="39">
        <v>2E-3</v>
      </c>
      <c r="D43" s="36">
        <f t="shared" si="0"/>
        <v>3.26</v>
      </c>
    </row>
    <row r="44" spans="1:4">
      <c r="A44" s="322" t="s">
        <v>33</v>
      </c>
      <c r="B44" s="33" t="s">
        <v>55</v>
      </c>
      <c r="C44" s="39">
        <v>0.08</v>
      </c>
      <c r="D44" s="36">
        <f>ROUND(C44*($D$23+$D$33),2)</f>
        <v>130.55000000000001</v>
      </c>
    </row>
    <row r="45" spans="1:4">
      <c r="A45" s="323" t="s">
        <v>57</v>
      </c>
      <c r="B45" s="326"/>
      <c r="C45" s="92">
        <f>SUM(C37:C44)</f>
        <v>0.36800000000000005</v>
      </c>
      <c r="D45" s="93">
        <f>SUM(D37:D44)</f>
        <v>600.53</v>
      </c>
    </row>
    <row r="46" spans="1:4">
      <c r="A46" s="94"/>
      <c r="B46" s="94"/>
      <c r="C46" s="94"/>
      <c r="D46" s="94"/>
    </row>
    <row r="47" spans="1:4">
      <c r="A47" s="533" t="s">
        <v>285</v>
      </c>
      <c r="B47" s="533"/>
      <c r="C47" s="533"/>
      <c r="D47" s="533"/>
    </row>
    <row r="48" spans="1:4">
      <c r="A48" s="128" t="s">
        <v>286</v>
      </c>
      <c r="B48" s="134" t="s">
        <v>287</v>
      </c>
      <c r="C48" s="129"/>
      <c r="D48" s="130" t="s">
        <v>25</v>
      </c>
    </row>
    <row r="49" spans="1:6">
      <c r="A49" s="322" t="s">
        <v>4</v>
      </c>
      <c r="B49" s="33" t="s">
        <v>37</v>
      </c>
      <c r="C49" s="95"/>
      <c r="D49" s="36">
        <f>'Memória Cálculo Copeiro 5x2'!C18</f>
        <v>94.13</v>
      </c>
    </row>
    <row r="50" spans="1:6" s="47" customFormat="1">
      <c r="A50" s="61" t="s">
        <v>38</v>
      </c>
      <c r="B50" s="35" t="s">
        <v>39</v>
      </c>
      <c r="C50" s="82">
        <v>9.6500000000000002E-2</v>
      </c>
      <c r="D50" s="96">
        <f>+(C50*D49)*-1</f>
        <v>-9.0835449999999991</v>
      </c>
      <c r="F50" s="97"/>
    </row>
    <row r="51" spans="1:6" s="47" customFormat="1">
      <c r="A51" s="61" t="s">
        <v>6</v>
      </c>
      <c r="B51" s="59" t="s">
        <v>888</v>
      </c>
      <c r="C51" s="95"/>
      <c r="D51" s="96">
        <f>(185-23)</f>
        <v>162</v>
      </c>
      <c r="F51" s="97"/>
    </row>
    <row r="52" spans="1:6" s="47" customFormat="1">
      <c r="A52" s="61" t="s">
        <v>40</v>
      </c>
      <c r="B52" s="35" t="s">
        <v>39</v>
      </c>
      <c r="C52" s="82">
        <v>9.6500000000000002E-2</v>
      </c>
      <c r="D52" s="96">
        <f>+(C52*D51)*-1</f>
        <v>-15.633000000000001</v>
      </c>
      <c r="F52" s="97"/>
    </row>
    <row r="53" spans="1:6">
      <c r="A53" s="99" t="s">
        <v>9</v>
      </c>
      <c r="B53" s="33" t="s">
        <v>887</v>
      </c>
      <c r="C53" s="95"/>
      <c r="D53" s="108">
        <v>0</v>
      </c>
      <c r="F53" s="7"/>
    </row>
    <row r="54" spans="1:6" s="47" customFormat="1">
      <c r="A54" s="101" t="s">
        <v>41</v>
      </c>
      <c r="B54" s="35" t="s">
        <v>39</v>
      </c>
      <c r="C54" s="82">
        <v>9.6500000000000002E-2</v>
      </c>
      <c r="D54" s="96">
        <f>+(C54*D53)*-1</f>
        <v>0</v>
      </c>
      <c r="F54" s="98"/>
    </row>
    <row r="55" spans="1:6">
      <c r="A55" s="33" t="s">
        <v>11</v>
      </c>
      <c r="B55" s="33" t="s">
        <v>361</v>
      </c>
      <c r="C55" s="95"/>
      <c r="D55" s="108">
        <v>0</v>
      </c>
      <c r="F55" s="7"/>
    </row>
    <row r="56" spans="1:6">
      <c r="A56" s="101" t="s">
        <v>49</v>
      </c>
      <c r="B56" s="35" t="s">
        <v>39</v>
      </c>
      <c r="C56" s="82">
        <v>9.6500000000000002E-2</v>
      </c>
      <c r="D56" s="96">
        <f>+(C56*D55)*-1</f>
        <v>0</v>
      </c>
      <c r="F56" s="7"/>
    </row>
    <row r="57" spans="1:6">
      <c r="A57" s="33" t="s">
        <v>27</v>
      </c>
      <c r="B57" s="33" t="s">
        <v>886</v>
      </c>
      <c r="C57" s="95"/>
      <c r="D57" s="108">
        <f>(C6*0.4*0.02)</f>
        <v>10.929600000000001</v>
      </c>
      <c r="F57" s="7"/>
    </row>
    <row r="58" spans="1:6">
      <c r="A58" s="101" t="s">
        <v>42</v>
      </c>
      <c r="B58" s="35" t="s">
        <v>39</v>
      </c>
      <c r="C58" s="82">
        <v>9.6500000000000002E-2</v>
      </c>
      <c r="D58" s="96">
        <f>+(C58*D57)*-1</f>
        <v>-1.0547064000000002</v>
      </c>
      <c r="F58" s="7"/>
    </row>
    <row r="59" spans="1:6">
      <c r="A59" s="33" t="s">
        <v>29</v>
      </c>
      <c r="B59" s="33" t="s">
        <v>885</v>
      </c>
      <c r="C59" s="95"/>
      <c r="D59" s="135">
        <f>C6*0.36/12*0.6</f>
        <v>24.591599999999996</v>
      </c>
      <c r="F59" s="103"/>
    </row>
    <row r="60" spans="1:6">
      <c r="A60" s="61" t="s">
        <v>44</v>
      </c>
      <c r="B60" s="35" t="s">
        <v>39</v>
      </c>
      <c r="C60" s="82">
        <v>0</v>
      </c>
      <c r="D60" s="96">
        <f>+(C60*D59)*-1</f>
        <v>0</v>
      </c>
    </row>
    <row r="61" spans="1:6">
      <c r="A61" s="33" t="s">
        <v>31</v>
      </c>
      <c r="B61" s="35" t="s">
        <v>43</v>
      </c>
      <c r="C61" s="136"/>
      <c r="D61" s="96">
        <f>(D51/12)</f>
        <v>13.5</v>
      </c>
    </row>
    <row r="62" spans="1:6">
      <c r="A62" s="101" t="s">
        <v>70</v>
      </c>
      <c r="B62" s="35" t="s">
        <v>39</v>
      </c>
      <c r="C62" s="82">
        <v>9.6500000000000002E-2</v>
      </c>
      <c r="D62" s="96">
        <f>+(C62*D61)*-1</f>
        <v>-1.3027500000000001</v>
      </c>
    </row>
    <row r="63" spans="1:6">
      <c r="A63" s="33" t="s">
        <v>33</v>
      </c>
      <c r="B63" s="72" t="s">
        <v>294</v>
      </c>
      <c r="C63" s="136"/>
      <c r="D63" s="36">
        <v>0</v>
      </c>
    </row>
    <row r="64" spans="1:6">
      <c r="A64" s="101" t="s">
        <v>295</v>
      </c>
      <c r="B64" s="35" t="s">
        <v>39</v>
      </c>
      <c r="C64" s="82">
        <v>9.6500000000000002E-2</v>
      </c>
      <c r="D64" s="96">
        <f>+(C64*D63)*-1</f>
        <v>0</v>
      </c>
    </row>
    <row r="65" spans="1:4">
      <c r="A65" s="518" t="s">
        <v>57</v>
      </c>
      <c r="B65" s="548"/>
      <c r="C65" s="104"/>
      <c r="D65" s="79">
        <f>SUM(D49:D64)</f>
        <v>278.07719859999997</v>
      </c>
    </row>
    <row r="67" spans="1:4">
      <c r="A67" s="511" t="s">
        <v>296</v>
      </c>
      <c r="B67" s="511"/>
      <c r="C67" s="511"/>
      <c r="D67" s="511"/>
    </row>
    <row r="68" spans="1:4">
      <c r="A68" s="58">
        <v>2</v>
      </c>
      <c r="B68" s="511" t="s">
        <v>297</v>
      </c>
      <c r="C68" s="511"/>
      <c r="D68" s="105" t="s">
        <v>25</v>
      </c>
    </row>
    <row r="69" spans="1:4">
      <c r="A69" s="51" t="s">
        <v>275</v>
      </c>
      <c r="B69" s="532" t="s">
        <v>276</v>
      </c>
      <c r="C69" s="532"/>
      <c r="D69" s="36">
        <f>+D33</f>
        <v>265.64999999999998</v>
      </c>
    </row>
    <row r="70" spans="1:4">
      <c r="A70" s="51" t="s">
        <v>280</v>
      </c>
      <c r="B70" s="532" t="s">
        <v>281</v>
      </c>
      <c r="C70" s="532"/>
      <c r="D70" s="36">
        <f>+D45</f>
        <v>600.53</v>
      </c>
    </row>
    <row r="71" spans="1:4">
      <c r="A71" s="51" t="s">
        <v>286</v>
      </c>
      <c r="B71" s="532" t="s">
        <v>287</v>
      </c>
      <c r="C71" s="532"/>
      <c r="D71" s="106">
        <f>+D65</f>
        <v>278.07719859999997</v>
      </c>
    </row>
    <row r="72" spans="1:4">
      <c r="A72" s="511" t="s">
        <v>57</v>
      </c>
      <c r="B72" s="511"/>
      <c r="C72" s="511"/>
      <c r="D72" s="107">
        <f>SUM(D69:D71)</f>
        <v>1144.2571985999998</v>
      </c>
    </row>
    <row r="74" spans="1:4">
      <c r="A74" s="511" t="s">
        <v>298</v>
      </c>
      <c r="B74" s="511"/>
      <c r="C74" s="511"/>
      <c r="D74" s="511"/>
    </row>
    <row r="76" spans="1:4">
      <c r="A76" s="80">
        <v>3</v>
      </c>
      <c r="B76" s="81" t="s">
        <v>60</v>
      </c>
      <c r="C76" s="67" t="s">
        <v>51</v>
      </c>
      <c r="D76" s="67" t="s">
        <v>25</v>
      </c>
    </row>
    <row r="77" spans="1:4">
      <c r="A77" s="322" t="s">
        <v>4</v>
      </c>
      <c r="B77" s="35" t="s">
        <v>299</v>
      </c>
      <c r="C77" s="82">
        <f>+D77/$D$23</f>
        <v>8.3369931196018154E-3</v>
      </c>
      <c r="D77" s="108">
        <f>'Memória Cálculo Copeiro 5x2'!C24</f>
        <v>11.39</v>
      </c>
    </row>
    <row r="78" spans="1:4">
      <c r="A78" s="322" t="s">
        <v>6</v>
      </c>
      <c r="B78" s="33" t="s">
        <v>300</v>
      </c>
      <c r="C78" s="38"/>
      <c r="D78" s="77">
        <f>ROUND(+D77*$C$44,2)</f>
        <v>0.91</v>
      </c>
    </row>
    <row r="79" spans="1:4" ht="25.5">
      <c r="A79" s="322" t="s">
        <v>9</v>
      </c>
      <c r="B79" s="71" t="s">
        <v>301</v>
      </c>
      <c r="C79" s="39">
        <f>+D79/$D$23</f>
        <v>4.7796808666373874E-3</v>
      </c>
      <c r="D79" s="77">
        <f>'Memória Cálculo Copeiro 5x2'!C38</f>
        <v>6.5299999999999994</v>
      </c>
    </row>
    <row r="80" spans="1:4">
      <c r="A80" s="61" t="s">
        <v>11</v>
      </c>
      <c r="B80" s="33" t="s">
        <v>302</v>
      </c>
      <c r="C80" s="39">
        <f>+D80/$D$23</f>
        <v>1.9470062948323819E-3</v>
      </c>
      <c r="D80" s="77">
        <f>'Memória Cálculo Copeiro 5x2'!C46</f>
        <v>2.66</v>
      </c>
    </row>
    <row r="81" spans="1:5" ht="25.5">
      <c r="A81" s="61" t="s">
        <v>27</v>
      </c>
      <c r="B81" s="71" t="s">
        <v>303</v>
      </c>
      <c r="C81" s="38"/>
      <c r="D81" s="367">
        <v>0</v>
      </c>
      <c r="E81" t="s">
        <v>867</v>
      </c>
    </row>
    <row r="82" spans="1:5" ht="25.5">
      <c r="A82" s="61" t="s">
        <v>29</v>
      </c>
      <c r="B82" s="71" t="s">
        <v>304</v>
      </c>
      <c r="C82" s="39">
        <f>+D82/$D$23</f>
        <v>4.7796808666373874E-3</v>
      </c>
      <c r="D82" s="36">
        <f>'Memória Cálculo Copeiro 5x2'!C60</f>
        <v>6.5299999999999994</v>
      </c>
    </row>
    <row r="83" spans="1:5">
      <c r="A83" s="518" t="s">
        <v>57</v>
      </c>
      <c r="B83" s="519"/>
      <c r="C83" s="548"/>
      <c r="D83" s="109">
        <f>SUM(D77:D82)</f>
        <v>28.019999999999996</v>
      </c>
    </row>
    <row r="85" spans="1:5">
      <c r="A85" s="511" t="s">
        <v>305</v>
      </c>
      <c r="B85" s="511"/>
      <c r="C85" s="511"/>
      <c r="D85" s="511"/>
    </row>
    <row r="87" spans="1:5">
      <c r="A87" s="533" t="s">
        <v>306</v>
      </c>
      <c r="B87" s="533"/>
      <c r="C87" s="533"/>
      <c r="D87" s="533"/>
    </row>
    <row r="88" spans="1:5">
      <c r="A88" s="80" t="s">
        <v>50</v>
      </c>
      <c r="B88" s="518" t="s">
        <v>307</v>
      </c>
      <c r="C88" s="548"/>
      <c r="D88" s="67" t="s">
        <v>25</v>
      </c>
    </row>
    <row r="89" spans="1:5">
      <c r="A89" s="33" t="s">
        <v>4</v>
      </c>
      <c r="B89" s="521" t="s">
        <v>61</v>
      </c>
      <c r="C89" s="522"/>
      <c r="D89" s="77">
        <v>0</v>
      </c>
    </row>
    <row r="90" spans="1:5">
      <c r="A90" s="35" t="s">
        <v>6</v>
      </c>
      <c r="B90" s="526" t="s">
        <v>307</v>
      </c>
      <c r="C90" s="527"/>
      <c r="D90" s="110">
        <f>'Memória Cálculo Copeiro 5x2'!C73</f>
        <v>3.8</v>
      </c>
    </row>
    <row r="91" spans="1:5" s="47" customFormat="1">
      <c r="A91" s="35" t="s">
        <v>9</v>
      </c>
      <c r="B91" s="526" t="s">
        <v>308</v>
      </c>
      <c r="C91" s="527"/>
      <c r="D91" s="110">
        <f>'Memória Cálculo Copeiro 5x2'!C82</f>
        <v>0.03</v>
      </c>
    </row>
    <row r="92" spans="1:5" s="47" customFormat="1">
      <c r="A92" s="35" t="s">
        <v>11</v>
      </c>
      <c r="B92" s="526" t="s">
        <v>309</v>
      </c>
      <c r="C92" s="527"/>
      <c r="D92" s="110">
        <f>'Memória Cálculo Copeiro 5x2'!C90</f>
        <v>0.85</v>
      </c>
    </row>
    <row r="93" spans="1:5" s="47" customFormat="1" ht="13.5">
      <c r="A93" s="35" t="s">
        <v>27</v>
      </c>
      <c r="B93" s="526" t="s">
        <v>310</v>
      </c>
      <c r="C93" s="527"/>
      <c r="D93" s="110">
        <v>0</v>
      </c>
    </row>
    <row r="94" spans="1:5" s="47" customFormat="1">
      <c r="A94" s="35" t="s">
        <v>29</v>
      </c>
      <c r="B94" s="526" t="s">
        <v>311</v>
      </c>
      <c r="C94" s="527"/>
      <c r="D94" s="110">
        <f>'Memória Cálculo Copeiro 5x2'!C98</f>
        <v>7.59</v>
      </c>
    </row>
    <row r="95" spans="1:5">
      <c r="A95" s="33" t="s">
        <v>31</v>
      </c>
      <c r="B95" s="521" t="s">
        <v>35</v>
      </c>
      <c r="C95" s="522"/>
      <c r="D95" s="77">
        <v>0</v>
      </c>
    </row>
    <row r="96" spans="1:5">
      <c r="A96" s="33" t="s">
        <v>33</v>
      </c>
      <c r="B96" s="521" t="s">
        <v>312</v>
      </c>
      <c r="C96" s="522"/>
      <c r="D96" s="367">
        <v>0</v>
      </c>
      <c r="E96" t="s">
        <v>867</v>
      </c>
    </row>
    <row r="97" spans="1:5">
      <c r="A97" s="510" t="s">
        <v>57</v>
      </c>
      <c r="B97" s="510"/>
      <c r="C97" s="510"/>
      <c r="D97" s="79">
        <f>SUM(D89:D96)</f>
        <v>12.27</v>
      </c>
    </row>
    <row r="98" spans="1:5">
      <c r="D98" s="37"/>
    </row>
    <row r="99" spans="1:5">
      <c r="A99" s="80" t="s">
        <v>313</v>
      </c>
      <c r="B99" s="518" t="s">
        <v>314</v>
      </c>
      <c r="C99" s="548"/>
      <c r="D99" s="67" t="s">
        <v>25</v>
      </c>
    </row>
    <row r="100" spans="1:5" s="47" customFormat="1">
      <c r="A100" s="35" t="s">
        <v>4</v>
      </c>
      <c r="B100" s="528" t="s">
        <v>315</v>
      </c>
      <c r="C100" s="529"/>
      <c r="D100" s="110">
        <f>'Memória Cálculo Copeiro 5x2'!C109</f>
        <v>0.91</v>
      </c>
    </row>
    <row r="101" spans="1:5" s="47" customFormat="1">
      <c r="A101" s="35" t="s">
        <v>6</v>
      </c>
      <c r="B101" s="530" t="s">
        <v>316</v>
      </c>
      <c r="C101" s="531"/>
      <c r="D101" s="367">
        <v>0</v>
      </c>
      <c r="E101" t="s">
        <v>867</v>
      </c>
    </row>
    <row r="102" spans="1:5" s="47" customFormat="1">
      <c r="A102" s="35" t="s">
        <v>9</v>
      </c>
      <c r="B102" s="530" t="s">
        <v>317</v>
      </c>
      <c r="C102" s="531"/>
      <c r="D102" s="367">
        <f>'Memória Cálculo Copeiro 5x2'!C119</f>
        <v>0</v>
      </c>
      <c r="E102" t="s">
        <v>867</v>
      </c>
    </row>
    <row r="103" spans="1:5">
      <c r="A103" s="33" t="s">
        <v>11</v>
      </c>
      <c r="B103" s="521" t="s">
        <v>35</v>
      </c>
      <c r="C103" s="522"/>
      <c r="D103" s="77"/>
    </row>
    <row r="104" spans="1:5">
      <c r="A104" s="510" t="s">
        <v>57</v>
      </c>
      <c r="B104" s="510"/>
      <c r="C104" s="510"/>
      <c r="D104" s="79">
        <f>SUM(D100:D103)</f>
        <v>0.91</v>
      </c>
    </row>
    <row r="105" spans="1:5">
      <c r="D105" s="37"/>
    </row>
    <row r="106" spans="1:5">
      <c r="A106" s="80" t="s">
        <v>58</v>
      </c>
      <c r="B106" s="510" t="s">
        <v>32</v>
      </c>
      <c r="C106" s="510"/>
      <c r="D106" s="67" t="s">
        <v>25</v>
      </c>
    </row>
    <row r="107" spans="1:5" s="113" customFormat="1" ht="28.5" customHeight="1">
      <c r="A107" s="61" t="s">
        <v>4</v>
      </c>
      <c r="B107" s="525" t="s">
        <v>868</v>
      </c>
      <c r="C107" s="525"/>
      <c r="D107" s="325">
        <v>0</v>
      </c>
    </row>
    <row r="108" spans="1:5">
      <c r="A108" s="510" t="s">
        <v>57</v>
      </c>
      <c r="B108" s="510"/>
      <c r="C108" s="510"/>
      <c r="D108" s="79">
        <f>SUM(D107:D107)</f>
        <v>0</v>
      </c>
    </row>
    <row r="110" spans="1:5">
      <c r="A110" s="321" t="s">
        <v>318</v>
      </c>
      <c r="B110" s="321"/>
      <c r="C110" s="321"/>
      <c r="D110" s="321"/>
    </row>
    <row r="111" spans="1:5">
      <c r="A111" s="33" t="s">
        <v>50</v>
      </c>
      <c r="B111" s="521" t="s">
        <v>307</v>
      </c>
      <c r="C111" s="522"/>
      <c r="D111" s="36">
        <f>+D97</f>
        <v>12.27</v>
      </c>
    </row>
    <row r="112" spans="1:5">
      <c r="A112" s="33" t="s">
        <v>313</v>
      </c>
      <c r="B112" s="521" t="s">
        <v>314</v>
      </c>
      <c r="C112" s="522"/>
      <c r="D112" s="36">
        <f>+D104</f>
        <v>0.91</v>
      </c>
    </row>
    <row r="113" spans="1:4">
      <c r="A113" s="114"/>
      <c r="B113" s="523" t="s">
        <v>319</v>
      </c>
      <c r="C113" s="524"/>
      <c r="D113" s="52">
        <f>+D112+D111</f>
        <v>13.18</v>
      </c>
    </row>
    <row r="114" spans="1:4">
      <c r="A114" s="33" t="s">
        <v>58</v>
      </c>
      <c r="B114" s="521" t="s">
        <v>32</v>
      </c>
      <c r="C114" s="522"/>
      <c r="D114" s="36">
        <f>+D108</f>
        <v>0</v>
      </c>
    </row>
    <row r="115" spans="1:4">
      <c r="A115" s="485" t="s">
        <v>57</v>
      </c>
      <c r="B115" s="485"/>
      <c r="C115" s="485"/>
      <c r="D115" s="54">
        <f>+D114+D113</f>
        <v>13.18</v>
      </c>
    </row>
    <row r="117" spans="1:4">
      <c r="A117" s="511" t="s">
        <v>320</v>
      </c>
      <c r="B117" s="511"/>
      <c r="C117" s="511"/>
      <c r="D117" s="511"/>
    </row>
    <row r="119" spans="1:4">
      <c r="A119" s="80">
        <v>5</v>
      </c>
      <c r="B119" s="518" t="s">
        <v>45</v>
      </c>
      <c r="C119" s="548"/>
      <c r="D119" s="67" t="s">
        <v>25</v>
      </c>
    </row>
    <row r="120" spans="1:4">
      <c r="A120" s="33" t="s">
        <v>4</v>
      </c>
      <c r="B120" s="509" t="s">
        <v>46</v>
      </c>
      <c r="C120" s="509"/>
      <c r="D120" s="77">
        <f>Uniformes!E17</f>
        <v>51.318333333333342</v>
      </c>
    </row>
    <row r="121" spans="1:4">
      <c r="A121" s="33" t="s">
        <v>38</v>
      </c>
      <c r="B121" s="35" t="s">
        <v>39</v>
      </c>
      <c r="C121" s="82">
        <f>+$C$139+$C$140</f>
        <v>9.2499999999999999E-2</v>
      </c>
      <c r="D121" s="96">
        <f>+(C121*D120)*-1</f>
        <v>-4.7469458333333341</v>
      </c>
    </row>
    <row r="122" spans="1:4">
      <c r="A122" s="33" t="s">
        <v>6</v>
      </c>
      <c r="B122" s="509" t="s">
        <v>47</v>
      </c>
      <c r="C122" s="509"/>
      <c r="D122" s="77"/>
    </row>
    <row r="123" spans="1:4">
      <c r="A123" s="33" t="s">
        <v>40</v>
      </c>
      <c r="B123" s="35" t="s">
        <v>39</v>
      </c>
      <c r="C123" s="82">
        <f>+$C$139+$C$140</f>
        <v>9.2499999999999999E-2</v>
      </c>
      <c r="D123" s="96">
        <f>+(C123*D122)*-1</f>
        <v>0</v>
      </c>
    </row>
    <row r="124" spans="1:4">
      <c r="A124" s="33" t="s">
        <v>9</v>
      </c>
      <c r="B124" s="509" t="s">
        <v>48</v>
      </c>
      <c r="C124" s="509"/>
      <c r="D124" s="77">
        <v>0</v>
      </c>
    </row>
    <row r="125" spans="1:4">
      <c r="A125" s="33" t="s">
        <v>41</v>
      </c>
      <c r="B125" s="35" t="s">
        <v>39</v>
      </c>
      <c r="C125" s="82">
        <f>+$C$139+$C$140</f>
        <v>9.2499999999999999E-2</v>
      </c>
      <c r="D125" s="96">
        <f>+(C125*D124)*-1</f>
        <v>0</v>
      </c>
    </row>
    <row r="126" spans="1:4">
      <c r="A126" s="33" t="s">
        <v>11</v>
      </c>
      <c r="B126" s="509" t="s">
        <v>35</v>
      </c>
      <c r="C126" s="509"/>
      <c r="D126" s="77"/>
    </row>
    <row r="127" spans="1:4">
      <c r="A127" s="33" t="s">
        <v>49</v>
      </c>
      <c r="B127" s="35" t="s">
        <v>39</v>
      </c>
      <c r="C127" s="82">
        <f>+$C$139+$C$140</f>
        <v>9.2499999999999999E-2</v>
      </c>
      <c r="D127" s="96">
        <f>+(C127*D126)*-1</f>
        <v>0</v>
      </c>
    </row>
    <row r="128" spans="1:4">
      <c r="A128" s="510" t="s">
        <v>57</v>
      </c>
      <c r="B128" s="510"/>
      <c r="C128" s="510"/>
      <c r="D128" s="79">
        <f>SUM(D120:D126)</f>
        <v>46.571387500000007</v>
      </c>
    </row>
    <row r="130" spans="1:4">
      <c r="A130" s="511" t="s">
        <v>321</v>
      </c>
      <c r="B130" s="511"/>
      <c r="C130" s="511"/>
      <c r="D130" s="511"/>
    </row>
    <row r="132" spans="1:4">
      <c r="A132" s="80">
        <v>6</v>
      </c>
      <c r="B132" s="81" t="s">
        <v>62</v>
      </c>
      <c r="C132" s="324" t="s">
        <v>51</v>
      </c>
      <c r="D132" s="67" t="s">
        <v>25</v>
      </c>
    </row>
    <row r="133" spans="1:4">
      <c r="A133" s="33" t="s">
        <v>4</v>
      </c>
      <c r="B133" s="33" t="s">
        <v>63</v>
      </c>
      <c r="C133" s="39">
        <f>'Nutricionista 5X2'!C130</f>
        <v>0.06</v>
      </c>
      <c r="D133" s="36">
        <f>($D$128+$D$115+$D$83+$D$72+$D$23)*C133</f>
        <v>155.89371516599999</v>
      </c>
    </row>
    <row r="134" spans="1:4">
      <c r="A134" s="33" t="s">
        <v>6</v>
      </c>
      <c r="B134" s="33" t="s">
        <v>64</v>
      </c>
      <c r="C134" s="39">
        <f>'Nutricionista 5X2'!C131</f>
        <v>0.06</v>
      </c>
      <c r="D134" s="36">
        <f>($D$128+$D$115+$D$83+$D$72+$D$23+D133)*C134</f>
        <v>165.24733807596002</v>
      </c>
    </row>
    <row r="135" spans="1:4" s="117" customFormat="1">
      <c r="A135" s="512" t="s">
        <v>65</v>
      </c>
      <c r="B135" s="513"/>
      <c r="C135" s="514"/>
      <c r="D135" s="116">
        <f>++D134+D133+D128+D115+D83+D72+D23</f>
        <v>2919.3696393419596</v>
      </c>
    </row>
    <row r="136" spans="1:4" s="117" customFormat="1">
      <c r="A136" s="515" t="s">
        <v>66</v>
      </c>
      <c r="B136" s="516"/>
      <c r="C136" s="517"/>
      <c r="D136" s="116">
        <f>ROUND(D135/(1-(C139+C140+C142+C144+C145)),2)</f>
        <v>3404.51</v>
      </c>
    </row>
    <row r="137" spans="1:4">
      <c r="A137" s="33" t="s">
        <v>9</v>
      </c>
      <c r="B137" s="33" t="s">
        <v>67</v>
      </c>
      <c r="C137" s="39"/>
      <c r="D137" s="33"/>
    </row>
    <row r="138" spans="1:4">
      <c r="A138" s="33" t="s">
        <v>41</v>
      </c>
      <c r="B138" s="33" t="s">
        <v>322</v>
      </c>
      <c r="C138" s="39"/>
      <c r="D138" s="33"/>
    </row>
    <row r="139" spans="1:4">
      <c r="A139" s="33" t="s">
        <v>323</v>
      </c>
      <c r="B139" s="33" t="s">
        <v>68</v>
      </c>
      <c r="C139" s="39">
        <v>1.6500000000000001E-2</v>
      </c>
      <c r="D139" s="36">
        <f>ROUND(C139*$D$136,2)</f>
        <v>56.17</v>
      </c>
    </row>
    <row r="140" spans="1:4">
      <c r="A140" s="33" t="s">
        <v>324</v>
      </c>
      <c r="B140" s="33" t="s">
        <v>69</v>
      </c>
      <c r="C140" s="39">
        <v>7.5999999999999998E-2</v>
      </c>
      <c r="D140" s="36">
        <f>ROUND(C140*$D$136,2)</f>
        <v>258.74</v>
      </c>
    </row>
    <row r="141" spans="1:4">
      <c r="A141" s="33" t="s">
        <v>325</v>
      </c>
      <c r="B141" s="33" t="s">
        <v>326</v>
      </c>
      <c r="C141" s="39"/>
      <c r="D141" s="36"/>
    </row>
    <row r="142" spans="1:4">
      <c r="A142" s="33" t="s">
        <v>327</v>
      </c>
      <c r="B142" s="33" t="s">
        <v>328</v>
      </c>
      <c r="C142" s="39"/>
      <c r="D142" s="33"/>
    </row>
    <row r="143" spans="1:4">
      <c r="A143" s="33" t="s">
        <v>329</v>
      </c>
      <c r="B143" s="33" t="s">
        <v>330</v>
      </c>
      <c r="C143" s="39"/>
      <c r="D143" s="33"/>
    </row>
    <row r="144" spans="1:4">
      <c r="A144" s="33" t="s">
        <v>331</v>
      </c>
      <c r="B144" s="33" t="s">
        <v>332</v>
      </c>
      <c r="C144" s="39">
        <v>0.05</v>
      </c>
      <c r="D144" s="36">
        <f>ROUND(C144*$D$136,2)</f>
        <v>170.23</v>
      </c>
    </row>
    <row r="145" spans="1:4">
      <c r="A145" s="33" t="s">
        <v>333</v>
      </c>
      <c r="B145" s="33" t="s">
        <v>334</v>
      </c>
      <c r="C145" s="39"/>
      <c r="D145" s="33"/>
    </row>
    <row r="146" spans="1:4">
      <c r="A146" s="518" t="s">
        <v>57</v>
      </c>
      <c r="B146" s="519"/>
      <c r="C146" s="118">
        <f>+C145+C144+C142+C140+C139+C134+C133</f>
        <v>0.26250000000000001</v>
      </c>
      <c r="D146" s="79">
        <f>+D144+D142+D140+D139+D134+D133</f>
        <v>806.28105324196008</v>
      </c>
    </row>
    <row r="148" spans="1:4">
      <c r="A148" s="520" t="s">
        <v>335</v>
      </c>
      <c r="B148" s="520"/>
      <c r="C148" s="520"/>
      <c r="D148" s="520"/>
    </row>
    <row r="149" spans="1:4">
      <c r="A149" s="33" t="s">
        <v>4</v>
      </c>
      <c r="B149" s="503" t="s">
        <v>336</v>
      </c>
      <c r="C149" s="503"/>
      <c r="D149" s="77">
        <f>+D23</f>
        <v>1366.2</v>
      </c>
    </row>
    <row r="150" spans="1:4">
      <c r="A150" s="33" t="s">
        <v>337</v>
      </c>
      <c r="B150" s="503" t="s">
        <v>338</v>
      </c>
      <c r="C150" s="503"/>
      <c r="D150" s="77">
        <f>+D72</f>
        <v>1144.2571985999998</v>
      </c>
    </row>
    <row r="151" spans="1:4">
      <c r="A151" s="33" t="s">
        <v>9</v>
      </c>
      <c r="B151" s="503" t="s">
        <v>339</v>
      </c>
      <c r="C151" s="503"/>
      <c r="D151" s="77">
        <f>+D83</f>
        <v>28.019999999999996</v>
      </c>
    </row>
    <row r="152" spans="1:4">
      <c r="A152" s="33" t="s">
        <v>11</v>
      </c>
      <c r="B152" s="503" t="s">
        <v>340</v>
      </c>
      <c r="C152" s="503"/>
      <c r="D152" s="77">
        <f>+D115</f>
        <v>13.18</v>
      </c>
    </row>
    <row r="153" spans="1:4">
      <c r="A153" s="33" t="s">
        <v>27</v>
      </c>
      <c r="B153" s="503" t="s">
        <v>341</v>
      </c>
      <c r="C153" s="503"/>
      <c r="D153" s="77">
        <f>+D128</f>
        <v>46.571387500000007</v>
      </c>
    </row>
    <row r="154" spans="1:4">
      <c r="B154" s="502" t="s">
        <v>342</v>
      </c>
      <c r="C154" s="502"/>
      <c r="D154" s="119">
        <f>SUM(D149:D153)</f>
        <v>2598.2285861</v>
      </c>
    </row>
    <row r="155" spans="1:4">
      <c r="A155" s="33" t="s">
        <v>29</v>
      </c>
      <c r="B155" s="503" t="s">
        <v>343</v>
      </c>
      <c r="C155" s="503"/>
      <c r="D155" s="77">
        <f>+D146</f>
        <v>806.28105324196008</v>
      </c>
    </row>
    <row r="157" spans="1:4">
      <c r="A157" s="547" t="s">
        <v>344</v>
      </c>
      <c r="B157" s="547"/>
      <c r="C157" s="547"/>
      <c r="D157" s="120">
        <f>ROUND(+D155+D154,2)</f>
        <v>3404.51</v>
      </c>
    </row>
    <row r="159" spans="1:4">
      <c r="A159" s="493" t="s">
        <v>345</v>
      </c>
      <c r="B159" s="493"/>
      <c r="C159" s="493"/>
      <c r="D159" s="493"/>
    </row>
    <row r="161" spans="1:5">
      <c r="A161" s="33" t="s">
        <v>4</v>
      </c>
      <c r="B161" s="33" t="s">
        <v>217</v>
      </c>
      <c r="C161" s="121">
        <f>+C29</f>
        <v>8.3299999999999999E-2</v>
      </c>
      <c r="D161" s="77">
        <f>+D29</f>
        <v>113.85</v>
      </c>
    </row>
    <row r="162" spans="1:5">
      <c r="A162" s="33" t="s">
        <v>6</v>
      </c>
      <c r="B162" s="33" t="s">
        <v>218</v>
      </c>
      <c r="C162" s="121">
        <f>+C31</f>
        <v>8.3299999999999999E-2</v>
      </c>
      <c r="D162" s="77">
        <f>+D31</f>
        <v>113.85</v>
      </c>
    </row>
    <row r="163" spans="1:5">
      <c r="A163" s="33" t="s">
        <v>9</v>
      </c>
      <c r="B163" s="33" t="s">
        <v>59</v>
      </c>
      <c r="C163" s="121">
        <f>+C32</f>
        <v>2.7799999999999998E-2</v>
      </c>
      <c r="D163" s="77">
        <f>+D32</f>
        <v>37.950000000000003</v>
      </c>
    </row>
    <row r="164" spans="1:5" ht="25.5">
      <c r="A164" s="33" t="s">
        <v>11</v>
      </c>
      <c r="B164" s="71" t="s">
        <v>301</v>
      </c>
      <c r="C164" s="39">
        <f>+C79</f>
        <v>4.7796808666373874E-3</v>
      </c>
      <c r="D164" s="77">
        <f>+D79</f>
        <v>6.5299999999999994</v>
      </c>
    </row>
    <row r="165" spans="1:5" ht="25.5">
      <c r="A165" s="33" t="s">
        <v>27</v>
      </c>
      <c r="B165" s="71" t="s">
        <v>304</v>
      </c>
      <c r="C165" s="121">
        <f>+C82</f>
        <v>4.7796808666373874E-3</v>
      </c>
      <c r="D165" s="36">
        <f>+D82</f>
        <v>6.5299999999999994</v>
      </c>
    </row>
    <row r="166" spans="1:5">
      <c r="A166" s="33" t="s">
        <v>44</v>
      </c>
      <c r="B166" s="35" t="s">
        <v>346</v>
      </c>
      <c r="C166" s="505">
        <f>+(D166+D167+D168)/D23</f>
        <v>7.1563460693895478E-2</v>
      </c>
      <c r="D166" s="77">
        <f>ROUND(D29*(SUM($C$37:$C$44)),2)</f>
        <v>41.9</v>
      </c>
    </row>
    <row r="167" spans="1:5">
      <c r="A167" s="33" t="s">
        <v>347</v>
      </c>
      <c r="B167" s="35" t="s">
        <v>348</v>
      </c>
      <c r="C167" s="505"/>
      <c r="D167" s="77">
        <f>ROUND(D31*(SUM($C$37:$C$44)),2)</f>
        <v>41.9</v>
      </c>
    </row>
    <row r="168" spans="1:5">
      <c r="A168" s="33" t="s">
        <v>349</v>
      </c>
      <c r="B168" s="35" t="s">
        <v>350</v>
      </c>
      <c r="C168" s="505"/>
      <c r="D168" s="77">
        <f>ROUND(D32*(SUM($C$37:$C$44)),2)</f>
        <v>13.97</v>
      </c>
    </row>
    <row r="169" spans="1:5">
      <c r="A169" s="506" t="s">
        <v>57</v>
      </c>
      <c r="B169" s="507"/>
      <c r="C169" s="508"/>
      <c r="D169" s="43">
        <f>SUM(D161:D168)</f>
        <v>376.4799999999999</v>
      </c>
    </row>
    <row r="170" spans="1:5">
      <c r="B170" s="122"/>
      <c r="C170" s="122"/>
      <c r="D170" s="122"/>
    </row>
    <row r="171" spans="1:5" s="124" customFormat="1" ht="44.25" customHeight="1">
      <c r="A171" s="499" t="s">
        <v>351</v>
      </c>
      <c r="B171" s="499"/>
      <c r="C171" s="499"/>
      <c r="D171" s="499"/>
      <c r="E171" s="123"/>
    </row>
    <row r="172" spans="1:5">
      <c r="A172" s="125"/>
      <c r="B172" s="125"/>
      <c r="C172" s="125"/>
      <c r="D172" s="125"/>
      <c r="E172" s="125"/>
    </row>
    <row r="173" spans="1:5">
      <c r="A173" s="500"/>
      <c r="B173" s="500"/>
      <c r="C173" s="500"/>
      <c r="D173" s="500"/>
      <c r="E173" s="125"/>
    </row>
    <row r="174" spans="1:5">
      <c r="A174" s="125"/>
      <c r="B174" s="125"/>
      <c r="C174" s="125"/>
      <c r="D174" s="125"/>
      <c r="E174" s="125"/>
    </row>
    <row r="175" spans="1:5">
      <c r="A175" s="501"/>
      <c r="B175" s="501"/>
      <c r="C175" s="501"/>
      <c r="D175" s="501"/>
      <c r="E175" s="125"/>
    </row>
    <row r="176" spans="1:5">
      <c r="A176" s="125"/>
      <c r="B176" s="125"/>
      <c r="C176" s="125"/>
      <c r="D176" s="125"/>
      <c r="E176" s="125"/>
    </row>
    <row r="177" spans="1:5">
      <c r="A177" s="125"/>
      <c r="B177" s="125"/>
      <c r="C177" s="125"/>
      <c r="D177" s="125"/>
      <c r="E177" s="125"/>
    </row>
    <row r="178" spans="1:5">
      <c r="A178" s="125"/>
      <c r="B178" s="125"/>
      <c r="C178" s="125"/>
      <c r="D178" s="125"/>
      <c r="E178" s="125"/>
    </row>
    <row r="179" spans="1:5">
      <c r="A179" s="125"/>
      <c r="B179" s="125"/>
      <c r="C179" s="125"/>
      <c r="D179" s="125"/>
      <c r="E179" s="125"/>
    </row>
    <row r="180" spans="1:5">
      <c r="A180" s="125"/>
      <c r="B180" s="125"/>
      <c r="C180" s="125"/>
      <c r="D180" s="125"/>
      <c r="E180" s="125"/>
    </row>
    <row r="181" spans="1:5">
      <c r="A181" s="125"/>
      <c r="B181" s="125"/>
      <c r="C181" s="125"/>
      <c r="D181" s="125"/>
      <c r="E181" s="125"/>
    </row>
    <row r="182" spans="1:5">
      <c r="A182" s="125"/>
      <c r="B182" s="125"/>
      <c r="C182" s="125"/>
      <c r="D182" s="125"/>
      <c r="E182" s="125"/>
    </row>
    <row r="183" spans="1:5">
      <c r="A183" s="125"/>
      <c r="B183" s="125"/>
      <c r="C183" s="125"/>
      <c r="D183" s="125"/>
      <c r="E183" s="125"/>
    </row>
    <row r="184" spans="1:5">
      <c r="A184" s="125"/>
      <c r="B184" s="125"/>
      <c r="C184" s="125"/>
      <c r="D184" s="125"/>
      <c r="E184" s="125"/>
    </row>
    <row r="185" spans="1:5">
      <c r="A185" s="125"/>
      <c r="B185" s="125"/>
      <c r="C185" s="125"/>
      <c r="D185" s="125"/>
      <c r="E185" s="125"/>
    </row>
    <row r="186" spans="1:5">
      <c r="A186" s="125"/>
      <c r="B186" s="125"/>
      <c r="C186" s="125"/>
      <c r="D186" s="125"/>
      <c r="E186" s="125"/>
    </row>
    <row r="187" spans="1:5">
      <c r="A187" s="125"/>
      <c r="B187" s="125"/>
      <c r="C187" s="125"/>
      <c r="D187" s="125"/>
      <c r="E187" s="125"/>
    </row>
    <row r="188" spans="1:5">
      <c r="A188" s="125"/>
      <c r="B188" s="125"/>
      <c r="C188" s="125"/>
      <c r="D188" s="125"/>
      <c r="E188" s="125"/>
    </row>
  </sheetData>
  <mergeCells count="83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74:D74"/>
    <mergeCell ref="A27:D27"/>
    <mergeCell ref="A33:C33"/>
    <mergeCell ref="A35:D35"/>
    <mergeCell ref="A47:D47"/>
    <mergeCell ref="A65:B65"/>
    <mergeCell ref="A67:D67"/>
    <mergeCell ref="B68:C68"/>
    <mergeCell ref="B69:C69"/>
    <mergeCell ref="B70:C70"/>
    <mergeCell ref="B71:C71"/>
    <mergeCell ref="A72:C72"/>
    <mergeCell ref="B96:C96"/>
    <mergeCell ref="A83:C83"/>
    <mergeCell ref="A85:D85"/>
    <mergeCell ref="A87:D87"/>
    <mergeCell ref="B88:C88"/>
    <mergeCell ref="B89:C89"/>
    <mergeCell ref="B90:C90"/>
    <mergeCell ref="B91:C91"/>
    <mergeCell ref="B92:C92"/>
    <mergeCell ref="B93:C93"/>
    <mergeCell ref="B94:C94"/>
    <mergeCell ref="B95:C95"/>
    <mergeCell ref="B112:C112"/>
    <mergeCell ref="A97:C97"/>
    <mergeCell ref="B99:C99"/>
    <mergeCell ref="B100:C100"/>
    <mergeCell ref="B101:C101"/>
    <mergeCell ref="B102:C102"/>
    <mergeCell ref="B103:C103"/>
    <mergeCell ref="A104:C104"/>
    <mergeCell ref="B106:C106"/>
    <mergeCell ref="B107:C107"/>
    <mergeCell ref="A108:C108"/>
    <mergeCell ref="B111:C111"/>
    <mergeCell ref="A135:C135"/>
    <mergeCell ref="B113:C113"/>
    <mergeCell ref="B114:C114"/>
    <mergeCell ref="A115:C115"/>
    <mergeCell ref="A117:D117"/>
    <mergeCell ref="B119:C119"/>
    <mergeCell ref="B120:C120"/>
    <mergeCell ref="B122:C122"/>
    <mergeCell ref="B124:C124"/>
    <mergeCell ref="B126:C126"/>
    <mergeCell ref="A128:C128"/>
    <mergeCell ref="A130:D130"/>
    <mergeCell ref="A159:D159"/>
    <mergeCell ref="A136:C136"/>
    <mergeCell ref="A146:B146"/>
    <mergeCell ref="A148:D148"/>
    <mergeCell ref="B149:C149"/>
    <mergeCell ref="B150:C150"/>
    <mergeCell ref="B151:C151"/>
    <mergeCell ref="B152:C152"/>
    <mergeCell ref="B153:C153"/>
    <mergeCell ref="B154:C154"/>
    <mergeCell ref="B155:C155"/>
    <mergeCell ref="A157:C157"/>
    <mergeCell ref="C166:C168"/>
    <mergeCell ref="A169:C169"/>
    <mergeCell ref="A171:D171"/>
    <mergeCell ref="A173:D173"/>
    <mergeCell ref="A175:D17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  <ignoredErrors>
    <ignoredError sqref="D51 D57:D6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4760"/>
  </sheetPr>
  <dimension ref="A1:E119"/>
  <sheetViews>
    <sheetView view="pageBreakPreview" zoomScaleNormal="100" zoomScaleSheetLayoutView="100" workbookViewId="0">
      <selection activeCell="B17" sqref="B17"/>
    </sheetView>
  </sheetViews>
  <sheetFormatPr defaultColWidth="8.85546875" defaultRowHeight="12.75"/>
  <cols>
    <col min="1" max="1" width="64.42578125" customWidth="1"/>
    <col min="2" max="2" width="12.7109375" bestFit="1" customWidth="1"/>
    <col min="3" max="3" width="15" customWidth="1"/>
    <col min="4" max="4" width="23.42578125" customWidth="1"/>
    <col min="5" max="5" width="10.42578125" bestFit="1" customWidth="1"/>
  </cols>
  <sheetData>
    <row r="1" spans="1:5" ht="17.25" customHeight="1">
      <c r="A1" s="550" t="s">
        <v>845</v>
      </c>
      <c r="B1" s="550"/>
      <c r="C1" s="550"/>
    </row>
    <row r="3" spans="1:5">
      <c r="A3" s="33" t="s">
        <v>197</v>
      </c>
      <c r="B3" s="33">
        <v>220</v>
      </c>
    </row>
    <row r="4" spans="1:5">
      <c r="A4" s="33" t="s">
        <v>198</v>
      </c>
      <c r="B4" s="33">
        <v>365.25</v>
      </c>
    </row>
    <row r="5" spans="1:5">
      <c r="A5" s="33" t="s">
        <v>199</v>
      </c>
      <c r="B5" s="34">
        <f>(365.25/12)/(7/5)</f>
        <v>21.741071428571431</v>
      </c>
    </row>
    <row r="6" spans="1:5">
      <c r="A6" s="35" t="s">
        <v>200</v>
      </c>
      <c r="B6" s="36">
        <f>'ASG 5x2'!D12</f>
        <v>1300.43</v>
      </c>
    </row>
    <row r="7" spans="1:5">
      <c r="A7" s="35" t="s">
        <v>201</v>
      </c>
      <c r="B7" s="36">
        <f>'ASG 5x2'!D23</f>
        <v>1300.43</v>
      </c>
    </row>
    <row r="9" spans="1:5">
      <c r="C9" s="37"/>
    </row>
    <row r="11" spans="1:5">
      <c r="A11" s="493" t="s">
        <v>202</v>
      </c>
      <c r="B11" s="493"/>
      <c r="C11" s="493"/>
    </row>
    <row r="12" spans="1:5">
      <c r="A12" s="33" t="s">
        <v>203</v>
      </c>
      <c r="B12" s="33">
        <f>+$B$4</f>
        <v>365.25</v>
      </c>
      <c r="C12" s="38"/>
    </row>
    <row r="13" spans="1:5">
      <c r="A13" s="33" t="s">
        <v>204</v>
      </c>
      <c r="B13" s="35">
        <v>12</v>
      </c>
      <c r="C13" s="38"/>
    </row>
    <row r="14" spans="1:5">
      <c r="A14" s="33" t="s">
        <v>205</v>
      </c>
      <c r="B14" s="39">
        <v>1</v>
      </c>
      <c r="C14" s="38"/>
      <c r="E14" s="74"/>
    </row>
    <row r="15" spans="1:5">
      <c r="A15" s="35" t="s">
        <v>206</v>
      </c>
      <c r="B15" s="40">
        <f>+B5</f>
        <v>21.741071428571431</v>
      </c>
      <c r="C15" s="38"/>
    </row>
    <row r="16" spans="1:5">
      <c r="A16" s="41" t="s">
        <v>207</v>
      </c>
      <c r="B16" s="42">
        <v>4.05</v>
      </c>
      <c r="C16" s="38"/>
    </row>
    <row r="17" spans="1:5">
      <c r="A17" s="33" t="s">
        <v>208</v>
      </c>
      <c r="B17" s="39">
        <v>0.06</v>
      </c>
      <c r="C17" s="38"/>
    </row>
    <row r="18" spans="1:5">
      <c r="A18" s="491" t="s">
        <v>209</v>
      </c>
      <c r="B18" s="492"/>
      <c r="C18" s="43">
        <f>IF(ROUND((B15*(B16*2)-($B$6*B17)),2)&gt;0,ROUND((B15*(B16*2)-($B$6*B17)),2),0)</f>
        <v>98.08</v>
      </c>
      <c r="E18" s="74"/>
    </row>
    <row r="20" spans="1:5">
      <c r="A20" s="493" t="s">
        <v>210</v>
      </c>
      <c r="B20" s="493"/>
      <c r="C20" s="493"/>
    </row>
    <row r="21" spans="1:5">
      <c r="A21" s="33" t="s">
        <v>36</v>
      </c>
      <c r="B21" s="36">
        <f>B7</f>
        <v>1300.43</v>
      </c>
      <c r="C21" s="38"/>
    </row>
    <row r="22" spans="1:5">
      <c r="A22" s="33" t="s">
        <v>211</v>
      </c>
      <c r="B22" s="33">
        <v>12</v>
      </c>
      <c r="C22" s="38"/>
    </row>
    <row r="23" spans="1:5">
      <c r="A23" s="44" t="s">
        <v>212</v>
      </c>
      <c r="B23" s="45">
        <v>0.1</v>
      </c>
      <c r="C23" s="38"/>
    </row>
    <row r="24" spans="1:5">
      <c r="A24" s="485" t="s">
        <v>213</v>
      </c>
      <c r="B24" s="485"/>
      <c r="C24" s="43">
        <f>ROUND(+(B21/B22)*B23,2)</f>
        <v>10.84</v>
      </c>
    </row>
    <row r="26" spans="1:5">
      <c r="A26" s="494" t="s">
        <v>214</v>
      </c>
      <c r="B26" s="495"/>
      <c r="C26" s="496"/>
    </row>
    <row r="27" spans="1:5" s="47" customFormat="1">
      <c r="A27" s="46" t="s">
        <v>215</v>
      </c>
      <c r="B27" s="45">
        <f>+B23</f>
        <v>0.1</v>
      </c>
      <c r="C27" s="38"/>
    </row>
    <row r="28" spans="1:5">
      <c r="A28" s="33" t="s">
        <v>216</v>
      </c>
      <c r="B28" s="36">
        <f>'ASG 5x2'!D23</f>
        <v>1300.43</v>
      </c>
      <c r="C28" s="38"/>
    </row>
    <row r="29" spans="1:5">
      <c r="A29" s="33" t="s">
        <v>217</v>
      </c>
      <c r="B29" s="36">
        <f>'ASG 5x2'!D29</f>
        <v>108.37</v>
      </c>
      <c r="C29" s="38"/>
    </row>
    <row r="30" spans="1:5">
      <c r="A30" s="48" t="s">
        <v>218</v>
      </c>
      <c r="B30" s="36">
        <f>'ASG 5x2'!D31</f>
        <v>108.37</v>
      </c>
      <c r="C30" s="38"/>
    </row>
    <row r="31" spans="1:5">
      <c r="A31" s="48" t="s">
        <v>59</v>
      </c>
      <c r="B31" s="36">
        <f>'ASG 5x2'!D32</f>
        <v>36.119999999999997</v>
      </c>
      <c r="C31" s="38"/>
    </row>
    <row r="32" spans="1:5">
      <c r="A32" s="49" t="s">
        <v>219</v>
      </c>
      <c r="B32" s="50">
        <f>SUM(B28:B31)</f>
        <v>1553.29</v>
      </c>
      <c r="C32" s="38"/>
    </row>
    <row r="33" spans="1:3">
      <c r="A33" s="51" t="s">
        <v>220</v>
      </c>
      <c r="B33" s="39">
        <v>0.4</v>
      </c>
      <c r="C33" s="38"/>
    </row>
    <row r="34" spans="1:3">
      <c r="A34" s="59" t="s">
        <v>363</v>
      </c>
      <c r="B34" s="39">
        <v>0.08</v>
      </c>
      <c r="C34" s="38"/>
    </row>
    <row r="35" spans="1:3">
      <c r="A35" s="490" t="s">
        <v>222</v>
      </c>
      <c r="B35" s="490"/>
      <c r="C35" s="52">
        <f>ROUND(+B32*B33*B34*B27,2)</f>
        <v>4.97</v>
      </c>
    </row>
    <row r="36" spans="1:3">
      <c r="A36" s="51" t="s">
        <v>223</v>
      </c>
      <c r="B36" s="39">
        <v>0.1</v>
      </c>
      <c r="C36" s="38"/>
    </row>
    <row r="37" spans="1:3">
      <c r="A37" s="490" t="s">
        <v>224</v>
      </c>
      <c r="B37" s="490"/>
      <c r="C37" s="53">
        <f>ROUND(B36*B34*B32*B27,2)</f>
        <v>1.24</v>
      </c>
    </row>
    <row r="38" spans="1:3">
      <c r="A38" s="491" t="s">
        <v>225</v>
      </c>
      <c r="B38" s="492"/>
      <c r="C38" s="54">
        <f>+C37+C35</f>
        <v>6.21</v>
      </c>
    </row>
    <row r="40" spans="1:3">
      <c r="A40" s="493" t="s">
        <v>226</v>
      </c>
      <c r="B40" s="493"/>
      <c r="C40" s="493"/>
    </row>
    <row r="41" spans="1:3">
      <c r="A41" s="33" t="s">
        <v>36</v>
      </c>
      <c r="B41" s="36">
        <f>B7</f>
        <v>1300.43</v>
      </c>
      <c r="C41" s="38"/>
    </row>
    <row r="42" spans="1:3">
      <c r="A42" s="33" t="s">
        <v>227</v>
      </c>
      <c r="B42" s="55">
        <v>30</v>
      </c>
      <c r="C42" s="38"/>
    </row>
    <row r="43" spans="1:3">
      <c r="A43" s="33" t="s">
        <v>211</v>
      </c>
      <c r="B43" s="33">
        <v>12</v>
      </c>
      <c r="C43" s="38"/>
    </row>
    <row r="44" spans="1:3">
      <c r="A44" s="33" t="s">
        <v>228</v>
      </c>
      <c r="B44" s="33">
        <v>7</v>
      </c>
      <c r="C44" s="38"/>
    </row>
    <row r="45" spans="1:3">
      <c r="A45" s="44" t="s">
        <v>229</v>
      </c>
      <c r="B45" s="45">
        <v>0.1</v>
      </c>
      <c r="C45" s="38"/>
    </row>
    <row r="46" spans="1:3">
      <c r="A46" s="485" t="s">
        <v>230</v>
      </c>
      <c r="B46" s="485"/>
      <c r="C46" s="43">
        <f>+ROUND(((B41/B42/B43)*B44)*B45,2)</f>
        <v>2.5299999999999998</v>
      </c>
    </row>
    <row r="48" spans="1:3">
      <c r="A48" s="494" t="s">
        <v>231</v>
      </c>
      <c r="B48" s="495"/>
      <c r="C48" s="496"/>
    </row>
    <row r="49" spans="1:3" ht="25.5">
      <c r="A49" s="56" t="s">
        <v>232</v>
      </c>
      <c r="B49" s="45">
        <f>+B45</f>
        <v>0.1</v>
      </c>
      <c r="C49" s="38"/>
    </row>
    <row r="50" spans="1:3">
      <c r="A50" s="33" t="s">
        <v>216</v>
      </c>
      <c r="B50" s="36">
        <f>'ASG 5x2'!D23</f>
        <v>1300.43</v>
      </c>
      <c r="C50" s="38"/>
    </row>
    <row r="51" spans="1:3">
      <c r="A51" s="33" t="s">
        <v>217</v>
      </c>
      <c r="B51" s="36">
        <f>'ASG 5x2'!D29</f>
        <v>108.37</v>
      </c>
      <c r="C51" s="38"/>
    </row>
    <row r="52" spans="1:3">
      <c r="A52" s="48" t="s">
        <v>218</v>
      </c>
      <c r="B52" s="36">
        <f>'ASG 5x2'!D31</f>
        <v>108.37</v>
      </c>
      <c r="C52" s="38"/>
    </row>
    <row r="53" spans="1:3">
      <c r="A53" s="48" t="s">
        <v>59</v>
      </c>
      <c r="B53" s="36">
        <f>'ASG 5x2'!D32</f>
        <v>36.119999999999997</v>
      </c>
      <c r="C53" s="38"/>
    </row>
    <row r="54" spans="1:3">
      <c r="A54" s="49" t="s">
        <v>219</v>
      </c>
      <c r="B54" s="50">
        <f>SUM(B50:B53)</f>
        <v>1553.29</v>
      </c>
      <c r="C54" s="38"/>
    </row>
    <row r="55" spans="1:3">
      <c r="A55" s="51" t="s">
        <v>220</v>
      </c>
      <c r="B55" s="39">
        <v>0.4</v>
      </c>
      <c r="C55" s="38"/>
    </row>
    <row r="56" spans="1:3">
      <c r="A56" s="51" t="s">
        <v>221</v>
      </c>
      <c r="B56" s="39">
        <v>0.08</v>
      </c>
      <c r="C56" s="38"/>
    </row>
    <row r="57" spans="1:3">
      <c r="A57" s="490" t="s">
        <v>222</v>
      </c>
      <c r="B57" s="490"/>
      <c r="C57" s="52">
        <f>ROUND(+B54*B55*B56*B49,2)</f>
        <v>4.97</v>
      </c>
    </row>
    <row r="58" spans="1:3">
      <c r="A58" s="51" t="s">
        <v>223</v>
      </c>
      <c r="B58" s="39">
        <v>0.1</v>
      </c>
      <c r="C58" s="38"/>
    </row>
    <row r="59" spans="1:3">
      <c r="A59" s="490" t="s">
        <v>224</v>
      </c>
      <c r="B59" s="490"/>
      <c r="C59" s="53">
        <f>ROUND(B58*B56*B54*B49,2)</f>
        <v>1.24</v>
      </c>
    </row>
    <row r="60" spans="1:3">
      <c r="A60" s="491" t="s">
        <v>233</v>
      </c>
      <c r="B60" s="492"/>
      <c r="C60" s="54">
        <f>+C59+C57</f>
        <v>6.21</v>
      </c>
    </row>
    <row r="62" spans="1:3">
      <c r="A62" s="494" t="s">
        <v>234</v>
      </c>
      <c r="B62" s="495"/>
      <c r="C62" s="496"/>
    </row>
    <row r="63" spans="1:3">
      <c r="A63" s="497" t="s">
        <v>235</v>
      </c>
      <c r="B63" s="497"/>
      <c r="C63" s="497"/>
    </row>
    <row r="64" spans="1:3">
      <c r="A64" s="497"/>
      <c r="B64" s="497"/>
      <c r="C64" s="497"/>
    </row>
    <row r="65" spans="1:3">
      <c r="A65" s="497"/>
      <c r="B65" s="497"/>
      <c r="C65" s="497"/>
    </row>
    <row r="66" spans="1:3">
      <c r="A66" s="497"/>
      <c r="B66" s="497"/>
      <c r="C66" s="497"/>
    </row>
    <row r="67" spans="1:3">
      <c r="A67" s="57"/>
      <c r="B67" s="57"/>
      <c r="C67" s="57"/>
    </row>
    <row r="68" spans="1:3">
      <c r="A68" s="486" t="s">
        <v>236</v>
      </c>
      <c r="B68" s="486"/>
      <c r="C68" s="486"/>
    </row>
    <row r="69" spans="1:3">
      <c r="A69" s="33" t="s">
        <v>237</v>
      </c>
      <c r="B69" s="36">
        <f>+$B$7</f>
        <v>1300.43</v>
      </c>
      <c r="C69" s="38"/>
    </row>
    <row r="70" spans="1:3">
      <c r="A70" s="33" t="s">
        <v>204</v>
      </c>
      <c r="B70" s="33">
        <v>30</v>
      </c>
      <c r="C70" s="38"/>
    </row>
    <row r="71" spans="1:3">
      <c r="A71" s="33" t="s">
        <v>238</v>
      </c>
      <c r="B71" s="33">
        <v>12</v>
      </c>
      <c r="C71" s="38"/>
    </row>
    <row r="72" spans="1:3">
      <c r="A72" s="44" t="s">
        <v>239</v>
      </c>
      <c r="B72" s="44">
        <v>1</v>
      </c>
      <c r="C72" s="38"/>
    </row>
    <row r="73" spans="1:3">
      <c r="A73" s="485" t="s">
        <v>240</v>
      </c>
      <c r="B73" s="485"/>
      <c r="C73" s="58">
        <f>+ROUND((B69/B70/B71)*B72,2)</f>
        <v>3.61</v>
      </c>
    </row>
    <row r="75" spans="1:3">
      <c r="A75" s="486" t="s">
        <v>241</v>
      </c>
      <c r="B75" s="486"/>
      <c r="C75" s="486"/>
    </row>
    <row r="76" spans="1:3">
      <c r="A76" s="33" t="s">
        <v>237</v>
      </c>
      <c r="B76" s="36">
        <f>+$B$7</f>
        <v>1300.43</v>
      </c>
      <c r="C76" s="38"/>
    </row>
    <row r="77" spans="1:3">
      <c r="A77" s="33" t="s">
        <v>204</v>
      </c>
      <c r="B77" s="33">
        <v>30</v>
      </c>
      <c r="C77" s="38"/>
    </row>
    <row r="78" spans="1:3">
      <c r="A78" s="33" t="s">
        <v>238</v>
      </c>
      <c r="B78" s="33">
        <v>12</v>
      </c>
      <c r="C78" s="38"/>
    </row>
    <row r="79" spans="1:3">
      <c r="A79" s="35" t="s">
        <v>242</v>
      </c>
      <c r="B79" s="33">
        <v>5</v>
      </c>
      <c r="C79" s="38"/>
    </row>
    <row r="80" spans="1:3">
      <c r="A80" s="44" t="s">
        <v>243</v>
      </c>
      <c r="B80" s="45">
        <v>1.4999999999999999E-2</v>
      </c>
      <c r="C80" s="38"/>
    </row>
    <row r="81" spans="1:5">
      <c r="A81" s="59" t="s">
        <v>244</v>
      </c>
      <c r="B81" s="39">
        <v>0.90390000000000004</v>
      </c>
      <c r="C81" s="38"/>
    </row>
    <row r="82" spans="1:5">
      <c r="A82" s="485" t="s">
        <v>245</v>
      </c>
      <c r="B82" s="485"/>
      <c r="C82" s="43">
        <f>ROUND(+B76/B77/B78*B79*B80*B81,2)</f>
        <v>0.24</v>
      </c>
      <c r="E82" s="1"/>
    </row>
    <row r="84" spans="1:5">
      <c r="A84" s="486" t="s">
        <v>246</v>
      </c>
      <c r="B84" s="486"/>
      <c r="C84" s="486"/>
    </row>
    <row r="85" spans="1:5">
      <c r="A85" s="33" t="s">
        <v>237</v>
      </c>
      <c r="B85" s="36">
        <f>+$B$7</f>
        <v>1300.43</v>
      </c>
      <c r="C85" s="38"/>
    </row>
    <row r="86" spans="1:5">
      <c r="A86" s="33" t="s">
        <v>204</v>
      </c>
      <c r="B86" s="33">
        <v>30</v>
      </c>
      <c r="C86" s="38"/>
    </row>
    <row r="87" spans="1:5">
      <c r="A87" s="33" t="s">
        <v>238</v>
      </c>
      <c r="B87" s="33">
        <v>12</v>
      </c>
      <c r="C87" s="38"/>
    </row>
    <row r="88" spans="1:5">
      <c r="A88" s="35" t="s">
        <v>247</v>
      </c>
      <c r="B88" s="33">
        <v>15</v>
      </c>
      <c r="C88" s="38"/>
    </row>
    <row r="89" spans="1:5">
      <c r="A89" s="44" t="s">
        <v>248</v>
      </c>
      <c r="B89" s="45">
        <v>1.4999999999999999E-2</v>
      </c>
      <c r="C89" s="38"/>
    </row>
    <row r="90" spans="1:5">
      <c r="A90" s="485" t="s">
        <v>249</v>
      </c>
      <c r="B90" s="485"/>
      <c r="C90" s="43">
        <f>ROUND(+B85/B86/B87*B88*B89,2)</f>
        <v>0.81</v>
      </c>
    </row>
    <row r="92" spans="1:5">
      <c r="A92" s="486" t="s">
        <v>250</v>
      </c>
      <c r="B92" s="486"/>
      <c r="C92" s="486"/>
    </row>
    <row r="93" spans="1:5">
      <c r="A93" s="33" t="s">
        <v>237</v>
      </c>
      <c r="B93" s="36">
        <f>+$B$7</f>
        <v>1300.43</v>
      </c>
      <c r="C93" s="38"/>
    </row>
    <row r="94" spans="1:5">
      <c r="A94" s="33" t="s">
        <v>204</v>
      </c>
      <c r="B94" s="33">
        <v>30</v>
      </c>
      <c r="C94" s="38"/>
    </row>
    <row r="95" spans="1:5">
      <c r="A95" s="33" t="s">
        <v>238</v>
      </c>
      <c r="B95" s="33">
        <v>12</v>
      </c>
      <c r="C95" s="38"/>
    </row>
    <row r="96" spans="1:5">
      <c r="A96" s="35" t="s">
        <v>247</v>
      </c>
      <c r="B96" s="33">
        <v>5</v>
      </c>
      <c r="C96" s="38"/>
    </row>
    <row r="97" spans="1:3">
      <c r="A97" s="44" t="s">
        <v>251</v>
      </c>
      <c r="B97" s="45">
        <v>0.4</v>
      </c>
      <c r="C97" s="38"/>
    </row>
    <row r="98" spans="1:3">
      <c r="A98" s="485" t="s">
        <v>252</v>
      </c>
      <c r="B98" s="485"/>
      <c r="C98" s="43">
        <f>ROUND(+B93/B94/B95*B96*B97,2)</f>
        <v>7.22</v>
      </c>
    </row>
    <row r="100" spans="1:3">
      <c r="A100" s="486" t="s">
        <v>253</v>
      </c>
      <c r="B100" s="486"/>
      <c r="C100" s="486"/>
    </row>
    <row r="101" spans="1:3">
      <c r="A101" s="487" t="s">
        <v>254</v>
      </c>
      <c r="B101" s="488"/>
      <c r="C101" s="489"/>
    </row>
    <row r="102" spans="1:3">
      <c r="A102" s="33" t="s">
        <v>237</v>
      </c>
      <c r="B102" s="36">
        <f>+$B$7</f>
        <v>1300.43</v>
      </c>
      <c r="C102" s="38"/>
    </row>
    <row r="103" spans="1:3">
      <c r="A103" s="33" t="s">
        <v>255</v>
      </c>
      <c r="B103" s="36">
        <f>+B102*(1/3)</f>
        <v>433.47666666666669</v>
      </c>
      <c r="C103" s="38"/>
    </row>
    <row r="104" spans="1:3">
      <c r="A104" s="49" t="s">
        <v>219</v>
      </c>
      <c r="B104" s="50">
        <f>SUM(B102:B103)</f>
        <v>1733.9066666666668</v>
      </c>
      <c r="C104" s="38"/>
    </row>
    <row r="105" spans="1:3">
      <c r="A105" s="33" t="s">
        <v>256</v>
      </c>
      <c r="B105" s="33">
        <v>4</v>
      </c>
      <c r="C105" s="38"/>
    </row>
    <row r="106" spans="1:3">
      <c r="A106" s="33" t="s">
        <v>238</v>
      </c>
      <c r="B106" s="33">
        <v>12</v>
      </c>
      <c r="C106" s="38"/>
    </row>
    <row r="107" spans="1:3">
      <c r="A107" s="44" t="s">
        <v>257</v>
      </c>
      <c r="B107" s="45">
        <v>0.02</v>
      </c>
      <c r="C107" s="38"/>
    </row>
    <row r="108" spans="1:3">
      <c r="A108" s="35" t="s">
        <v>258</v>
      </c>
      <c r="B108" s="39">
        <f>1-B81</f>
        <v>9.6099999999999963E-2</v>
      </c>
      <c r="C108" s="38"/>
    </row>
    <row r="109" spans="1:3">
      <c r="A109" s="485" t="s">
        <v>259</v>
      </c>
      <c r="B109" s="485"/>
      <c r="C109" s="43">
        <f>ROUND((((+B104*(B105/B106)/B106)*B107)*B108),2)</f>
        <v>0.09</v>
      </c>
    </row>
    <row r="110" spans="1:3">
      <c r="A110" s="485" t="s">
        <v>260</v>
      </c>
      <c r="B110" s="485"/>
      <c r="C110" s="485"/>
    </row>
    <row r="111" spans="1:3">
      <c r="A111" s="33" t="s">
        <v>237</v>
      </c>
      <c r="B111" s="36">
        <f>'ASG 5x2'!D23</f>
        <v>1300.43</v>
      </c>
      <c r="C111" s="38"/>
    </row>
    <row r="112" spans="1:3">
      <c r="A112" s="33" t="s">
        <v>217</v>
      </c>
      <c r="B112" s="36">
        <f>'ASG 5x2'!D29</f>
        <v>108.37</v>
      </c>
      <c r="C112" s="38"/>
    </row>
    <row r="113" spans="1:4">
      <c r="A113" s="49" t="s">
        <v>219</v>
      </c>
      <c r="B113" s="50">
        <f>SUM(B111:B112)</f>
        <v>1408.8000000000002</v>
      </c>
      <c r="C113" s="38"/>
    </row>
    <row r="114" spans="1:4">
      <c r="A114" s="33" t="s">
        <v>256</v>
      </c>
      <c r="B114" s="33">
        <v>4</v>
      </c>
      <c r="C114" s="38"/>
    </row>
    <row r="115" spans="1:4">
      <c r="A115" s="33" t="s">
        <v>238</v>
      </c>
      <c r="B115" s="33">
        <v>12</v>
      </c>
      <c r="C115" s="38"/>
    </row>
    <row r="116" spans="1:4">
      <c r="A116" s="44" t="s">
        <v>257</v>
      </c>
      <c r="B116" s="45">
        <v>0.02</v>
      </c>
      <c r="C116" s="38"/>
    </row>
    <row r="117" spans="1:4">
      <c r="A117" s="35" t="s">
        <v>258</v>
      </c>
      <c r="B117" s="39">
        <f>+B108</f>
        <v>9.6099999999999963E-2</v>
      </c>
      <c r="C117" s="38"/>
    </row>
    <row r="118" spans="1:4">
      <c r="A118" s="35" t="s">
        <v>261</v>
      </c>
      <c r="B118" s="39">
        <f>'ASG 5x2'!C45</f>
        <v>0.36800000000000005</v>
      </c>
      <c r="C118" s="38"/>
    </row>
    <row r="119" spans="1:4">
      <c r="A119" s="485" t="s">
        <v>262</v>
      </c>
      <c r="B119" s="485"/>
      <c r="C119" s="404">
        <v>0</v>
      </c>
      <c r="D119" t="s">
        <v>867</v>
      </c>
    </row>
  </sheetData>
  <mergeCells count="30">
    <mergeCell ref="A26:C26"/>
    <mergeCell ref="A1:C1"/>
    <mergeCell ref="A11:C11"/>
    <mergeCell ref="A18:B18"/>
    <mergeCell ref="A20:C20"/>
    <mergeCell ref="A24:B24"/>
    <mergeCell ref="A68:C68"/>
    <mergeCell ref="A35:B35"/>
    <mergeCell ref="A37:B37"/>
    <mergeCell ref="A38:B38"/>
    <mergeCell ref="A40:C40"/>
    <mergeCell ref="A46:B46"/>
    <mergeCell ref="A48:C48"/>
    <mergeCell ref="A57:B57"/>
    <mergeCell ref="A59:B59"/>
    <mergeCell ref="A60:B60"/>
    <mergeCell ref="A62:C62"/>
    <mergeCell ref="A63:C66"/>
    <mergeCell ref="A119:B119"/>
    <mergeCell ref="A73:B73"/>
    <mergeCell ref="A75:C75"/>
    <mergeCell ref="A82:B82"/>
    <mergeCell ref="A84:C84"/>
    <mergeCell ref="A90:B90"/>
    <mergeCell ref="A92:C92"/>
    <mergeCell ref="A98:B98"/>
    <mergeCell ref="A100:C100"/>
    <mergeCell ref="A101:C101"/>
    <mergeCell ref="A109:B109"/>
    <mergeCell ref="A110:C11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</vt:i4>
      </vt:variant>
    </vt:vector>
  </HeadingPairs>
  <TitlesOfParts>
    <vt:vector size="15" baseType="lpstr">
      <vt:lpstr>Apresentação</vt:lpstr>
      <vt:lpstr>Uniformes</vt:lpstr>
      <vt:lpstr>Memória Cálculo Nutric. 5X2</vt:lpstr>
      <vt:lpstr>Nutricionista 5X2</vt:lpstr>
      <vt:lpstr>Memória Cálculo Op. Caixa 5x2</vt:lpstr>
      <vt:lpstr>Op. Caixa 5x2</vt:lpstr>
      <vt:lpstr>Memória Cálculo Copeiro 5x2</vt:lpstr>
      <vt:lpstr>Copeiro 5x2</vt:lpstr>
      <vt:lpstr>Memória Cálculo ASG 5x2</vt:lpstr>
      <vt:lpstr>ASG 5x2</vt:lpstr>
      <vt:lpstr>Mat. Prima Alim e não Alim</vt:lpstr>
      <vt:lpstr>Mat. Prima Alim AGRIC. FAM.</vt:lpstr>
      <vt:lpstr>Insumos de Produção</vt:lpstr>
      <vt:lpstr>Valor Total dos Serviços</vt:lpstr>
      <vt:lpstr>'Mat. Prima Alim e não Alim'!Area_de_impressao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Barros</dc:creator>
  <cp:lastModifiedBy>elainebarros</cp:lastModifiedBy>
  <cp:lastPrinted>2018-12-11T22:15:46Z</cp:lastPrinted>
  <dcterms:created xsi:type="dcterms:W3CDTF">2017-11-16T12:31:58Z</dcterms:created>
  <dcterms:modified xsi:type="dcterms:W3CDTF">2019-02-08T21:38:16Z</dcterms:modified>
</cp:coreProperties>
</file>